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omments2.xml" ContentType="application/vnd.openxmlformats-officedocument.spreadsheetml.comments+xml"/>
  <Override PartName="/xl/drawings/drawing6.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drawings/drawing10.xml" ContentType="application/vnd.openxmlformats-officedocument.drawing+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chart38.xml" ContentType="application/vnd.openxmlformats-officedocument.drawingml.chart+xml"/>
  <Override PartName="/xl/drawings/drawing12.xml" ContentType="application/vnd.openxmlformats-officedocument.drawing+xml"/>
  <Override PartName="/xl/charts/chart39.xml" ContentType="application/vnd.openxmlformats-officedocument.drawingml.chart+xml"/>
  <Override PartName="/xl/charts/style27.xml" ContentType="application/vnd.ms-office.chartstyle+xml"/>
  <Override PartName="/xl/charts/colors27.xml" ContentType="application/vnd.ms-office.chartcolorstyle+xml"/>
  <Override PartName="/xl/charts/chart40.xml" ContentType="application/vnd.openxmlformats-officedocument.drawingml.chart+xml"/>
  <Override PartName="/xl/charts/style28.xml" ContentType="application/vnd.ms-office.chartstyle+xml"/>
  <Override PartName="/xl/charts/colors28.xml" ContentType="application/vnd.ms-office.chartcolorstyle+xml"/>
  <Override PartName="/xl/charts/chart41.xml" ContentType="application/vnd.openxmlformats-officedocument.drawingml.chart+xml"/>
  <Override PartName="/xl/charts/chart42.xml" ContentType="application/vnd.openxmlformats-officedocument.drawingml.chart+xml"/>
  <Override PartName="/xl/drawings/drawing13.xml" ContentType="application/vnd.openxmlformats-officedocument.drawing+xml"/>
  <Override PartName="/xl/charts/chart43.xml" ContentType="application/vnd.openxmlformats-officedocument.drawingml.chart+xml"/>
  <Override PartName="/xl/charts/style29.xml" ContentType="application/vnd.ms-office.chartstyle+xml"/>
  <Override PartName="/xl/charts/colors29.xml" ContentType="application/vnd.ms-office.chartcolorstyle+xml"/>
  <Override PartName="/xl/charts/chart44.xml" ContentType="application/vnd.openxmlformats-officedocument.drawingml.chart+xml"/>
  <Override PartName="/xl/charts/style30.xml" ContentType="application/vnd.ms-office.chartstyle+xml"/>
  <Override PartName="/xl/charts/colors30.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drawings/drawing14.xml" ContentType="application/vnd.openxmlformats-officedocument.drawing+xml"/>
  <Override PartName="/xl/charts/chart47.xml" ContentType="application/vnd.openxmlformats-officedocument.drawingml.chart+xml"/>
  <Override PartName="/xl/charts/style31.xml" ContentType="application/vnd.ms-office.chartstyle+xml"/>
  <Override PartName="/xl/charts/colors31.xml" ContentType="application/vnd.ms-office.chartcolorstyle+xml"/>
  <Override PartName="/xl/charts/chart48.xml" ContentType="application/vnd.openxmlformats-officedocument.drawingml.chart+xml"/>
  <Override PartName="/xl/charts/style32.xml" ContentType="application/vnd.ms-office.chartstyle+xml"/>
  <Override PartName="/xl/charts/colors32.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drawings/drawing15.xml" ContentType="application/vnd.openxmlformats-officedocument.drawing+xml"/>
  <Override PartName="/xl/charts/chart51.xml" ContentType="application/vnd.openxmlformats-officedocument.drawingml.chart+xml"/>
  <Override PartName="/xl/charts/style33.xml" ContentType="application/vnd.ms-office.chartstyle+xml"/>
  <Override PartName="/xl/charts/colors33.xml" ContentType="application/vnd.ms-office.chartcolorstyle+xml"/>
  <Override PartName="/xl/charts/chart52.xml" ContentType="application/vnd.openxmlformats-officedocument.drawingml.chart+xml"/>
  <Override PartName="/xl/charts/style34.xml" ContentType="application/vnd.ms-office.chartstyle+xml"/>
  <Override PartName="/xl/charts/colors34.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drawings/drawing16.xml" ContentType="application/vnd.openxmlformats-officedocument.drawing+xml"/>
  <Override PartName="/xl/charts/chart55.xml" ContentType="application/vnd.openxmlformats-officedocument.drawingml.chart+xml"/>
  <Override PartName="/xl/charts/style35.xml" ContentType="application/vnd.ms-office.chartstyle+xml"/>
  <Override PartName="/xl/charts/colors35.xml" ContentType="application/vnd.ms-office.chartcolorstyle+xml"/>
  <Override PartName="/xl/charts/chart56.xml" ContentType="application/vnd.openxmlformats-officedocument.drawingml.chart+xml"/>
  <Override PartName="/xl/charts/style36.xml" ContentType="application/vnd.ms-office.chartstyle+xml"/>
  <Override PartName="/xl/charts/colors36.xml" ContentType="application/vnd.ms-office.chartcolorstyle+xml"/>
  <Override PartName="/xl/charts/chart57.xml" ContentType="application/vnd.openxmlformats-officedocument.drawingml.chart+xml"/>
  <Override PartName="/xl/charts/chart58.xml" ContentType="application/vnd.openxmlformats-officedocument.drawingml.chart+xml"/>
  <Override PartName="/xl/drawings/drawing17.xml" ContentType="application/vnd.openxmlformats-officedocument.drawing+xml"/>
  <Override PartName="/xl/charts/chart59.xml" ContentType="application/vnd.openxmlformats-officedocument.drawingml.chart+xml"/>
  <Override PartName="/xl/charts/style37.xml" ContentType="application/vnd.ms-office.chartstyle+xml"/>
  <Override PartName="/xl/charts/colors37.xml" ContentType="application/vnd.ms-office.chartcolorstyle+xml"/>
  <Override PartName="/xl/charts/chart60.xml" ContentType="application/vnd.openxmlformats-officedocument.drawingml.chart+xml"/>
  <Override PartName="/xl/charts/style38.xml" ContentType="application/vnd.ms-office.chartstyle+xml"/>
  <Override PartName="/xl/charts/colors38.xml" ContentType="application/vnd.ms-office.chartcolorstyle+xml"/>
  <Override PartName="/xl/charts/chart61.xml" ContentType="application/vnd.openxmlformats-officedocument.drawingml.chart+xml"/>
  <Override PartName="/xl/charts/chart62.xml" ContentType="application/vnd.openxmlformats-officedocument.drawingml.chart+xml"/>
  <Override PartName="/xl/drawings/drawing18.xml" ContentType="application/vnd.openxmlformats-officedocument.drawing+xml"/>
  <Override PartName="/xl/charts/chart63.xml" ContentType="application/vnd.openxmlformats-officedocument.drawingml.chart+xml"/>
  <Override PartName="/xl/charts/style39.xml" ContentType="application/vnd.ms-office.chartstyle+xml"/>
  <Override PartName="/xl/charts/colors39.xml" ContentType="application/vnd.ms-office.chartcolorstyle+xml"/>
  <Override PartName="/xl/charts/chart64.xml" ContentType="application/vnd.openxmlformats-officedocument.drawingml.chart+xml"/>
  <Override PartName="/xl/charts/style40.xml" ContentType="application/vnd.ms-office.chartstyle+xml"/>
  <Override PartName="/xl/charts/colors40.xml" ContentType="application/vnd.ms-office.chartcolorstyle+xml"/>
  <Override PartName="/xl/charts/chart65.xml" ContentType="application/vnd.openxmlformats-officedocument.drawingml.chart+xml"/>
  <Override PartName="/xl/charts/chart66.xml" ContentType="application/vnd.openxmlformats-officedocument.drawingml.chart+xml"/>
  <Override PartName="/xl/drawings/drawing1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style41.xml" ContentType="application/vnd.ms-office.chartstyle+xml"/>
  <Override PartName="/xl/charts/colors41.xml" ContentType="application/vnd.ms-office.chartcolorstyle+xml"/>
  <Override PartName="/xl/charts/chart70.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0.xml" ContentType="application/vnd.openxmlformats-officedocument.drawing+xml"/>
  <Override PartName="/xl/charts/chart71.xml" ContentType="application/vnd.openxmlformats-officedocument.drawingml.chart+xml"/>
  <Override PartName="/xl/charts/style43.xml" ContentType="application/vnd.ms-office.chartstyle+xml"/>
  <Override PartName="/xl/charts/colors43.xml" ContentType="application/vnd.ms-office.chartcolorstyle+xml"/>
  <Override PartName="/xl/charts/chart72.xml" ContentType="application/vnd.openxmlformats-officedocument.drawingml.chart+xml"/>
  <Override PartName="/xl/charts/style44.xml" ContentType="application/vnd.ms-office.chartstyle+xml"/>
  <Override PartName="/xl/charts/colors44.xml" ContentType="application/vnd.ms-office.chartcolorstyle+xml"/>
  <Override PartName="/xl/charts/chart73.xml" ContentType="application/vnd.openxmlformats-officedocument.drawingml.chart+xml"/>
  <Override PartName="/xl/charts/chart7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iirl-my.sharepoint.com/personal/vincent_omalley_tii_ie/Documents/Carbon Doc/"/>
    </mc:Choice>
  </mc:AlternateContent>
  <xr:revisionPtr revIDLastSave="0" documentId="8_{91F1A40D-D5FD-4CAE-8095-33B54B43F8D8}" xr6:coauthVersionLast="47" xr6:coauthVersionMax="47" xr10:uidLastSave="{00000000-0000-0000-0000-000000000000}"/>
  <bookViews>
    <workbookView xWindow="-110" yWindow="-110" windowWidth="19420" windowHeight="10420" tabRatio="814" activeTab="4" xr2:uid="{B91FDA19-61A9-421A-914D-1E385186F910}"/>
  </bookViews>
  <sheets>
    <sheet name="Cover Page" sheetId="52" r:id="rId1"/>
    <sheet name="Overview" sheetId="53" r:id="rId2"/>
    <sheet name="Benchmark summary" sheetId="2" r:id="rId3"/>
    <sheet name="Task 1 - Emission summary" sheetId="34" r:id="rId4"/>
    <sheet name="Task 2 - Series summary" sheetId="48" r:id="rId5"/>
    <sheet name="Task 3 - Material summary" sheetId="50" r:id="rId6"/>
    <sheet name="Task 2 - Asset lvl analysis" sheetId="35" r:id="rId7"/>
    <sheet name="Task 4 - Maintenance summary" sheetId="51" r:id="rId8"/>
    <sheet name="S02C download" sheetId="46" state="hidden" r:id="rId9"/>
    <sheet name="J Toonlane ET download" sheetId="44" state="hidden" r:id="rId10"/>
    <sheet name="J Baile ET download" sheetId="45" state="hidden" r:id="rId11"/>
    <sheet name="Side roads ET download" sheetId="43" state="hidden" r:id="rId12"/>
    <sheet name="S25A ET download" sheetId="37" state="hidden" r:id="rId13"/>
    <sheet name="Mainline ET download" sheetId="38" state="hidden" r:id="rId14"/>
    <sheet name="J Carringapooca ET download" sheetId="40" state="hidden" r:id="rId15"/>
    <sheet name="J Coolcour ET download" sheetId="41" state="hidden" r:id="rId16"/>
    <sheet name="J Gurteenroe ET Download" sheetId="42" state="hidden" r:id="rId17"/>
    <sheet name="Other structures" sheetId="33" r:id="rId18"/>
    <sheet name="AOB" sheetId="21" r:id="rId19"/>
    <sheet name="AUB" sheetId="22" r:id="rId20"/>
    <sheet name="CAUB" sheetId="9" r:id="rId21"/>
    <sheet name="CUB" sheetId="23" r:id="rId22"/>
    <sheet name="JUB" sheetId="24" r:id="rId23"/>
    <sheet name="OB" sheetId="25" r:id="rId24"/>
    <sheet name="PUP" sheetId="26" r:id="rId25"/>
    <sheet name="SR" sheetId="31" r:id="rId26"/>
    <sheet name="RB" sheetId="27" r:id="rId27"/>
    <sheet name="UB" sheetId="28" r:id="rId28"/>
    <sheet name="M" sheetId="30" r:id="rId29"/>
    <sheet name="J" sheetId="29" r:id="rId30"/>
    <sheet name="C" sheetId="17" r:id="rId31"/>
    <sheet name="M (no EW)" sheetId="32" r:id="rId32"/>
    <sheet name="Structure dimensions" sheetId="55" r:id="rId33"/>
    <sheet name="Operational Energy" sheetId="56" r:id="rId34"/>
  </sheets>
  <externalReferences>
    <externalReference r:id="rId35"/>
    <externalReference r:id="rId36"/>
    <externalReference r:id="rId37"/>
    <externalReference r:id="rId38"/>
  </externalReferences>
  <definedNames>
    <definedName name="_xlnm._FilterDatabase" localSheetId="30" hidden="1">'C'!$B$57:$J$75</definedName>
    <definedName name="_xlnm._FilterDatabase" localSheetId="28" hidden="1">M!$B$67:$K$124</definedName>
    <definedName name="_xlnm._FilterDatabase" localSheetId="17" hidden="1">'Other structures'!$B$7:$K$26</definedName>
    <definedName name="_xlnm._FilterDatabase" localSheetId="32" hidden="1">'Structure dimensions'!$B$4:$L$49</definedName>
    <definedName name="_xlnm._FilterDatabase" localSheetId="6" hidden="1">'Task 2 - Asset lvl analysis'!$C$14:$W$65</definedName>
    <definedName name="a">'[1]Global Parameters'!$B$2</definedName>
    <definedName name="DATA_01">#REF!</definedName>
    <definedName name="DATA_02">#REF!</definedName>
    <definedName name="DATA_03">#REF!</definedName>
    <definedName name="DATA_04">#REF!</definedName>
    <definedName name="DATA_05">#REF!</definedName>
    <definedName name="DATA_10">#REF!</definedName>
    <definedName name="DATA_99">#REF!</definedName>
    <definedName name="Employee">OFFSET([2]Data!$B$2,0,0,COUNTA([2]Data!$B:$B)-1,1)</definedName>
    <definedName name="Hours">OFFSET([2]Data!$L$2,0,0,COUNTA([2]Data!$B:$B)-1,1)</definedName>
    <definedName name="IntroPrintArea">#REF!</definedName>
    <definedName name="Jons_Plant">[3]Lists!$F$3:$F$226</definedName>
    <definedName name="LAB">'[4]Global Parameters'!$B$2</definedName>
    <definedName name="Look1Area">#REF!</definedName>
    <definedName name="Look2Area">#REF!</definedName>
    <definedName name="Look3Area">#REF!</definedName>
    <definedName name="Look4Area">#REF!</definedName>
    <definedName name="Look5Area">#REF!</definedName>
    <definedName name="Parked">[3]Lists!$H$6:$H$7</definedName>
    <definedName name="TemplatePrintArea">#REF!</definedName>
    <definedName name="Trade">[3]Lists!$B$3:$B$35</definedName>
    <definedName name="WeekDay">OFFSET([2]Data!$Q$2,0,0,COUNTA([2]Data!$B:$B)-1,1)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4" l="1"/>
  <c r="D22" i="24"/>
  <c r="F38" i="2"/>
  <c r="I32" i="2"/>
  <c r="J57" i="35"/>
  <c r="G41" i="48" s="1"/>
  <c r="D94" i="50" l="1"/>
  <c r="D63" i="50"/>
  <c r="G8" i="50"/>
  <c r="C18" i="50"/>
  <c r="C17" i="50"/>
  <c r="P57" i="50"/>
  <c r="P45" i="50"/>
  <c r="P46" i="50"/>
  <c r="P47" i="50"/>
  <c r="P48" i="50"/>
  <c r="P49" i="50"/>
  <c r="P50" i="50"/>
  <c r="P51" i="50"/>
  <c r="P52" i="50"/>
  <c r="P53" i="50"/>
  <c r="P54" i="50"/>
  <c r="P55" i="50"/>
  <c r="P56" i="50"/>
  <c r="P44" i="50"/>
  <c r="O44" i="50"/>
  <c r="Q25" i="50"/>
  <c r="Q26" i="50"/>
  <c r="Q27" i="50"/>
  <c r="Q28" i="50"/>
  <c r="Q29" i="50"/>
  <c r="Q30" i="50"/>
  <c r="Q31" i="50"/>
  <c r="Q32" i="50"/>
  <c r="Q33" i="50"/>
  <c r="Q34" i="50"/>
  <c r="Q35" i="50"/>
  <c r="Q37" i="50"/>
  <c r="Q38" i="50"/>
  <c r="Q39" i="50"/>
  <c r="Q24" i="50"/>
  <c r="P40" i="50"/>
  <c r="P32" i="50"/>
  <c r="P36" i="50"/>
  <c r="P35" i="50"/>
  <c r="M23" i="2" l="1"/>
  <c r="N19" i="2" s="1"/>
  <c r="C6" i="31" l="1"/>
  <c r="C10" i="29"/>
  <c r="C9" i="29"/>
  <c r="C8" i="29"/>
  <c r="C7" i="29"/>
  <c r="C6" i="29"/>
  <c r="C6" i="32"/>
  <c r="C6" i="30"/>
  <c r="C16" i="34"/>
  <c r="M22" i="2" l="1"/>
  <c r="M12" i="2"/>
  <c r="P6" i="32"/>
  <c r="Q7" i="32" s="1"/>
  <c r="P6" i="30"/>
  <c r="Q7" i="30" s="1"/>
  <c r="O9" i="29"/>
  <c r="O6" i="29"/>
  <c r="G15" i="56"/>
  <c r="G16" i="56"/>
  <c r="G14" i="56"/>
  <c r="F15" i="56"/>
  <c r="F16" i="56"/>
  <c r="F14" i="56"/>
  <c r="E5" i="56"/>
  <c r="O10" i="29"/>
  <c r="O8" i="29"/>
  <c r="O7" i="29"/>
  <c r="N22" i="2" l="1"/>
  <c r="I6" i="22"/>
  <c r="C55" i="22"/>
  <c r="M6" i="22"/>
  <c r="N10" i="22"/>
  <c r="C58" i="22"/>
  <c r="L10" i="22" l="1"/>
  <c r="E41" i="23" l="1"/>
  <c r="E42" i="23"/>
  <c r="E43" i="23"/>
  <c r="E44" i="23"/>
  <c r="H10" i="51" s="1"/>
  <c r="H30" i="51" s="1"/>
  <c r="E46" i="23"/>
  <c r="E47" i="23"/>
  <c r="E48" i="23"/>
  <c r="E45" i="23"/>
  <c r="H36" i="50"/>
  <c r="H56" i="50" s="1"/>
  <c r="E36" i="50"/>
  <c r="F29" i="48"/>
  <c r="E24" i="50"/>
  <c r="E44" i="50" s="1"/>
  <c r="E56" i="50" l="1"/>
  <c r="G41" i="2"/>
  <c r="G37" i="2"/>
  <c r="G36" i="2"/>
  <c r="G34" i="2"/>
  <c r="G33" i="2"/>
  <c r="G31" i="2"/>
  <c r="F31" i="2"/>
  <c r="E31" i="2" l="1"/>
  <c r="F51" i="17" l="1"/>
  <c r="F57" i="29"/>
  <c r="D57" i="29"/>
  <c r="F53" i="27"/>
  <c r="D53" i="27"/>
  <c r="F45" i="31"/>
  <c r="D45" i="31"/>
  <c r="F52" i="26"/>
  <c r="D52" i="26"/>
  <c r="F54" i="25"/>
  <c r="D54" i="25"/>
  <c r="F51" i="21"/>
  <c r="F51" i="9"/>
  <c r="D49" i="23"/>
  <c r="D51" i="9"/>
  <c r="D51" i="21"/>
  <c r="F57" i="35"/>
  <c r="F58" i="35"/>
  <c r="F59" i="35"/>
  <c r="F60" i="35"/>
  <c r="F61" i="35"/>
  <c r="F62" i="35"/>
  <c r="F63" i="35"/>
  <c r="F64" i="35"/>
  <c r="F31" i="35"/>
  <c r="G64" i="35"/>
  <c r="E41" i="2"/>
  <c r="E37" i="2"/>
  <c r="E36" i="2"/>
  <c r="E34" i="2"/>
  <c r="E33" i="2"/>
  <c r="E6" i="23"/>
  <c r="I128" i="22"/>
  <c r="I8" i="22" s="1"/>
  <c r="D8" i="22" s="1"/>
  <c r="E59" i="22"/>
  <c r="L8" i="24"/>
  <c r="L9" i="28"/>
  <c r="L22" i="55"/>
  <c r="C6" i="28" s="1"/>
  <c r="D17" i="21"/>
  <c r="D16" i="21"/>
  <c r="D15" i="21"/>
  <c r="E7" i="51"/>
  <c r="E27" i="51" s="1"/>
  <c r="G10" i="51"/>
  <c r="G30" i="51" s="1"/>
  <c r="E38" i="31"/>
  <c r="E39" i="31"/>
  <c r="E40" i="31"/>
  <c r="E41" i="31"/>
  <c r="E42" i="31"/>
  <c r="E43" i="31"/>
  <c r="E44" i="31"/>
  <c r="E37" i="31"/>
  <c r="F50" i="35" l="1"/>
  <c r="E25" i="50"/>
  <c r="D67" i="55" l="1"/>
  <c r="P11" i="29"/>
  <c r="G5" i="56"/>
  <c r="C11" i="34" l="1"/>
  <c r="C12" i="2"/>
  <c r="E10" i="56"/>
  <c r="G10" i="56" s="1"/>
  <c r="E9" i="56"/>
  <c r="G9" i="56" s="1"/>
  <c r="E8" i="56"/>
  <c r="G8" i="56" s="1"/>
  <c r="E7" i="56"/>
  <c r="G7" i="56" s="1"/>
  <c r="E6" i="56"/>
  <c r="G6" i="56" s="1"/>
  <c r="E6" i="21" l="1"/>
  <c r="M24" i="50"/>
  <c r="M44" i="50" s="1"/>
  <c r="L24" i="50"/>
  <c r="L44" i="50" s="1"/>
  <c r="K24" i="50"/>
  <c r="K44" i="50" s="1"/>
  <c r="J24" i="50"/>
  <c r="J44" i="50" s="1"/>
  <c r="I24" i="50"/>
  <c r="I44" i="50" s="1"/>
  <c r="H24" i="50"/>
  <c r="H44" i="50" s="1"/>
  <c r="G24" i="50"/>
  <c r="G44" i="50" s="1"/>
  <c r="F24" i="50"/>
  <c r="F44" i="50" s="1"/>
  <c r="O15" i="35"/>
  <c r="N15" i="35"/>
  <c r="M15" i="35"/>
  <c r="L15" i="35"/>
  <c r="K15" i="35"/>
  <c r="J15" i="35"/>
  <c r="I15" i="35"/>
  <c r="H15" i="35"/>
  <c r="G15" i="35"/>
  <c r="W15" i="35"/>
  <c r="V15" i="35"/>
  <c r="U15" i="35"/>
  <c r="T15" i="35"/>
  <c r="S15" i="35"/>
  <c r="R15" i="35"/>
  <c r="Q15" i="35"/>
  <c r="P15" i="35"/>
  <c r="O24" i="50"/>
  <c r="N24" i="50"/>
  <c r="N44" i="50" s="1"/>
  <c r="L7" i="51"/>
  <c r="L27" i="51" s="1"/>
  <c r="K7" i="51"/>
  <c r="K27" i="51" s="1"/>
  <c r="J7" i="51"/>
  <c r="J27" i="51" s="1"/>
  <c r="I7" i="51"/>
  <c r="I27" i="51" s="1"/>
  <c r="H7" i="51"/>
  <c r="H27" i="51" s="1"/>
  <c r="G7" i="51"/>
  <c r="G27" i="51" s="1"/>
  <c r="F7" i="51"/>
  <c r="F27" i="51" s="1"/>
  <c r="C6" i="17"/>
  <c r="Q44" i="50" l="1"/>
  <c r="M27" i="51"/>
  <c r="H75" i="17"/>
  <c r="I6" i="17" s="1"/>
  <c r="D6" i="17" l="1"/>
  <c r="L32" i="55"/>
  <c r="L6" i="55"/>
  <c r="L49" i="55"/>
  <c r="L48" i="55"/>
  <c r="L47" i="55"/>
  <c r="L46" i="55"/>
  <c r="L45" i="55"/>
  <c r="L44" i="55"/>
  <c r="L43" i="55"/>
  <c r="L42" i="55"/>
  <c r="L41" i="55"/>
  <c r="L40" i="55"/>
  <c r="L39" i="55"/>
  <c r="L38" i="55"/>
  <c r="L37" i="55"/>
  <c r="L36" i="55"/>
  <c r="I35" i="55"/>
  <c r="L35" i="55" s="1"/>
  <c r="L34" i="55"/>
  <c r="L33" i="55"/>
  <c r="L31" i="55"/>
  <c r="L30" i="55"/>
  <c r="L29" i="55"/>
  <c r="L27" i="55"/>
  <c r="L26" i="55"/>
  <c r="L25" i="55"/>
  <c r="L24" i="55"/>
  <c r="L23" i="55"/>
  <c r="L21" i="55"/>
  <c r="L20" i="55"/>
  <c r="L19" i="55"/>
  <c r="L18" i="55"/>
  <c r="C7" i="23" s="1"/>
  <c r="L17" i="55"/>
  <c r="L16" i="55"/>
  <c r="L14" i="55"/>
  <c r="L13" i="55"/>
  <c r="C8" i="25" s="1"/>
  <c r="L12" i="55"/>
  <c r="C7" i="25" s="1"/>
  <c r="L11" i="55"/>
  <c r="L9" i="55"/>
  <c r="C9" i="27" s="1"/>
  <c r="L8" i="55"/>
  <c r="L7" i="55"/>
  <c r="C7" i="28" l="1"/>
  <c r="F55" i="35"/>
  <c r="E16" i="33"/>
  <c r="F25" i="35"/>
  <c r="C8" i="9"/>
  <c r="F34" i="35"/>
  <c r="C8" i="28"/>
  <c r="F56" i="35"/>
  <c r="C6" i="9"/>
  <c r="F23" i="35"/>
  <c r="C9" i="25"/>
  <c r="F40" i="35"/>
  <c r="E8" i="33"/>
  <c r="F16" i="35"/>
  <c r="C7" i="9"/>
  <c r="F33" i="35"/>
  <c r="E23" i="33"/>
  <c r="F46" i="35"/>
  <c r="E10" i="33"/>
  <c r="F18" i="35"/>
  <c r="C6" i="23"/>
  <c r="F49" i="35"/>
  <c r="E11" i="33"/>
  <c r="F19" i="35"/>
  <c r="E17" i="33"/>
  <c r="F26" i="35"/>
  <c r="C9" i="22"/>
  <c r="F45" i="35"/>
  <c r="F32" i="35"/>
  <c r="E9" i="33"/>
  <c r="F17" i="35"/>
  <c r="E18" i="33"/>
  <c r="F38" i="35"/>
  <c r="F27" i="35"/>
  <c r="E21" i="33"/>
  <c r="C31" i="33" s="1"/>
  <c r="F35" i="35"/>
  <c r="C6" i="22"/>
  <c r="F20" i="35"/>
  <c r="E19" i="33"/>
  <c r="F39" i="35"/>
  <c r="F29" i="35"/>
  <c r="E24" i="33"/>
  <c r="F47" i="35"/>
  <c r="C6" i="26"/>
  <c r="F41" i="35"/>
  <c r="E20" i="33"/>
  <c r="F30" i="35"/>
  <c r="F54" i="35"/>
  <c r="C7" i="27"/>
  <c r="F43" i="35"/>
  <c r="E22" i="33"/>
  <c r="F36" i="35"/>
  <c r="E12" i="33"/>
  <c r="F21" i="35"/>
  <c r="C8" i="22"/>
  <c r="F8" i="22" s="1"/>
  <c r="F28" i="35"/>
  <c r="C8" i="27"/>
  <c r="F44" i="35"/>
  <c r="C6" i="24"/>
  <c r="F52" i="35"/>
  <c r="C7" i="26"/>
  <c r="F48" i="35"/>
  <c r="E25" i="33"/>
  <c r="F51" i="35"/>
  <c r="E13" i="33"/>
  <c r="F22" i="35"/>
  <c r="C6" i="27"/>
  <c r="F42" i="35"/>
  <c r="C6" i="25"/>
  <c r="F37" i="35"/>
  <c r="C7" i="24"/>
  <c r="F53" i="35"/>
  <c r="C7" i="22"/>
  <c r="F24" i="35"/>
  <c r="C6" i="21"/>
  <c r="F15" i="35"/>
  <c r="D23" i="28"/>
  <c r="D27" i="28"/>
  <c r="D28" i="28"/>
  <c r="C10" i="22"/>
  <c r="D12" i="17"/>
  <c r="F6" i="17"/>
  <c r="D14" i="17" s="1"/>
  <c r="D43" i="2"/>
  <c r="D27" i="24" l="1"/>
  <c r="D26" i="22"/>
  <c r="D24" i="24"/>
  <c r="D23" i="24"/>
  <c r="D27" i="22"/>
  <c r="C30" i="33"/>
  <c r="O37" i="50" s="1"/>
  <c r="D26" i="28"/>
  <c r="M38" i="50"/>
  <c r="D25" i="24"/>
  <c r="O38" i="50" s="1"/>
  <c r="D25" i="28"/>
  <c r="N39" i="50" s="1"/>
  <c r="C32" i="33"/>
  <c r="O39" i="50" s="1"/>
  <c r="G56" i="24"/>
  <c r="H53" i="24"/>
  <c r="D24" i="28"/>
  <c r="C8" i="35"/>
  <c r="D24" i="22"/>
  <c r="G61" i="22" s="1"/>
  <c r="D25" i="22"/>
  <c r="H57" i="24"/>
  <c r="H59" i="24"/>
  <c r="H60" i="24"/>
  <c r="H55" i="28"/>
  <c r="H49" i="28"/>
  <c r="H50" i="28"/>
  <c r="H56" i="28"/>
  <c r="H51" i="28"/>
  <c r="H53" i="28"/>
  <c r="H54" i="28"/>
  <c r="H52" i="28"/>
  <c r="H48" i="28"/>
  <c r="G55" i="24"/>
  <c r="G55" i="22"/>
  <c r="E37" i="50" s="1"/>
  <c r="E45" i="50" s="1"/>
  <c r="G50" i="28"/>
  <c r="G52" i="28"/>
  <c r="G53" i="28"/>
  <c r="G51" i="28"/>
  <c r="G54" i="28"/>
  <c r="G48" i="28"/>
  <c r="G49" i="28"/>
  <c r="G55" i="28"/>
  <c r="N38" i="50"/>
  <c r="J7" i="31"/>
  <c r="N37" i="50" l="1"/>
  <c r="M37" i="50"/>
  <c r="K37" i="50"/>
  <c r="M39" i="50"/>
  <c r="G60" i="24"/>
  <c r="G54" i="24"/>
  <c r="G58" i="22"/>
  <c r="H37" i="50" s="1"/>
  <c r="G63" i="22"/>
  <c r="H56" i="24"/>
  <c r="G59" i="24"/>
  <c r="H55" i="24"/>
  <c r="G57" i="22"/>
  <c r="G37" i="50" s="1"/>
  <c r="G60" i="22"/>
  <c r="J37" i="50" s="1"/>
  <c r="G56" i="22"/>
  <c r="F37" i="50" s="1"/>
  <c r="H58" i="24"/>
  <c r="G58" i="24"/>
  <c r="H61" i="24"/>
  <c r="H54" i="24"/>
  <c r="G62" i="22"/>
  <c r="L37" i="50" s="1"/>
  <c r="G53" i="24"/>
  <c r="E38" i="50" s="1"/>
  <c r="G59" i="22"/>
  <c r="I37" i="50" s="1"/>
  <c r="G57" i="24"/>
  <c r="L10" i="27"/>
  <c r="L8" i="26"/>
  <c r="L10" i="25"/>
  <c r="J100" i="23"/>
  <c r="L9" i="9"/>
  <c r="L7" i="21" l="1"/>
  <c r="C95" i="50" l="1"/>
  <c r="O35" i="50"/>
  <c r="O55" i="50" s="1"/>
  <c r="N35" i="50"/>
  <c r="N55" i="50" s="1"/>
  <c r="M35" i="50"/>
  <c r="M55" i="50" s="1"/>
  <c r="O34" i="50"/>
  <c r="O54" i="50" s="1"/>
  <c r="N34" i="50"/>
  <c r="N54" i="50" s="1"/>
  <c r="M34" i="50"/>
  <c r="M54" i="50" s="1"/>
  <c r="O33" i="50"/>
  <c r="O53" i="50" s="1"/>
  <c r="N33" i="50"/>
  <c r="N53" i="50" s="1"/>
  <c r="M33" i="50"/>
  <c r="M53" i="50" s="1"/>
  <c r="N36" i="50"/>
  <c r="N56" i="50" s="1"/>
  <c r="O36" i="50"/>
  <c r="O56" i="50" s="1"/>
  <c r="M36" i="50"/>
  <c r="M56" i="50" s="1"/>
  <c r="O32" i="50"/>
  <c r="N32" i="50"/>
  <c r="M32" i="50"/>
  <c r="O31" i="50"/>
  <c r="O51" i="50" s="1"/>
  <c r="N31" i="50"/>
  <c r="N51" i="50" s="1"/>
  <c r="M31" i="50"/>
  <c r="M51" i="50" s="1"/>
  <c r="O30" i="50"/>
  <c r="O50" i="50" s="1"/>
  <c r="N30" i="50"/>
  <c r="N50" i="50" s="1"/>
  <c r="M30" i="50"/>
  <c r="M50" i="50" s="1"/>
  <c r="O29" i="50"/>
  <c r="O49" i="50" s="1"/>
  <c r="N29" i="50"/>
  <c r="N49" i="50" s="1"/>
  <c r="M29" i="50"/>
  <c r="M49" i="50" s="1"/>
  <c r="O28" i="50"/>
  <c r="O48" i="50" s="1"/>
  <c r="N28" i="50"/>
  <c r="N48" i="50" s="1"/>
  <c r="M28" i="50"/>
  <c r="M48" i="50" s="1"/>
  <c r="O27" i="50"/>
  <c r="O47" i="50" s="1"/>
  <c r="N27" i="50"/>
  <c r="N47" i="50" s="1"/>
  <c r="M27" i="50"/>
  <c r="M47" i="50" s="1"/>
  <c r="O26" i="50"/>
  <c r="O46" i="50" s="1"/>
  <c r="M26" i="50"/>
  <c r="M46" i="50" s="1"/>
  <c r="N26" i="50"/>
  <c r="N46" i="50" s="1"/>
  <c r="O25" i="50"/>
  <c r="O45" i="50" s="1"/>
  <c r="M25" i="50"/>
  <c r="M45" i="50" s="1"/>
  <c r="N25" i="50"/>
  <c r="N45" i="50" s="1"/>
  <c r="C43" i="21"/>
  <c r="G20" i="35"/>
  <c r="D29" i="48"/>
  <c r="M7" i="30"/>
  <c r="C10" i="2" s="1"/>
  <c r="L7" i="17"/>
  <c r="L11" i="29"/>
  <c r="L8" i="23"/>
  <c r="C20" i="2" l="1"/>
  <c r="I145" i="22"/>
  <c r="I9" i="22" s="1"/>
  <c r="E49" i="28"/>
  <c r="E50" i="28"/>
  <c r="E51" i="28"/>
  <c r="E52" i="28"/>
  <c r="E53" i="28"/>
  <c r="E54" i="28"/>
  <c r="E55" i="28"/>
  <c r="E48" i="28"/>
  <c r="C49" i="28"/>
  <c r="C50" i="28"/>
  <c r="C51" i="28"/>
  <c r="C52" i="28"/>
  <c r="C53" i="28"/>
  <c r="C54" i="28"/>
  <c r="C55" i="28"/>
  <c r="C48" i="28"/>
  <c r="S56" i="35"/>
  <c r="T56" i="35"/>
  <c r="U56" i="35"/>
  <c r="V56" i="35"/>
  <c r="W56" i="35"/>
  <c r="Q56" i="35"/>
  <c r="R56" i="35"/>
  <c r="N56" i="35"/>
  <c r="O56" i="35"/>
  <c r="P56" i="35"/>
  <c r="L56" i="35"/>
  <c r="M56" i="35"/>
  <c r="H56" i="35"/>
  <c r="I56" i="35"/>
  <c r="J56" i="35"/>
  <c r="K56" i="35"/>
  <c r="G56" i="35"/>
  <c r="I139" i="28"/>
  <c r="I8" i="28" s="1"/>
  <c r="S55" i="35"/>
  <c r="T55" i="35"/>
  <c r="U55" i="35"/>
  <c r="V55" i="35"/>
  <c r="W55" i="35"/>
  <c r="N55" i="35"/>
  <c r="O55" i="35"/>
  <c r="P55" i="35"/>
  <c r="Q55" i="35"/>
  <c r="R55" i="35"/>
  <c r="K55" i="35"/>
  <c r="L55" i="35"/>
  <c r="M55" i="35"/>
  <c r="H55" i="35"/>
  <c r="I55" i="35"/>
  <c r="J55" i="35"/>
  <c r="G55" i="35"/>
  <c r="J114" i="28"/>
  <c r="M7" i="28" s="1"/>
  <c r="I114" i="28"/>
  <c r="I7" i="28" s="1"/>
  <c r="D7" i="28" s="1"/>
  <c r="S50" i="35"/>
  <c r="T50" i="35"/>
  <c r="U50" i="35"/>
  <c r="V50" i="35"/>
  <c r="W50" i="35"/>
  <c r="N50" i="35"/>
  <c r="O50" i="35"/>
  <c r="P50" i="35"/>
  <c r="Q50" i="35"/>
  <c r="R50" i="35"/>
  <c r="L50" i="35"/>
  <c r="M50" i="35"/>
  <c r="H50" i="35"/>
  <c r="I50" i="35"/>
  <c r="J50" i="35"/>
  <c r="K50" i="35"/>
  <c r="G50" i="35"/>
  <c r="I93" i="28"/>
  <c r="I6" i="28" s="1"/>
  <c r="J139" i="28"/>
  <c r="M8" i="28" s="1"/>
  <c r="J93" i="28"/>
  <c r="M6" i="28" s="1"/>
  <c r="E46" i="27"/>
  <c r="F14" i="51" s="1"/>
  <c r="F34" i="51" s="1"/>
  <c r="E47" i="27"/>
  <c r="G14" i="51" s="1"/>
  <c r="G34" i="51" s="1"/>
  <c r="E48" i="27"/>
  <c r="H14" i="51" s="1"/>
  <c r="H34" i="51" s="1"/>
  <c r="E49" i="27"/>
  <c r="I14" i="51" s="1"/>
  <c r="I34" i="51" s="1"/>
  <c r="E50" i="27"/>
  <c r="J14" i="51" s="1"/>
  <c r="J34" i="51" s="1"/>
  <c r="E51" i="27"/>
  <c r="K14" i="51" s="1"/>
  <c r="K34" i="51" s="1"/>
  <c r="E52" i="27"/>
  <c r="L14" i="51" s="1"/>
  <c r="L34" i="51" s="1"/>
  <c r="E45" i="27"/>
  <c r="E14" i="51" s="1"/>
  <c r="E34" i="51" s="1"/>
  <c r="C46" i="27"/>
  <c r="F31" i="50" s="1"/>
  <c r="F51" i="50" s="1"/>
  <c r="C47" i="27"/>
  <c r="G31" i="50" s="1"/>
  <c r="G51" i="50" s="1"/>
  <c r="C48" i="27"/>
  <c r="H31" i="50" s="1"/>
  <c r="H51" i="50" s="1"/>
  <c r="C49" i="27"/>
  <c r="I31" i="50" s="1"/>
  <c r="I51" i="50" s="1"/>
  <c r="C50" i="27"/>
  <c r="J31" i="50" s="1"/>
  <c r="J51" i="50" s="1"/>
  <c r="C51" i="27"/>
  <c r="K31" i="50" s="1"/>
  <c r="K51" i="50" s="1"/>
  <c r="C52" i="27"/>
  <c r="L31" i="50" s="1"/>
  <c r="L51" i="50" s="1"/>
  <c r="C45" i="27"/>
  <c r="S45" i="35"/>
  <c r="T45" i="35"/>
  <c r="U45" i="35"/>
  <c r="V45" i="35"/>
  <c r="W45" i="35"/>
  <c r="N45" i="35"/>
  <c r="O45" i="35"/>
  <c r="P45" i="35"/>
  <c r="Q45" i="35"/>
  <c r="R45" i="35"/>
  <c r="K45" i="35"/>
  <c r="L45" i="35"/>
  <c r="M45" i="35"/>
  <c r="H45" i="35"/>
  <c r="I45" i="35"/>
  <c r="J45" i="35"/>
  <c r="G45" i="35"/>
  <c r="J167" i="27"/>
  <c r="M9" i="27" s="1"/>
  <c r="I167" i="27"/>
  <c r="I9" i="27" s="1"/>
  <c r="O9" i="27" s="1"/>
  <c r="E9" i="27" s="1"/>
  <c r="G9" i="27" s="1"/>
  <c r="S44" i="35"/>
  <c r="T44" i="35"/>
  <c r="U44" i="35"/>
  <c r="V44" i="35"/>
  <c r="W44" i="35"/>
  <c r="Q44" i="35"/>
  <c r="R44" i="35"/>
  <c r="N44" i="35"/>
  <c r="O44" i="35"/>
  <c r="P44" i="35"/>
  <c r="K44" i="35"/>
  <c r="L44" i="35"/>
  <c r="M44" i="35"/>
  <c r="H44" i="35"/>
  <c r="I44" i="35"/>
  <c r="J44" i="35"/>
  <c r="G44" i="35"/>
  <c r="J138" i="27"/>
  <c r="M8" i="27" s="1"/>
  <c r="I138" i="27"/>
  <c r="I8" i="27" s="1"/>
  <c r="S43" i="35"/>
  <c r="T43" i="35"/>
  <c r="U43" i="35"/>
  <c r="V43" i="35"/>
  <c r="W43" i="35"/>
  <c r="Q43" i="35"/>
  <c r="R43" i="35"/>
  <c r="N43" i="35"/>
  <c r="O43" i="35"/>
  <c r="P43" i="35"/>
  <c r="L43" i="35"/>
  <c r="M43" i="35"/>
  <c r="I43" i="35"/>
  <c r="J43" i="35"/>
  <c r="K43" i="35"/>
  <c r="H43" i="35"/>
  <c r="G43" i="35"/>
  <c r="J112" i="27"/>
  <c r="M7" i="27" s="1"/>
  <c r="I112" i="27"/>
  <c r="I7" i="27" s="1"/>
  <c r="U42" i="35"/>
  <c r="V42" i="35"/>
  <c r="W42" i="35"/>
  <c r="S42" i="35"/>
  <c r="T42" i="35"/>
  <c r="R42" i="35"/>
  <c r="N42" i="35"/>
  <c r="O42" i="35"/>
  <c r="P42" i="35"/>
  <c r="Q42" i="35"/>
  <c r="L42" i="35"/>
  <c r="M42" i="35"/>
  <c r="K42" i="35"/>
  <c r="H42" i="35"/>
  <c r="I42" i="35"/>
  <c r="J42" i="35"/>
  <c r="G42" i="35"/>
  <c r="J89" i="27"/>
  <c r="M6" i="27" s="1"/>
  <c r="N10" i="27" s="1"/>
  <c r="I89" i="27"/>
  <c r="E45" i="26"/>
  <c r="E46" i="26"/>
  <c r="G13" i="51" s="1"/>
  <c r="G33" i="51" s="1"/>
  <c r="E47" i="26"/>
  <c r="H13" i="51" s="1"/>
  <c r="H33" i="51" s="1"/>
  <c r="E48" i="26"/>
  <c r="E49" i="26"/>
  <c r="J13" i="51" s="1"/>
  <c r="J33" i="51" s="1"/>
  <c r="E50" i="26"/>
  <c r="K13" i="51" s="1"/>
  <c r="K33" i="51" s="1"/>
  <c r="E51" i="26"/>
  <c r="L13" i="51" s="1"/>
  <c r="L33" i="51" s="1"/>
  <c r="E44" i="26"/>
  <c r="E13" i="51" s="1"/>
  <c r="E33" i="51" s="1"/>
  <c r="C45" i="26"/>
  <c r="F30" i="50" s="1"/>
  <c r="F50" i="50" s="1"/>
  <c r="C46" i="26"/>
  <c r="G30" i="50" s="1"/>
  <c r="G50" i="50" s="1"/>
  <c r="C47" i="26"/>
  <c r="H30" i="50" s="1"/>
  <c r="H50" i="50" s="1"/>
  <c r="C48" i="26"/>
  <c r="I30" i="50" s="1"/>
  <c r="I50" i="50" s="1"/>
  <c r="C49" i="26"/>
  <c r="J30" i="50" s="1"/>
  <c r="J50" i="50" s="1"/>
  <c r="C50" i="26"/>
  <c r="K30" i="50" s="1"/>
  <c r="K50" i="50" s="1"/>
  <c r="C51" i="26"/>
  <c r="L30" i="50" s="1"/>
  <c r="L50" i="50" s="1"/>
  <c r="C44" i="26"/>
  <c r="E30" i="50" s="1"/>
  <c r="E50" i="50" s="1"/>
  <c r="W48" i="35"/>
  <c r="S48" i="35"/>
  <c r="T48" i="35"/>
  <c r="U48" i="35"/>
  <c r="V48" i="35"/>
  <c r="N48" i="35"/>
  <c r="O48" i="35"/>
  <c r="P48" i="35"/>
  <c r="Q48" i="35"/>
  <c r="R48" i="35"/>
  <c r="L48" i="35"/>
  <c r="M48" i="35"/>
  <c r="H48" i="35"/>
  <c r="I48" i="35"/>
  <c r="J48" i="35"/>
  <c r="K48" i="35"/>
  <c r="G48" i="35"/>
  <c r="I92" i="26"/>
  <c r="I7" i="26" s="1"/>
  <c r="D7" i="26" s="1"/>
  <c r="T41" i="35"/>
  <c r="U41" i="35"/>
  <c r="V41" i="35"/>
  <c r="W41" i="35"/>
  <c r="N41" i="35"/>
  <c r="O41" i="35"/>
  <c r="P41" i="35"/>
  <c r="Q41" i="35"/>
  <c r="R41" i="35"/>
  <c r="S41" i="35"/>
  <c r="K41" i="35"/>
  <c r="L41" i="35"/>
  <c r="M41" i="35"/>
  <c r="H41" i="35"/>
  <c r="I41" i="35"/>
  <c r="J41" i="35"/>
  <c r="G41" i="35"/>
  <c r="I75" i="26"/>
  <c r="I6" i="26" s="1"/>
  <c r="D6" i="26" s="1"/>
  <c r="F6" i="26" s="1"/>
  <c r="J92" i="26"/>
  <c r="M7" i="26" s="1"/>
  <c r="J75" i="26"/>
  <c r="M6" i="26" s="1"/>
  <c r="S40" i="35"/>
  <c r="T40" i="35"/>
  <c r="U40" i="35"/>
  <c r="V40" i="35"/>
  <c r="W40" i="35"/>
  <c r="R40" i="35"/>
  <c r="N40" i="35"/>
  <c r="O40" i="35"/>
  <c r="P40" i="35"/>
  <c r="Q40" i="35"/>
  <c r="L40" i="35"/>
  <c r="M40" i="35"/>
  <c r="H40" i="35"/>
  <c r="I40" i="35"/>
  <c r="J40" i="35"/>
  <c r="K40" i="35"/>
  <c r="G40" i="35"/>
  <c r="E47" i="25"/>
  <c r="E48" i="25"/>
  <c r="G12" i="51" s="1"/>
  <c r="G32" i="51" s="1"/>
  <c r="E49" i="25"/>
  <c r="H12" i="51" s="1"/>
  <c r="H32" i="51" s="1"/>
  <c r="E50" i="25"/>
  <c r="I12" i="51" s="1"/>
  <c r="I32" i="51" s="1"/>
  <c r="E51" i="25"/>
  <c r="J12" i="51" s="1"/>
  <c r="J32" i="51" s="1"/>
  <c r="E52" i="25"/>
  <c r="K12" i="51" s="1"/>
  <c r="K32" i="51" s="1"/>
  <c r="E53" i="25"/>
  <c r="L12" i="51" s="1"/>
  <c r="L32" i="51" s="1"/>
  <c r="E46" i="25"/>
  <c r="E12" i="51" s="1"/>
  <c r="E32" i="51" s="1"/>
  <c r="C47" i="25"/>
  <c r="C48" i="25"/>
  <c r="G29" i="50" s="1"/>
  <c r="G49" i="50" s="1"/>
  <c r="C49" i="25"/>
  <c r="H29" i="50" s="1"/>
  <c r="H49" i="50" s="1"/>
  <c r="C50" i="25"/>
  <c r="I29" i="50" s="1"/>
  <c r="I49" i="50" s="1"/>
  <c r="C51" i="25"/>
  <c r="C52" i="25"/>
  <c r="K29" i="50" s="1"/>
  <c r="K49" i="50" s="1"/>
  <c r="C53" i="25"/>
  <c r="L29" i="50" s="1"/>
  <c r="L49" i="50" s="1"/>
  <c r="C46" i="25"/>
  <c r="E29" i="50" s="1"/>
  <c r="E49" i="50" s="1"/>
  <c r="J156" i="25"/>
  <c r="M9" i="25" s="1"/>
  <c r="I156" i="25"/>
  <c r="I9" i="25" s="1"/>
  <c r="S39" i="35"/>
  <c r="T39" i="35"/>
  <c r="U39" i="35"/>
  <c r="V39" i="35"/>
  <c r="W39" i="35"/>
  <c r="N39" i="35"/>
  <c r="O39" i="35"/>
  <c r="P39" i="35"/>
  <c r="Q39" i="35"/>
  <c r="R39" i="35"/>
  <c r="L39" i="35"/>
  <c r="M39" i="35"/>
  <c r="I39" i="35"/>
  <c r="J39" i="35"/>
  <c r="K39" i="35"/>
  <c r="H39" i="35"/>
  <c r="G39" i="35"/>
  <c r="J132" i="25"/>
  <c r="M8" i="25" s="1"/>
  <c r="I132" i="25"/>
  <c r="I8" i="25" s="1"/>
  <c r="N38" i="35"/>
  <c r="O38" i="35"/>
  <c r="P38" i="35"/>
  <c r="Q38" i="35"/>
  <c r="R38" i="35"/>
  <c r="S38" i="35"/>
  <c r="T38" i="35"/>
  <c r="U38" i="35"/>
  <c r="V38" i="35"/>
  <c r="W38" i="35"/>
  <c r="L38" i="35"/>
  <c r="M38" i="35"/>
  <c r="H38" i="35"/>
  <c r="I38" i="35"/>
  <c r="J38" i="35"/>
  <c r="K38" i="35"/>
  <c r="G38" i="35"/>
  <c r="J109" i="25"/>
  <c r="M7" i="25" s="1"/>
  <c r="I109" i="25"/>
  <c r="I7" i="25" s="1"/>
  <c r="S37" i="35"/>
  <c r="T37" i="35"/>
  <c r="U37" i="35"/>
  <c r="V37" i="35"/>
  <c r="W37" i="35"/>
  <c r="N37" i="35"/>
  <c r="O37" i="35"/>
  <c r="P37" i="35"/>
  <c r="Q37" i="35"/>
  <c r="R37" i="35"/>
  <c r="K37" i="35"/>
  <c r="L37" i="35"/>
  <c r="M37" i="35"/>
  <c r="H37" i="35"/>
  <c r="I37" i="35"/>
  <c r="J37" i="35"/>
  <c r="G37" i="35"/>
  <c r="I85" i="25"/>
  <c r="I6" i="25" s="1"/>
  <c r="J85" i="25"/>
  <c r="M6" i="25" s="1"/>
  <c r="Q50" i="50" l="1"/>
  <c r="M34" i="51"/>
  <c r="O6" i="28"/>
  <c r="E6" i="28" s="1"/>
  <c r="G6" i="28" s="1"/>
  <c r="D10" i="35"/>
  <c r="L32" i="50"/>
  <c r="H15" i="51"/>
  <c r="J15" i="51"/>
  <c r="K32" i="50"/>
  <c r="G15" i="51"/>
  <c r="J32" i="50"/>
  <c r="F15" i="51"/>
  <c r="L15" i="51"/>
  <c r="I15" i="51"/>
  <c r="I32" i="50"/>
  <c r="K15" i="51"/>
  <c r="H32" i="50"/>
  <c r="G32" i="50"/>
  <c r="E15" i="51"/>
  <c r="F32" i="50"/>
  <c r="E10" i="35"/>
  <c r="P10" i="35"/>
  <c r="J10" i="35"/>
  <c r="O8" i="27"/>
  <c r="E8" i="27" s="1"/>
  <c r="G8" i="27" s="1"/>
  <c r="N8" i="26"/>
  <c r="H10" i="35"/>
  <c r="D7" i="27"/>
  <c r="O7" i="27"/>
  <c r="E7" i="27" s="1"/>
  <c r="G7" i="27" s="1"/>
  <c r="F7" i="26"/>
  <c r="D14" i="26" s="1"/>
  <c r="O7" i="26"/>
  <c r="E7" i="26" s="1"/>
  <c r="G7" i="26" s="1"/>
  <c r="J8" i="26"/>
  <c r="O6" i="26"/>
  <c r="E6" i="26" s="1"/>
  <c r="T10" i="35"/>
  <c r="N10" i="25"/>
  <c r="D8" i="25"/>
  <c r="O8" i="25"/>
  <c r="E8" i="25" s="1"/>
  <c r="G8" i="25" s="1"/>
  <c r="O6" i="25"/>
  <c r="E6" i="25" s="1"/>
  <c r="J10" i="25"/>
  <c r="D7" i="25"/>
  <c r="O7" i="25"/>
  <c r="E7" i="25" s="1"/>
  <c r="G7" i="25" s="1"/>
  <c r="D9" i="25"/>
  <c r="O9" i="25"/>
  <c r="E9" i="25" s="1"/>
  <c r="G9" i="25" s="1"/>
  <c r="D9" i="22"/>
  <c r="S10" i="35"/>
  <c r="G10" i="35"/>
  <c r="R10" i="35"/>
  <c r="F10" i="35"/>
  <c r="Q10" i="35"/>
  <c r="M10" i="35"/>
  <c r="I10" i="35"/>
  <c r="O10" i="35"/>
  <c r="N10" i="35"/>
  <c r="L10" i="35"/>
  <c r="K10" i="35"/>
  <c r="D9" i="27"/>
  <c r="D8" i="27"/>
  <c r="E31" i="50"/>
  <c r="I13" i="51"/>
  <c r="I33" i="51" s="1"/>
  <c r="F13" i="51"/>
  <c r="F33" i="51" s="1"/>
  <c r="F12" i="51"/>
  <c r="F32" i="51" s="1"/>
  <c r="M32" i="51" s="1"/>
  <c r="J29" i="50"/>
  <c r="J49" i="50" s="1"/>
  <c r="F29" i="50"/>
  <c r="F49" i="50" s="1"/>
  <c r="D8" i="28"/>
  <c r="O8" i="28"/>
  <c r="E8" i="28" s="1"/>
  <c r="G8" i="28" s="1"/>
  <c r="D6" i="28"/>
  <c r="J9" i="28"/>
  <c r="O7" i="28"/>
  <c r="E7" i="28" s="1"/>
  <c r="G7" i="28" s="1"/>
  <c r="E32" i="50"/>
  <c r="N9" i="28"/>
  <c r="E56" i="28"/>
  <c r="C56" i="28"/>
  <c r="D48" i="28" s="1"/>
  <c r="I6" i="27"/>
  <c r="C53" i="27"/>
  <c r="E53" i="27"/>
  <c r="F46" i="27" s="1"/>
  <c r="E52" i="26"/>
  <c r="F46" i="26" s="1"/>
  <c r="C52" i="26"/>
  <c r="D6" i="25"/>
  <c r="E54" i="25"/>
  <c r="F47" i="25" s="1"/>
  <c r="C54" i="25"/>
  <c r="D51" i="25" s="1"/>
  <c r="Q49" i="50" l="1"/>
  <c r="M33" i="51"/>
  <c r="E51" i="50"/>
  <c r="Q51" i="50" s="1"/>
  <c r="D56" i="28"/>
  <c r="D16" i="28"/>
  <c r="E9" i="28"/>
  <c r="J10" i="27"/>
  <c r="O6" i="27"/>
  <c r="E8" i="26"/>
  <c r="D16" i="26" s="1"/>
  <c r="G6" i="26"/>
  <c r="D15" i="26" s="1"/>
  <c r="I37" i="2" s="1"/>
  <c r="E10" i="25"/>
  <c r="G6" i="25"/>
  <c r="D17" i="25" s="1"/>
  <c r="I36" i="2" s="1"/>
  <c r="D20" i="25"/>
  <c r="D18" i="25"/>
  <c r="O8" i="26"/>
  <c r="D10" i="25"/>
  <c r="D14" i="25" s="1"/>
  <c r="O10" i="25"/>
  <c r="D6" i="27"/>
  <c r="F6" i="27" s="1"/>
  <c r="D48" i="27"/>
  <c r="D49" i="27"/>
  <c r="D45" i="27"/>
  <c r="D46" i="26"/>
  <c r="D47" i="26"/>
  <c r="D44" i="26"/>
  <c r="D49" i="26"/>
  <c r="D50" i="26"/>
  <c r="D51" i="26"/>
  <c r="D48" i="26"/>
  <c r="D45" i="26"/>
  <c r="F44" i="26"/>
  <c r="F50" i="26"/>
  <c r="F51" i="26"/>
  <c r="F49" i="26"/>
  <c r="F47" i="26"/>
  <c r="F45" i="26"/>
  <c r="F48" i="26"/>
  <c r="D50" i="25"/>
  <c r="D49" i="25"/>
  <c r="F52" i="25"/>
  <c r="D46" i="25"/>
  <c r="D52" i="25"/>
  <c r="D53" i="25"/>
  <c r="D48" i="25"/>
  <c r="D47" i="25"/>
  <c r="F48" i="25"/>
  <c r="F49" i="25"/>
  <c r="F51" i="25"/>
  <c r="F53" i="25"/>
  <c r="F50" i="25"/>
  <c r="F46" i="25"/>
  <c r="D53" i="28"/>
  <c r="D54" i="28"/>
  <c r="D55" i="28"/>
  <c r="F53" i="28"/>
  <c r="F54" i="28"/>
  <c r="F55" i="28"/>
  <c r="F48" i="28"/>
  <c r="F56" i="28" s="1"/>
  <c r="D49" i="28"/>
  <c r="F49" i="28"/>
  <c r="D50" i="28"/>
  <c r="F50" i="28"/>
  <c r="D51" i="28"/>
  <c r="F51" i="28"/>
  <c r="F52" i="28"/>
  <c r="D52" i="28"/>
  <c r="F49" i="27"/>
  <c r="F48" i="27"/>
  <c r="F50" i="27"/>
  <c r="D52" i="27"/>
  <c r="D51" i="27"/>
  <c r="D50" i="27"/>
  <c r="F47" i="27"/>
  <c r="F51" i="27"/>
  <c r="F52" i="27"/>
  <c r="F45" i="27"/>
  <c r="D46" i="27"/>
  <c r="D47" i="27"/>
  <c r="D18" i="28" l="1"/>
  <c r="D21" i="28" s="1"/>
  <c r="D17" i="28"/>
  <c r="D20" i="28" s="1"/>
  <c r="D19" i="28"/>
  <c r="E39" i="2"/>
  <c r="D14" i="28"/>
  <c r="G39" i="2" s="1"/>
  <c r="O10" i="27"/>
  <c r="E6" i="27"/>
  <c r="D19" i="26"/>
  <c r="D17" i="26"/>
  <c r="D20" i="26" s="1"/>
  <c r="D13" i="26"/>
  <c r="D18" i="26"/>
  <c r="D21" i="26" s="1"/>
  <c r="D23" i="25"/>
  <c r="D21" i="25"/>
  <c r="D15" i="25"/>
  <c r="D19" i="25"/>
  <c r="D22" i="25" s="1"/>
  <c r="C53" i="24"/>
  <c r="S53" i="35"/>
  <c r="T53" i="35"/>
  <c r="U53" i="35"/>
  <c r="V53" i="35"/>
  <c r="W53" i="35"/>
  <c r="N53" i="35"/>
  <c r="O53" i="35"/>
  <c r="P53" i="35"/>
  <c r="Q53" i="35"/>
  <c r="R53" i="35"/>
  <c r="L53" i="35"/>
  <c r="M53" i="35"/>
  <c r="H53" i="35"/>
  <c r="I53" i="35"/>
  <c r="J53" i="35"/>
  <c r="K53" i="35"/>
  <c r="G53" i="35"/>
  <c r="E54" i="24"/>
  <c r="E55" i="24"/>
  <c r="E56" i="24"/>
  <c r="E57" i="24"/>
  <c r="E58" i="24"/>
  <c r="E59" i="24"/>
  <c r="E60" i="24"/>
  <c r="L21" i="51" s="1"/>
  <c r="E53" i="24"/>
  <c r="E21" i="51" s="1"/>
  <c r="C54" i="24"/>
  <c r="C55" i="24"/>
  <c r="C56" i="24"/>
  <c r="C57" i="24"/>
  <c r="C58" i="24"/>
  <c r="C59" i="24"/>
  <c r="C60" i="24"/>
  <c r="J123" i="24"/>
  <c r="M7" i="24" s="1"/>
  <c r="I123" i="24"/>
  <c r="I7" i="24" s="1"/>
  <c r="W52" i="35"/>
  <c r="V52" i="35"/>
  <c r="U52" i="35"/>
  <c r="T52" i="35"/>
  <c r="Q9" i="35" s="1"/>
  <c r="S52" i="35"/>
  <c r="L52" i="35"/>
  <c r="M52" i="35"/>
  <c r="N52" i="35"/>
  <c r="K9" i="35" s="1"/>
  <c r="O52" i="35"/>
  <c r="L9" i="35" s="1"/>
  <c r="P52" i="35"/>
  <c r="M9" i="35" s="1"/>
  <c r="Q52" i="35"/>
  <c r="R52" i="35"/>
  <c r="O9" i="35" s="1"/>
  <c r="H52" i="35"/>
  <c r="I52" i="35"/>
  <c r="J52" i="35"/>
  <c r="K52" i="35"/>
  <c r="G52" i="35"/>
  <c r="I99" i="24"/>
  <c r="I6" i="24" s="1"/>
  <c r="J99" i="24"/>
  <c r="M6" i="24" s="1"/>
  <c r="E49" i="32"/>
  <c r="E50" i="32"/>
  <c r="E51" i="32"/>
  <c r="E52" i="32"/>
  <c r="E53" i="32"/>
  <c r="E54" i="32"/>
  <c r="E55" i="32"/>
  <c r="E48" i="32"/>
  <c r="C49" i="32"/>
  <c r="C50" i="32"/>
  <c r="C51" i="32"/>
  <c r="C52" i="32"/>
  <c r="C53" i="32"/>
  <c r="C54" i="32"/>
  <c r="C55" i="32"/>
  <c r="C48" i="32"/>
  <c r="J120" i="32"/>
  <c r="N6" i="32" s="1"/>
  <c r="I120" i="32"/>
  <c r="G6" i="32" s="1"/>
  <c r="R6" i="32" s="1"/>
  <c r="M7" i="32"/>
  <c r="M20" i="2" l="1"/>
  <c r="D9" i="35"/>
  <c r="F11" i="51"/>
  <c r="F21" i="51"/>
  <c r="I28" i="50"/>
  <c r="I38" i="50"/>
  <c r="E28" i="50"/>
  <c r="K11" i="51"/>
  <c r="K21" i="51"/>
  <c r="H28" i="50"/>
  <c r="H38" i="50"/>
  <c r="J11" i="51"/>
  <c r="J21" i="51"/>
  <c r="I11" i="51"/>
  <c r="I21" i="51"/>
  <c r="G28" i="50"/>
  <c r="G38" i="50"/>
  <c r="F28" i="50"/>
  <c r="F38" i="50"/>
  <c r="L28" i="50"/>
  <c r="L38" i="50"/>
  <c r="H11" i="51"/>
  <c r="H21" i="51"/>
  <c r="J28" i="50"/>
  <c r="J38" i="50"/>
  <c r="K28" i="50"/>
  <c r="K38" i="50"/>
  <c r="G11" i="51"/>
  <c r="G21" i="51"/>
  <c r="H7" i="32"/>
  <c r="D6" i="32"/>
  <c r="D13" i="32" s="1"/>
  <c r="D15" i="32" s="1"/>
  <c r="G6" i="27"/>
  <c r="D17" i="27" s="1"/>
  <c r="I38" i="2" s="1"/>
  <c r="E10" i="27"/>
  <c r="E38" i="2" s="1"/>
  <c r="N9" i="35"/>
  <c r="P9" i="35"/>
  <c r="E9" i="35"/>
  <c r="T9" i="35"/>
  <c r="O7" i="24"/>
  <c r="E7" i="24" s="1"/>
  <c r="D7" i="24"/>
  <c r="F7" i="24" s="1"/>
  <c r="N8" i="24"/>
  <c r="O6" i="24"/>
  <c r="E6" i="24" s="1"/>
  <c r="J8" i="24"/>
  <c r="D6" i="24"/>
  <c r="F6" i="24" s="1"/>
  <c r="H9" i="35"/>
  <c r="J9" i="35"/>
  <c r="S9" i="35"/>
  <c r="I9" i="35"/>
  <c r="G9" i="35"/>
  <c r="R9" i="35"/>
  <c r="F9" i="35"/>
  <c r="E6" i="32"/>
  <c r="D14" i="32" s="1"/>
  <c r="D16" i="32" s="1"/>
  <c r="E11" i="51"/>
  <c r="E31" i="51" s="1"/>
  <c r="L11" i="51"/>
  <c r="L31" i="51" s="1"/>
  <c r="E61" i="24"/>
  <c r="F54" i="24" s="1"/>
  <c r="C61" i="24"/>
  <c r="D14" i="24" l="1"/>
  <c r="M19" i="2"/>
  <c r="E7" i="32"/>
  <c r="J31" i="51"/>
  <c r="J48" i="50"/>
  <c r="M21" i="51"/>
  <c r="H31" i="51"/>
  <c r="H48" i="50"/>
  <c r="L48" i="50"/>
  <c r="K31" i="51"/>
  <c r="F48" i="50"/>
  <c r="E48" i="50"/>
  <c r="G6" i="24"/>
  <c r="E8" i="24"/>
  <c r="G31" i="51"/>
  <c r="G48" i="50"/>
  <c r="I48" i="50"/>
  <c r="G7" i="24"/>
  <c r="K48" i="50"/>
  <c r="I31" i="51"/>
  <c r="F31" i="51"/>
  <c r="D19" i="27"/>
  <c r="D15" i="27"/>
  <c r="G38" i="2" s="1"/>
  <c r="D20" i="27"/>
  <c r="D18" i="27"/>
  <c r="D23" i="27"/>
  <c r="D22" i="27"/>
  <c r="D21" i="27"/>
  <c r="O8" i="24"/>
  <c r="F55" i="24"/>
  <c r="F57" i="24"/>
  <c r="F56" i="24"/>
  <c r="F58" i="24"/>
  <c r="F59" i="24"/>
  <c r="M11" i="51"/>
  <c r="F60" i="24"/>
  <c r="F53" i="24"/>
  <c r="D54" i="24"/>
  <c r="D55" i="24"/>
  <c r="D56" i="24"/>
  <c r="D57" i="24"/>
  <c r="D58" i="24"/>
  <c r="D59" i="24"/>
  <c r="D60" i="24"/>
  <c r="D53" i="24"/>
  <c r="D61" i="24" s="1"/>
  <c r="Q48" i="50" l="1"/>
  <c r="D15" i="24"/>
  <c r="I35" i="2" s="1"/>
  <c r="F21" i="33" s="1"/>
  <c r="G21" i="33" s="1"/>
  <c r="D18" i="32"/>
  <c r="D19" i="32"/>
  <c r="D23" i="32" s="1"/>
  <c r="D20" i="32"/>
  <c r="D24" i="32" s="1"/>
  <c r="D22" i="32"/>
  <c r="D17" i="32"/>
  <c r="D21" i="32" s="1"/>
  <c r="M31" i="51"/>
  <c r="E35" i="2"/>
  <c r="F61" i="24"/>
  <c r="D13" i="24"/>
  <c r="G35" i="2" s="1"/>
  <c r="O7" i="32"/>
  <c r="M34" i="35"/>
  <c r="N34" i="35"/>
  <c r="O34" i="35"/>
  <c r="P34" i="35"/>
  <c r="Q34" i="35"/>
  <c r="R34" i="35"/>
  <c r="S34" i="35"/>
  <c r="T34" i="35"/>
  <c r="U34" i="35"/>
  <c r="V34" i="35"/>
  <c r="W34" i="35"/>
  <c r="K34" i="35"/>
  <c r="L34" i="35"/>
  <c r="H34" i="35"/>
  <c r="I34" i="35"/>
  <c r="J34" i="35"/>
  <c r="G34" i="35"/>
  <c r="C46" i="9"/>
  <c r="H26" i="50" s="1"/>
  <c r="H46" i="50" s="1"/>
  <c r="C43" i="9"/>
  <c r="E26" i="50" s="1"/>
  <c r="E46" i="50" s="1"/>
  <c r="E44" i="9"/>
  <c r="F9" i="51" s="1"/>
  <c r="F29" i="51" s="1"/>
  <c r="E45" i="9"/>
  <c r="G9" i="51" s="1"/>
  <c r="G29" i="51" s="1"/>
  <c r="E46" i="9"/>
  <c r="H9" i="51" s="1"/>
  <c r="H29" i="51" s="1"/>
  <c r="E47" i="9"/>
  <c r="I9" i="51" s="1"/>
  <c r="I29" i="51" s="1"/>
  <c r="E48" i="9"/>
  <c r="J9" i="51" s="1"/>
  <c r="J29" i="51" s="1"/>
  <c r="E49" i="9"/>
  <c r="K9" i="51" s="1"/>
  <c r="K29" i="51" s="1"/>
  <c r="E50" i="9"/>
  <c r="L9" i="51" s="1"/>
  <c r="L29" i="51" s="1"/>
  <c r="E43" i="9"/>
  <c r="E9" i="51" s="1"/>
  <c r="E29" i="51" s="1"/>
  <c r="C44" i="9"/>
  <c r="F26" i="50" s="1"/>
  <c r="F46" i="50" s="1"/>
  <c r="C45" i="9"/>
  <c r="G26" i="50" s="1"/>
  <c r="G46" i="50" s="1"/>
  <c r="C47" i="9"/>
  <c r="I26" i="50" s="1"/>
  <c r="I46" i="50" s="1"/>
  <c r="C48" i="9"/>
  <c r="J26" i="50" s="1"/>
  <c r="J46" i="50" s="1"/>
  <c r="C49" i="9"/>
  <c r="K26" i="50" s="1"/>
  <c r="K46" i="50" s="1"/>
  <c r="C50" i="9"/>
  <c r="L26" i="50" s="1"/>
  <c r="L46" i="50" s="1"/>
  <c r="J124" i="9"/>
  <c r="M8" i="9" s="1"/>
  <c r="I124" i="9"/>
  <c r="I8" i="9" s="1"/>
  <c r="N33" i="35"/>
  <c r="O33" i="35"/>
  <c r="P33" i="35"/>
  <c r="Q33" i="35"/>
  <c r="R33" i="35"/>
  <c r="S33" i="35"/>
  <c r="T33" i="35"/>
  <c r="U33" i="35"/>
  <c r="V33" i="35"/>
  <c r="W33" i="35"/>
  <c r="K33" i="35"/>
  <c r="L33" i="35"/>
  <c r="M33" i="35"/>
  <c r="H33" i="35"/>
  <c r="I33" i="35"/>
  <c r="J33" i="35"/>
  <c r="G33" i="35"/>
  <c r="I102" i="9"/>
  <c r="I7" i="9" s="1"/>
  <c r="J102" i="9"/>
  <c r="M7" i="9" s="1"/>
  <c r="S23" i="35"/>
  <c r="T23" i="35"/>
  <c r="U23" i="35"/>
  <c r="V23" i="35"/>
  <c r="W23" i="35"/>
  <c r="Q23" i="35"/>
  <c r="R23" i="35"/>
  <c r="N23" i="35"/>
  <c r="O23" i="35"/>
  <c r="P23" i="35"/>
  <c r="L23" i="35"/>
  <c r="M23" i="35"/>
  <c r="K23" i="35"/>
  <c r="H23" i="35"/>
  <c r="I23" i="35"/>
  <c r="J23" i="35"/>
  <c r="G23" i="35"/>
  <c r="G24" i="35"/>
  <c r="J80" i="9"/>
  <c r="M6" i="9" s="1"/>
  <c r="I80" i="9"/>
  <c r="I6" i="9" s="1"/>
  <c r="D6" i="9" s="1"/>
  <c r="F6" i="9" s="1"/>
  <c r="F10" i="51"/>
  <c r="F30" i="51" s="1"/>
  <c r="I10" i="51"/>
  <c r="I30" i="51" s="1"/>
  <c r="J10" i="51"/>
  <c r="J30" i="51" s="1"/>
  <c r="K10" i="51"/>
  <c r="K30" i="51" s="1"/>
  <c r="L10" i="51"/>
  <c r="L30" i="51" s="1"/>
  <c r="E10" i="51"/>
  <c r="E30" i="51" s="1"/>
  <c r="C42" i="23"/>
  <c r="F27" i="50" s="1"/>
  <c r="F47" i="50" s="1"/>
  <c r="C43" i="23"/>
  <c r="G27" i="50" s="1"/>
  <c r="G47" i="50" s="1"/>
  <c r="C44" i="23"/>
  <c r="H27" i="50" s="1"/>
  <c r="H47" i="50" s="1"/>
  <c r="C45" i="23"/>
  <c r="I27" i="50" s="1"/>
  <c r="I47" i="50" s="1"/>
  <c r="C46" i="23"/>
  <c r="J27" i="50" s="1"/>
  <c r="J47" i="50" s="1"/>
  <c r="C47" i="23"/>
  <c r="K27" i="50" s="1"/>
  <c r="K47" i="50" s="1"/>
  <c r="C48" i="23"/>
  <c r="L27" i="50" s="1"/>
  <c r="L47" i="50" s="1"/>
  <c r="C41" i="23"/>
  <c r="E27" i="50" s="1"/>
  <c r="E47" i="50" s="1"/>
  <c r="H54" i="35"/>
  <c r="I54" i="35"/>
  <c r="J54" i="35"/>
  <c r="K54" i="35"/>
  <c r="L54" i="35"/>
  <c r="M54" i="35"/>
  <c r="N54" i="35"/>
  <c r="O54" i="35"/>
  <c r="P54" i="35"/>
  <c r="Q54" i="35"/>
  <c r="R54" i="35"/>
  <c r="S54" i="35"/>
  <c r="T54" i="35"/>
  <c r="U54" i="35"/>
  <c r="V54" i="35"/>
  <c r="W54" i="35"/>
  <c r="G54" i="35"/>
  <c r="M7" i="23"/>
  <c r="I100" i="23"/>
  <c r="I7" i="23" s="1"/>
  <c r="H49" i="35"/>
  <c r="I49" i="35"/>
  <c r="J49" i="35"/>
  <c r="K49" i="35"/>
  <c r="L49" i="35"/>
  <c r="M49" i="35"/>
  <c r="N49" i="35"/>
  <c r="O49" i="35"/>
  <c r="P49" i="35"/>
  <c r="Q49" i="35"/>
  <c r="R49" i="35"/>
  <c r="S49" i="35"/>
  <c r="T49" i="35"/>
  <c r="U49" i="35"/>
  <c r="V49" i="35"/>
  <c r="W49" i="35"/>
  <c r="G49" i="35"/>
  <c r="J78" i="23"/>
  <c r="M6" i="23" s="1"/>
  <c r="I78" i="23"/>
  <c r="I6" i="23" s="1"/>
  <c r="D6" i="23" s="1"/>
  <c r="F6" i="23" s="1"/>
  <c r="E44" i="21"/>
  <c r="E45" i="21"/>
  <c r="E46" i="21"/>
  <c r="E47" i="21"/>
  <c r="E48" i="21"/>
  <c r="E49" i="21"/>
  <c r="E50" i="21"/>
  <c r="E43" i="21"/>
  <c r="C44" i="21"/>
  <c r="C45" i="21"/>
  <c r="C46" i="21"/>
  <c r="C47" i="21"/>
  <c r="C48" i="21"/>
  <c r="C49" i="21"/>
  <c r="C50" i="21"/>
  <c r="I81" i="21"/>
  <c r="M6" i="21" s="1"/>
  <c r="N7" i="21" s="1"/>
  <c r="H81" i="21"/>
  <c r="I6" i="21" s="1"/>
  <c r="H64" i="35"/>
  <c r="I64" i="35"/>
  <c r="J64" i="35"/>
  <c r="K64" i="35"/>
  <c r="L64" i="35"/>
  <c r="M64" i="35"/>
  <c r="N64" i="35"/>
  <c r="O64" i="35"/>
  <c r="P64" i="35"/>
  <c r="Q64" i="35"/>
  <c r="R64" i="35"/>
  <c r="S64" i="35"/>
  <c r="T64" i="35"/>
  <c r="U64" i="35"/>
  <c r="V64" i="35"/>
  <c r="W64" i="35"/>
  <c r="E44" i="17"/>
  <c r="F16" i="51" s="1"/>
  <c r="F36" i="51" s="1"/>
  <c r="E45" i="17"/>
  <c r="G16" i="51" s="1"/>
  <c r="G36" i="51" s="1"/>
  <c r="E46" i="17"/>
  <c r="H16" i="51" s="1"/>
  <c r="H36" i="51" s="1"/>
  <c r="E47" i="17"/>
  <c r="I16" i="51" s="1"/>
  <c r="I36" i="51" s="1"/>
  <c r="E48" i="17"/>
  <c r="J16" i="51" s="1"/>
  <c r="J36" i="51" s="1"/>
  <c r="E49" i="17"/>
  <c r="K16" i="51" s="1"/>
  <c r="K36" i="51" s="1"/>
  <c r="E50" i="17"/>
  <c r="L16" i="51" s="1"/>
  <c r="L36" i="51" s="1"/>
  <c r="E43" i="17"/>
  <c r="E16" i="51" s="1"/>
  <c r="E36" i="51" s="1"/>
  <c r="C44" i="17"/>
  <c r="F33" i="50" s="1"/>
  <c r="F53" i="50" s="1"/>
  <c r="C45" i="17"/>
  <c r="G33" i="50" s="1"/>
  <c r="G53" i="50" s="1"/>
  <c r="C46" i="17"/>
  <c r="H33" i="50" s="1"/>
  <c r="H53" i="50" s="1"/>
  <c r="C47" i="17"/>
  <c r="I33" i="50" s="1"/>
  <c r="I53" i="50" s="1"/>
  <c r="C48" i="17"/>
  <c r="J33" i="50" s="1"/>
  <c r="J53" i="50" s="1"/>
  <c r="C49" i="17"/>
  <c r="K33" i="50" s="1"/>
  <c r="K53" i="50" s="1"/>
  <c r="C50" i="17"/>
  <c r="L33" i="50" s="1"/>
  <c r="L53" i="50" s="1"/>
  <c r="C43" i="17"/>
  <c r="E33" i="50" s="1"/>
  <c r="E53" i="50" s="1"/>
  <c r="I75" i="17"/>
  <c r="M6" i="17" s="1"/>
  <c r="K18" i="51"/>
  <c r="K38" i="51" s="1"/>
  <c r="E50" i="29"/>
  <c r="F18" i="51" s="1"/>
  <c r="F38" i="51" s="1"/>
  <c r="E51" i="29"/>
  <c r="G18" i="51" s="1"/>
  <c r="G38" i="51" s="1"/>
  <c r="E52" i="29"/>
  <c r="H18" i="51" s="1"/>
  <c r="H38" i="51" s="1"/>
  <c r="E53" i="29"/>
  <c r="I18" i="51" s="1"/>
  <c r="I38" i="51" s="1"/>
  <c r="E54" i="29"/>
  <c r="J18" i="51" s="1"/>
  <c r="J38" i="51" s="1"/>
  <c r="E55" i="29"/>
  <c r="E56" i="29"/>
  <c r="L18" i="51" s="1"/>
  <c r="L38" i="51" s="1"/>
  <c r="E49" i="29"/>
  <c r="E18" i="51" s="1"/>
  <c r="E38" i="51" s="1"/>
  <c r="C50" i="29"/>
  <c r="F35" i="50" s="1"/>
  <c r="F55" i="50" s="1"/>
  <c r="C51" i="29"/>
  <c r="G35" i="50" s="1"/>
  <c r="G55" i="50" s="1"/>
  <c r="C52" i="29"/>
  <c r="H35" i="50" s="1"/>
  <c r="H55" i="50" s="1"/>
  <c r="C53" i="29"/>
  <c r="I35" i="50" s="1"/>
  <c r="I55" i="50" s="1"/>
  <c r="C54" i="29"/>
  <c r="J35" i="50" s="1"/>
  <c r="J55" i="50" s="1"/>
  <c r="C55" i="29"/>
  <c r="K35" i="50" s="1"/>
  <c r="K55" i="50" s="1"/>
  <c r="C56" i="29"/>
  <c r="L35" i="50" s="1"/>
  <c r="L55" i="50" s="1"/>
  <c r="C49" i="29"/>
  <c r="E35" i="50" s="1"/>
  <c r="E55" i="50" s="1"/>
  <c r="H63" i="35"/>
  <c r="I63" i="35"/>
  <c r="J63" i="35"/>
  <c r="K63" i="35"/>
  <c r="L63" i="35"/>
  <c r="M63" i="35"/>
  <c r="N63" i="35"/>
  <c r="O63" i="35"/>
  <c r="P63" i="35"/>
  <c r="Q63" i="35"/>
  <c r="R63" i="35"/>
  <c r="S63" i="35"/>
  <c r="T63" i="35"/>
  <c r="U63" i="35"/>
  <c r="V63" i="35"/>
  <c r="W63" i="35"/>
  <c r="G63" i="35"/>
  <c r="I183" i="29"/>
  <c r="I10" i="29" s="1"/>
  <c r="J183" i="29"/>
  <c r="M10" i="29" s="1"/>
  <c r="H62" i="35"/>
  <c r="I62" i="35"/>
  <c r="J62" i="35"/>
  <c r="K62" i="35"/>
  <c r="L62" i="35"/>
  <c r="M62" i="35"/>
  <c r="N62" i="35"/>
  <c r="O62" i="35"/>
  <c r="P62" i="35"/>
  <c r="Q62" i="35"/>
  <c r="R62" i="35"/>
  <c r="S62" i="35"/>
  <c r="T62" i="35"/>
  <c r="U62" i="35"/>
  <c r="V62" i="35"/>
  <c r="W62" i="35"/>
  <c r="G62" i="35"/>
  <c r="J159" i="29"/>
  <c r="M9" i="29" s="1"/>
  <c r="I159" i="29"/>
  <c r="I9" i="29" s="1"/>
  <c r="U61" i="35"/>
  <c r="V61" i="35"/>
  <c r="W61" i="35"/>
  <c r="S61" i="35"/>
  <c r="T61" i="35"/>
  <c r="Q61" i="35"/>
  <c r="R61" i="35"/>
  <c r="P61" i="35"/>
  <c r="M61" i="35"/>
  <c r="N61" i="35"/>
  <c r="O61" i="35"/>
  <c r="L61" i="35"/>
  <c r="K61" i="35"/>
  <c r="J61" i="35"/>
  <c r="H61" i="35"/>
  <c r="I61" i="35"/>
  <c r="G61" i="35"/>
  <c r="J135" i="29"/>
  <c r="M8" i="29" s="1"/>
  <c r="I135" i="29"/>
  <c r="I8" i="29" s="1"/>
  <c r="Q8" i="29" s="1"/>
  <c r="K60" i="35"/>
  <c r="L60" i="35"/>
  <c r="M60" i="35"/>
  <c r="N60" i="35"/>
  <c r="O60" i="35"/>
  <c r="P60" i="35"/>
  <c r="Q60" i="35"/>
  <c r="R60" i="35"/>
  <c r="S60" i="35"/>
  <c r="T60" i="35"/>
  <c r="U60" i="35"/>
  <c r="V60" i="35"/>
  <c r="W60" i="35"/>
  <c r="H60" i="35"/>
  <c r="I60" i="35"/>
  <c r="J60" i="35"/>
  <c r="G60" i="35"/>
  <c r="J111" i="29"/>
  <c r="M7" i="29" s="1"/>
  <c r="I111" i="29"/>
  <c r="I7" i="29" s="1"/>
  <c r="Q7" i="29" s="1"/>
  <c r="M59" i="35"/>
  <c r="N59" i="35"/>
  <c r="O59" i="35"/>
  <c r="P59" i="35"/>
  <c r="Q59" i="35"/>
  <c r="R59" i="35"/>
  <c r="S59" i="35"/>
  <c r="T59" i="35"/>
  <c r="U59" i="35"/>
  <c r="V59" i="35"/>
  <c r="W59" i="35"/>
  <c r="H59" i="35"/>
  <c r="I59" i="35"/>
  <c r="J59" i="35"/>
  <c r="K59" i="35"/>
  <c r="L59" i="35"/>
  <c r="G59" i="35"/>
  <c r="J87" i="29"/>
  <c r="M6" i="29" s="1"/>
  <c r="I87" i="29"/>
  <c r="I6" i="29" s="1"/>
  <c r="Q6" i="29" s="1"/>
  <c r="E6" i="29" s="1"/>
  <c r="G6" i="29" s="1"/>
  <c r="Q46" i="50" l="1"/>
  <c r="Q55" i="50"/>
  <c r="Q47" i="50"/>
  <c r="Q53" i="50"/>
  <c r="D18" i="24"/>
  <c r="D21" i="24" s="1"/>
  <c r="D17" i="24"/>
  <c r="D20" i="24" s="1"/>
  <c r="D16" i="24"/>
  <c r="D19" i="24" s="1"/>
  <c r="M21" i="2"/>
  <c r="F22" i="33"/>
  <c r="G22" i="33" s="1"/>
  <c r="J22" i="33" s="1"/>
  <c r="M29" i="51"/>
  <c r="M36" i="51"/>
  <c r="M38" i="51"/>
  <c r="M30" i="51"/>
  <c r="N7" i="17"/>
  <c r="C21" i="2" s="1"/>
  <c r="O6" i="17"/>
  <c r="E6" i="17" s="1"/>
  <c r="D10" i="29"/>
  <c r="Q10" i="29"/>
  <c r="E10" i="29" s="1"/>
  <c r="G10" i="29" s="1"/>
  <c r="Q9" i="29"/>
  <c r="E9" i="29" s="1"/>
  <c r="G9" i="29" s="1"/>
  <c r="O7" i="23"/>
  <c r="E7" i="23" s="1"/>
  <c r="G7" i="23" s="1"/>
  <c r="O6" i="23"/>
  <c r="D6" i="21"/>
  <c r="F6" i="21" s="1"/>
  <c r="D13" i="21" s="1"/>
  <c r="H31" i="2" s="1"/>
  <c r="O6" i="21"/>
  <c r="D7" i="21"/>
  <c r="D11" i="21" s="1"/>
  <c r="J7" i="21"/>
  <c r="J8" i="23"/>
  <c r="D7" i="23"/>
  <c r="F7" i="23" s="1"/>
  <c r="D14" i="23" s="1"/>
  <c r="O8" i="9"/>
  <c r="E8" i="9" s="1"/>
  <c r="G8" i="9" s="1"/>
  <c r="D8" i="9"/>
  <c r="F8" i="9" s="1"/>
  <c r="N9" i="9"/>
  <c r="O7" i="9"/>
  <c r="E7" i="9" s="1"/>
  <c r="G7" i="9" s="1"/>
  <c r="D7" i="9"/>
  <c r="F7" i="9" s="1"/>
  <c r="J9" i="9"/>
  <c r="O6" i="9"/>
  <c r="E6" i="9" s="1"/>
  <c r="J7" i="17"/>
  <c r="C19" i="2" s="1"/>
  <c r="M18" i="51"/>
  <c r="E8" i="29"/>
  <c r="G8" i="29" s="1"/>
  <c r="J11" i="29"/>
  <c r="D6" i="29"/>
  <c r="F6" i="29" s="1"/>
  <c r="N8" i="23"/>
  <c r="D7" i="32"/>
  <c r="C56" i="32"/>
  <c r="D48" i="32" s="1"/>
  <c r="E56" i="32"/>
  <c r="F52" i="32" s="1"/>
  <c r="E51" i="9"/>
  <c r="C51" i="9"/>
  <c r="D47" i="9" s="1"/>
  <c r="D9" i="29"/>
  <c r="N11" i="29"/>
  <c r="D7" i="29"/>
  <c r="E7" i="29"/>
  <c r="G7" i="29" s="1"/>
  <c r="C49" i="23"/>
  <c r="D45" i="23" s="1"/>
  <c r="E49" i="23"/>
  <c r="E51" i="21"/>
  <c r="F47" i="21" s="1"/>
  <c r="C51" i="21"/>
  <c r="E51" i="17"/>
  <c r="F44" i="17" s="1"/>
  <c r="C51" i="17"/>
  <c r="D44" i="17" s="1"/>
  <c r="D8" i="29"/>
  <c r="E57" i="29"/>
  <c r="F51" i="29" s="1"/>
  <c r="C57" i="29"/>
  <c r="D49" i="29" s="1"/>
  <c r="H21" i="33" l="1"/>
  <c r="J21" i="33"/>
  <c r="I21" i="33"/>
  <c r="D15" i="9"/>
  <c r="C23" i="2"/>
  <c r="D21" i="2" s="1"/>
  <c r="I22" i="33"/>
  <c r="H22" i="33"/>
  <c r="G6" i="17"/>
  <c r="D15" i="17" s="1"/>
  <c r="I40" i="2" s="1"/>
  <c r="E7" i="17"/>
  <c r="E40" i="2" s="1"/>
  <c r="D18" i="29"/>
  <c r="I42" i="2" s="1"/>
  <c r="E11" i="29"/>
  <c r="E42" i="2" s="1"/>
  <c r="F46" i="23"/>
  <c r="F41" i="23"/>
  <c r="O8" i="23"/>
  <c r="G6" i="9"/>
  <c r="D16" i="9" s="1"/>
  <c r="I33" i="2" s="1"/>
  <c r="E9" i="9"/>
  <c r="D17" i="9" s="1"/>
  <c r="D19" i="9"/>
  <c r="G6" i="21"/>
  <c r="D14" i="21" s="1"/>
  <c r="I31" i="2" s="1"/>
  <c r="O7" i="21"/>
  <c r="O9" i="9"/>
  <c r="Q11" i="29"/>
  <c r="D9" i="9"/>
  <c r="D13" i="9" s="1"/>
  <c r="D52" i="32"/>
  <c r="F53" i="32"/>
  <c r="D54" i="32"/>
  <c r="D49" i="32"/>
  <c r="F55" i="32"/>
  <c r="D53" i="32"/>
  <c r="F49" i="32"/>
  <c r="F54" i="32"/>
  <c r="F48" i="32"/>
  <c r="F51" i="32"/>
  <c r="F50" i="32"/>
  <c r="D50" i="32"/>
  <c r="D51" i="32"/>
  <c r="D55" i="32"/>
  <c r="F50" i="9"/>
  <c r="F43" i="9"/>
  <c r="F44" i="9"/>
  <c r="D50" i="9"/>
  <c r="F49" i="9"/>
  <c r="D44" i="9"/>
  <c r="D45" i="9"/>
  <c r="D46" i="9"/>
  <c r="D48" i="9"/>
  <c r="D49" i="9"/>
  <c r="D43" i="9"/>
  <c r="F48" i="9"/>
  <c r="F47" i="9"/>
  <c r="F46" i="9"/>
  <c r="F45" i="9"/>
  <c r="D41" i="23"/>
  <c r="D43" i="23"/>
  <c r="F48" i="23"/>
  <c r="D42" i="23"/>
  <c r="F47" i="23"/>
  <c r="F43" i="23"/>
  <c r="D44" i="23"/>
  <c r="D46" i="23"/>
  <c r="F44" i="23"/>
  <c r="F45" i="23"/>
  <c r="D47" i="23"/>
  <c r="F42" i="23"/>
  <c r="D48" i="23"/>
  <c r="F44" i="21"/>
  <c r="F45" i="21"/>
  <c r="F46" i="21"/>
  <c r="D44" i="21"/>
  <c r="D45" i="21"/>
  <c r="D46" i="21"/>
  <c r="D47" i="21"/>
  <c r="D49" i="21"/>
  <c r="D50" i="21"/>
  <c r="D43" i="21"/>
  <c r="D48" i="21"/>
  <c r="F48" i="21"/>
  <c r="F49" i="21"/>
  <c r="F50" i="21"/>
  <c r="F43" i="21"/>
  <c r="F50" i="17"/>
  <c r="F46" i="17"/>
  <c r="F45" i="17"/>
  <c r="F43" i="17"/>
  <c r="F47" i="17"/>
  <c r="F48" i="17"/>
  <c r="F49" i="17"/>
  <c r="D47" i="17"/>
  <c r="D48" i="17"/>
  <c r="D49" i="17"/>
  <c r="D50" i="17"/>
  <c r="D45" i="17"/>
  <c r="D46" i="17"/>
  <c r="D43" i="17"/>
  <c r="D52" i="29"/>
  <c r="D53" i="29"/>
  <c r="D51" i="29"/>
  <c r="D50" i="29"/>
  <c r="D56" i="29"/>
  <c r="D55" i="29"/>
  <c r="F56" i="29"/>
  <c r="D54" i="29"/>
  <c r="F50" i="29"/>
  <c r="F53" i="29"/>
  <c r="F52" i="29"/>
  <c r="F54" i="29"/>
  <c r="F55" i="29"/>
  <c r="F49" i="29"/>
  <c r="D51" i="17" l="1"/>
  <c r="D18" i="17"/>
  <c r="D21" i="17" s="1"/>
  <c r="D22" i="2"/>
  <c r="D20" i="2"/>
  <c r="D19" i="2"/>
  <c r="D56" i="32"/>
  <c r="F56" i="32"/>
  <c r="F49" i="23"/>
  <c r="D17" i="17"/>
  <c r="D20" i="17" s="1"/>
  <c r="D13" i="17"/>
  <c r="G40" i="2" s="1"/>
  <c r="D16" i="17"/>
  <c r="D19" i="17" s="1"/>
  <c r="D22" i="29"/>
  <c r="D26" i="29" s="1"/>
  <c r="D19" i="29"/>
  <c r="D23" i="29" s="1"/>
  <c r="D16" i="29"/>
  <c r="G42" i="2" s="1"/>
  <c r="D20" i="29"/>
  <c r="D24" i="29" s="1"/>
  <c r="D21" i="29"/>
  <c r="D25" i="29" s="1"/>
  <c r="G6" i="23"/>
  <c r="D15" i="23" s="1"/>
  <c r="I34" i="2" s="1"/>
  <c r="E8" i="23"/>
  <c r="D18" i="9"/>
  <c r="D21" i="9" s="1"/>
  <c r="D14" i="9"/>
  <c r="D22" i="9"/>
  <c r="D20" i="9"/>
  <c r="E7" i="21"/>
  <c r="D12" i="21" s="1"/>
  <c r="D20" i="21"/>
  <c r="D19" i="21"/>
  <c r="D18" i="21"/>
  <c r="E56" i="22"/>
  <c r="E57" i="22"/>
  <c r="E58" i="22"/>
  <c r="E60" i="22"/>
  <c r="E61" i="22"/>
  <c r="E62" i="22"/>
  <c r="E55" i="22"/>
  <c r="C56" i="22"/>
  <c r="C57" i="22"/>
  <c r="C59" i="22"/>
  <c r="C60" i="22"/>
  <c r="C61" i="22"/>
  <c r="C62" i="22"/>
  <c r="H32" i="35"/>
  <c r="I32" i="35"/>
  <c r="J32" i="35"/>
  <c r="K32" i="35"/>
  <c r="L32" i="35"/>
  <c r="M32" i="35"/>
  <c r="N32" i="35"/>
  <c r="O32" i="35"/>
  <c r="P32" i="35"/>
  <c r="Q32" i="35"/>
  <c r="R32" i="35"/>
  <c r="S32" i="35"/>
  <c r="T32" i="35"/>
  <c r="U32" i="35"/>
  <c r="V32" i="35"/>
  <c r="W32" i="35"/>
  <c r="G32" i="35"/>
  <c r="J145" i="22"/>
  <c r="M9" i="22" s="1"/>
  <c r="N28" i="35"/>
  <c r="O28" i="35"/>
  <c r="P28" i="35"/>
  <c r="Q28" i="35"/>
  <c r="R28" i="35"/>
  <c r="S28" i="35"/>
  <c r="T28" i="35"/>
  <c r="U28" i="35"/>
  <c r="V28" i="35"/>
  <c r="W28" i="35"/>
  <c r="L28" i="35"/>
  <c r="M28" i="35"/>
  <c r="K28" i="35"/>
  <c r="H28" i="35"/>
  <c r="I28" i="35"/>
  <c r="J28" i="35"/>
  <c r="G28" i="35"/>
  <c r="D8" i="35" s="1"/>
  <c r="W24" i="35"/>
  <c r="V24" i="35"/>
  <c r="U24" i="35"/>
  <c r="T24" i="35"/>
  <c r="S24" i="35"/>
  <c r="R24" i="35"/>
  <c r="Q24" i="35"/>
  <c r="P24" i="35"/>
  <c r="O24" i="35"/>
  <c r="N24" i="35"/>
  <c r="L24" i="35"/>
  <c r="M24" i="35"/>
  <c r="K24" i="35"/>
  <c r="H24" i="35"/>
  <c r="I24" i="35"/>
  <c r="J24" i="35"/>
  <c r="J128" i="22"/>
  <c r="M8" i="22" s="1"/>
  <c r="O8" i="22" s="1"/>
  <c r="J110" i="22"/>
  <c r="M7" i="22" s="1"/>
  <c r="I110" i="22"/>
  <c r="I7" i="22" s="1"/>
  <c r="J93" i="22"/>
  <c r="I93" i="22"/>
  <c r="W20" i="35"/>
  <c r="N20" i="35"/>
  <c r="O20" i="35"/>
  <c r="P20" i="35"/>
  <c r="Q20" i="35"/>
  <c r="R20" i="35"/>
  <c r="S20" i="35"/>
  <c r="T20" i="35"/>
  <c r="U20" i="35"/>
  <c r="V20" i="35"/>
  <c r="L20" i="35"/>
  <c r="M20" i="35"/>
  <c r="K20" i="35"/>
  <c r="J20" i="35"/>
  <c r="I20" i="35"/>
  <c r="H20" i="35"/>
  <c r="L58" i="35"/>
  <c r="M58" i="35"/>
  <c r="N58" i="35"/>
  <c r="O58" i="35"/>
  <c r="P58" i="35"/>
  <c r="Q58" i="35"/>
  <c r="R58" i="35"/>
  <c r="S58" i="35"/>
  <c r="T58" i="35"/>
  <c r="U58" i="35"/>
  <c r="V58" i="35"/>
  <c r="W58" i="35"/>
  <c r="K58" i="35"/>
  <c r="H58" i="35"/>
  <c r="I58" i="35"/>
  <c r="J58" i="35"/>
  <c r="G58" i="35"/>
  <c r="M7" i="51"/>
  <c r="M9" i="51"/>
  <c r="M10" i="51"/>
  <c r="M12" i="51"/>
  <c r="M13" i="51"/>
  <c r="M14" i="51"/>
  <c r="M15" i="51"/>
  <c r="M16" i="51"/>
  <c r="E17" i="51"/>
  <c r="E37" i="51" s="1"/>
  <c r="C38" i="31"/>
  <c r="F34" i="50" s="1"/>
  <c r="F54" i="50" s="1"/>
  <c r="C39" i="31"/>
  <c r="G34" i="50" s="1"/>
  <c r="G54" i="50" s="1"/>
  <c r="C40" i="31"/>
  <c r="H34" i="50" s="1"/>
  <c r="H54" i="50" s="1"/>
  <c r="C41" i="31"/>
  <c r="I34" i="50" s="1"/>
  <c r="I54" i="50" s="1"/>
  <c r="C42" i="31"/>
  <c r="J34" i="50" s="1"/>
  <c r="J54" i="50" s="1"/>
  <c r="C43" i="31"/>
  <c r="K34" i="50" s="1"/>
  <c r="K54" i="50" s="1"/>
  <c r="C44" i="31"/>
  <c r="L34" i="50" s="1"/>
  <c r="L54" i="50" s="1"/>
  <c r="C37" i="31"/>
  <c r="E34" i="50" s="1"/>
  <c r="E54" i="50" s="1"/>
  <c r="K17" i="51"/>
  <c r="K37" i="51" s="1"/>
  <c r="J17" i="51"/>
  <c r="J37" i="51" s="1"/>
  <c r="I17" i="51"/>
  <c r="I37" i="51" s="1"/>
  <c r="H17" i="51"/>
  <c r="H37" i="51" s="1"/>
  <c r="G17" i="51"/>
  <c r="G37" i="51" s="1"/>
  <c r="F17" i="51"/>
  <c r="F37" i="51" s="1"/>
  <c r="E49" i="30"/>
  <c r="F19" i="51" s="1"/>
  <c r="F39" i="51" s="1"/>
  <c r="E50" i="30"/>
  <c r="G19" i="51" s="1"/>
  <c r="G39" i="51" s="1"/>
  <c r="E51" i="30"/>
  <c r="H19" i="51" s="1"/>
  <c r="H39" i="51" s="1"/>
  <c r="E52" i="30"/>
  <c r="I19" i="51" s="1"/>
  <c r="I39" i="51" s="1"/>
  <c r="E53" i="30"/>
  <c r="J19" i="51" s="1"/>
  <c r="J39" i="51" s="1"/>
  <c r="E54" i="30"/>
  <c r="K19" i="51" s="1"/>
  <c r="K39" i="51" s="1"/>
  <c r="E55" i="30"/>
  <c r="L19" i="51" s="1"/>
  <c r="L39" i="51" s="1"/>
  <c r="E48" i="30"/>
  <c r="E19" i="51" s="1"/>
  <c r="E39" i="51" s="1"/>
  <c r="C48" i="30"/>
  <c r="C49" i="30"/>
  <c r="C50" i="30"/>
  <c r="C51" i="30"/>
  <c r="C52" i="30"/>
  <c r="C53" i="30"/>
  <c r="C54" i="30"/>
  <c r="C55" i="30"/>
  <c r="F36" i="50"/>
  <c r="G36" i="50"/>
  <c r="G56" i="50" s="1"/>
  <c r="I36" i="50"/>
  <c r="I56" i="50" s="1"/>
  <c r="J36" i="50"/>
  <c r="J56" i="50" s="1"/>
  <c r="K36" i="50"/>
  <c r="K56" i="50" s="1"/>
  <c r="L36" i="50"/>
  <c r="L56" i="50" s="1"/>
  <c r="H79" i="31"/>
  <c r="G6" i="31" s="1"/>
  <c r="I79" i="31"/>
  <c r="K6" i="31" s="1"/>
  <c r="L7" i="31" s="1"/>
  <c r="H124" i="30"/>
  <c r="G6" i="30" s="1"/>
  <c r="I124" i="30"/>
  <c r="N6" i="30" s="1"/>
  <c r="O7" i="30" s="1"/>
  <c r="F56" i="50" l="1"/>
  <c r="Q56" i="50" s="1"/>
  <c r="Q36" i="50"/>
  <c r="Q54" i="50"/>
  <c r="M39" i="51"/>
  <c r="D6" i="30"/>
  <c r="D12" i="30" s="1"/>
  <c r="D14" i="30" s="1"/>
  <c r="R6" i="30"/>
  <c r="E6" i="30" s="1"/>
  <c r="D13" i="30" s="1"/>
  <c r="D15" i="30" s="1"/>
  <c r="M11" i="2"/>
  <c r="C11" i="2"/>
  <c r="D28" i="22"/>
  <c r="D6" i="22"/>
  <c r="O6" i="22"/>
  <c r="E6" i="22" s="1"/>
  <c r="O7" i="22"/>
  <c r="O9" i="22"/>
  <c r="E9" i="22" s="1"/>
  <c r="G9" i="22" s="1"/>
  <c r="E7" i="22"/>
  <c r="G7" i="22" s="1"/>
  <c r="E8" i="22"/>
  <c r="G8" i="22" s="1"/>
  <c r="E63" i="22"/>
  <c r="F62" i="22" s="1"/>
  <c r="K25" i="50"/>
  <c r="L25" i="50"/>
  <c r="G8" i="51"/>
  <c r="J25" i="50"/>
  <c r="F8" i="51"/>
  <c r="H25" i="50"/>
  <c r="F25" i="50"/>
  <c r="K8" i="51"/>
  <c r="I8" i="51"/>
  <c r="H8" i="51"/>
  <c r="E8" i="51"/>
  <c r="J8" i="51"/>
  <c r="G25" i="50"/>
  <c r="L8" i="51"/>
  <c r="M6" i="31"/>
  <c r="E6" i="31" s="1"/>
  <c r="P8" i="35"/>
  <c r="E7" i="31"/>
  <c r="D15" i="31" s="1"/>
  <c r="D13" i="31"/>
  <c r="I41" i="2" s="1"/>
  <c r="M7" i="31"/>
  <c r="H7" i="31"/>
  <c r="D14" i="31" s="1"/>
  <c r="D6" i="31"/>
  <c r="D12" i="31" s="1"/>
  <c r="D17" i="23"/>
  <c r="D13" i="23"/>
  <c r="D18" i="23"/>
  <c r="D21" i="23" s="1"/>
  <c r="D16" i="23"/>
  <c r="D19" i="23"/>
  <c r="D20" i="23"/>
  <c r="F6" i="22"/>
  <c r="Q8" i="35"/>
  <c r="D7" i="22"/>
  <c r="E8" i="35"/>
  <c r="J10" i="22"/>
  <c r="J8" i="35"/>
  <c r="S8" i="35"/>
  <c r="R8" i="35"/>
  <c r="I8" i="35"/>
  <c r="O8" i="35"/>
  <c r="N8" i="35"/>
  <c r="M8" i="35"/>
  <c r="F8" i="35"/>
  <c r="L8" i="35"/>
  <c r="G8" i="35"/>
  <c r="K8" i="35"/>
  <c r="H8" i="35"/>
  <c r="T8" i="35"/>
  <c r="L17" i="51"/>
  <c r="L37" i="51" s="1"/>
  <c r="M37" i="51" s="1"/>
  <c r="H7" i="30"/>
  <c r="C9" i="2" s="1"/>
  <c r="M19" i="51"/>
  <c r="E56" i="30"/>
  <c r="F48" i="30" s="1"/>
  <c r="C56" i="30"/>
  <c r="D54" i="30" s="1"/>
  <c r="I25" i="50"/>
  <c r="I45" i="50" s="1"/>
  <c r="X20" i="35"/>
  <c r="C63" i="22"/>
  <c r="D59" i="22" s="1"/>
  <c r="E45" i="31"/>
  <c r="C45" i="31"/>
  <c r="H60" i="22" l="1"/>
  <c r="J20" i="51" s="1"/>
  <c r="H55" i="22"/>
  <c r="E20" i="51" s="1"/>
  <c r="H57" i="22"/>
  <c r="G20" i="51" s="1"/>
  <c r="G28" i="51" s="1"/>
  <c r="H58" i="22"/>
  <c r="H20" i="51" s="1"/>
  <c r="H28" i="51" s="1"/>
  <c r="H61" i="22"/>
  <c r="K20" i="51" s="1"/>
  <c r="K28" i="51" s="1"/>
  <c r="H62" i="22"/>
  <c r="L20" i="51" s="1"/>
  <c r="L28" i="51" s="1"/>
  <c r="H56" i="22"/>
  <c r="F20" i="51" s="1"/>
  <c r="F28" i="51" s="1"/>
  <c r="H63" i="22"/>
  <c r="H59" i="22"/>
  <c r="I20" i="51" s="1"/>
  <c r="I28" i="51" s="1"/>
  <c r="C13" i="2"/>
  <c r="D12" i="2" s="1"/>
  <c r="J45" i="50"/>
  <c r="G6" i="22"/>
  <c r="D17" i="22" s="1"/>
  <c r="J28" i="51"/>
  <c r="L45" i="50"/>
  <c r="G45" i="50"/>
  <c r="H45" i="50"/>
  <c r="E28" i="51"/>
  <c r="F45" i="50"/>
  <c r="K45" i="50"/>
  <c r="O10" i="22"/>
  <c r="E10" i="22"/>
  <c r="M8" i="51"/>
  <c r="R7" i="30"/>
  <c r="D16" i="31"/>
  <c r="D19" i="31"/>
  <c r="D18" i="31"/>
  <c r="D17" i="31"/>
  <c r="D7" i="31"/>
  <c r="D10" i="22"/>
  <c r="D14" i="22" s="1"/>
  <c r="F53" i="30"/>
  <c r="F49" i="30"/>
  <c r="F52" i="30"/>
  <c r="D55" i="30"/>
  <c r="F61" i="22"/>
  <c r="D39" i="31"/>
  <c r="D42" i="31"/>
  <c r="D40" i="31"/>
  <c r="D41" i="31"/>
  <c r="D43" i="31"/>
  <c r="D44" i="31"/>
  <c r="D37" i="31"/>
  <c r="F38" i="31"/>
  <c r="F43" i="31"/>
  <c r="F39" i="31"/>
  <c r="F42" i="31"/>
  <c r="F37" i="31"/>
  <c r="D38" i="31"/>
  <c r="F40" i="31"/>
  <c r="F41" i="31"/>
  <c r="M17" i="51"/>
  <c r="F44" i="31"/>
  <c r="D7" i="30"/>
  <c r="F54" i="30"/>
  <c r="F55" i="30"/>
  <c r="F50" i="30"/>
  <c r="D52" i="30"/>
  <c r="D51" i="30"/>
  <c r="D49" i="30"/>
  <c r="D50" i="30"/>
  <c r="D53" i="30"/>
  <c r="D48" i="30"/>
  <c r="F51" i="30"/>
  <c r="F60" i="22"/>
  <c r="D58" i="22"/>
  <c r="D57" i="22"/>
  <c r="F56" i="22"/>
  <c r="F59" i="22"/>
  <c r="F57" i="22"/>
  <c r="F58" i="22"/>
  <c r="F55" i="22"/>
  <c r="D62" i="22"/>
  <c r="D61" i="22"/>
  <c r="D55" i="22"/>
  <c r="D60" i="22"/>
  <c r="D56" i="22"/>
  <c r="Q57" i="35"/>
  <c r="R57" i="35"/>
  <c r="S57" i="35"/>
  <c r="T57" i="35"/>
  <c r="U57" i="35"/>
  <c r="V57" i="35"/>
  <c r="W57" i="35"/>
  <c r="N57" i="35"/>
  <c r="O57" i="35"/>
  <c r="P57" i="35"/>
  <c r="M57" i="35"/>
  <c r="L57" i="35"/>
  <c r="K57" i="35"/>
  <c r="I57" i="35"/>
  <c r="H57" i="35"/>
  <c r="G57" i="35"/>
  <c r="D41" i="48" s="1"/>
  <c r="Q45" i="50" l="1"/>
  <c r="M20" i="51"/>
  <c r="D18" i="22"/>
  <c r="D21" i="22" s="1"/>
  <c r="D19" i="22"/>
  <c r="D22" i="22" s="1"/>
  <c r="D20" i="22"/>
  <c r="D23" i="22" s="1"/>
  <c r="D63" i="22"/>
  <c r="F63" i="22"/>
  <c r="M28" i="51"/>
  <c r="D15" i="22"/>
  <c r="G32" i="2" s="1"/>
  <c r="E32" i="2"/>
  <c r="F56" i="30"/>
  <c r="D56" i="30"/>
  <c r="E7" i="30"/>
  <c r="X57" i="35"/>
  <c r="T31" i="48"/>
  <c r="T32" i="48"/>
  <c r="T34" i="48"/>
  <c r="T35" i="48"/>
  <c r="T36" i="48"/>
  <c r="T38" i="48"/>
  <c r="T39" i="48"/>
  <c r="T40" i="48"/>
  <c r="T41" i="48"/>
  <c r="T29" i="48"/>
  <c r="S31" i="48"/>
  <c r="S32" i="48"/>
  <c r="S34" i="48"/>
  <c r="S35" i="48"/>
  <c r="S36" i="48"/>
  <c r="S38" i="48"/>
  <c r="S39" i="48"/>
  <c r="S40" i="48"/>
  <c r="S41" i="48"/>
  <c r="S29" i="48"/>
  <c r="R31" i="48"/>
  <c r="R32" i="48"/>
  <c r="R34" i="48"/>
  <c r="R35" i="48"/>
  <c r="R36" i="48"/>
  <c r="R38" i="48"/>
  <c r="R39" i="48"/>
  <c r="R40" i="48"/>
  <c r="R41" i="48"/>
  <c r="R29" i="48"/>
  <c r="Q31" i="48"/>
  <c r="Q32" i="48"/>
  <c r="Q34" i="48"/>
  <c r="Q35" i="48"/>
  <c r="Q36" i="48"/>
  <c r="Q38" i="48"/>
  <c r="Q39" i="48"/>
  <c r="Q40" i="48"/>
  <c r="Q41" i="48"/>
  <c r="Q29" i="48"/>
  <c r="P31" i="48"/>
  <c r="P32" i="48"/>
  <c r="P34" i="48"/>
  <c r="P35" i="48"/>
  <c r="P36" i="48"/>
  <c r="P38" i="48"/>
  <c r="P39" i="48"/>
  <c r="P40" i="48"/>
  <c r="P41" i="48"/>
  <c r="P29" i="48"/>
  <c r="O31" i="48"/>
  <c r="O32" i="48"/>
  <c r="O34" i="48"/>
  <c r="O35" i="48"/>
  <c r="O36" i="48"/>
  <c r="O38" i="48"/>
  <c r="O39" i="48"/>
  <c r="O40" i="48"/>
  <c r="O41" i="48"/>
  <c r="O29" i="48"/>
  <c r="N31" i="48"/>
  <c r="N32" i="48"/>
  <c r="N34" i="48"/>
  <c r="N35" i="48"/>
  <c r="N36" i="48"/>
  <c r="N38" i="48"/>
  <c r="N39" i="48"/>
  <c r="N40" i="48"/>
  <c r="N41" i="48"/>
  <c r="N29" i="48"/>
  <c r="M31" i="48"/>
  <c r="M32" i="48"/>
  <c r="M34" i="48"/>
  <c r="M35" i="48"/>
  <c r="M36" i="48"/>
  <c r="M38" i="48"/>
  <c r="M39" i="48"/>
  <c r="M40" i="48"/>
  <c r="M41" i="48"/>
  <c r="M29" i="48"/>
  <c r="L31" i="48"/>
  <c r="L32" i="48"/>
  <c r="L34" i="48"/>
  <c r="L35" i="48"/>
  <c r="L36" i="48"/>
  <c r="L38" i="48"/>
  <c r="L39" i="48"/>
  <c r="L40" i="48"/>
  <c r="L41" i="48"/>
  <c r="L29" i="48"/>
  <c r="K31" i="48"/>
  <c r="K32" i="48"/>
  <c r="K34" i="48"/>
  <c r="K35" i="48"/>
  <c r="K36" i="48"/>
  <c r="K38" i="48"/>
  <c r="K39" i="48"/>
  <c r="K40" i="48"/>
  <c r="K41" i="48"/>
  <c r="K29" i="48"/>
  <c r="J31" i="48"/>
  <c r="J32" i="48"/>
  <c r="J34" i="48"/>
  <c r="J35" i="48"/>
  <c r="J36" i="48"/>
  <c r="J38" i="48"/>
  <c r="J39" i="48"/>
  <c r="J40" i="48"/>
  <c r="J41" i="48"/>
  <c r="J29" i="48"/>
  <c r="I31" i="48"/>
  <c r="I32" i="48"/>
  <c r="I34" i="48"/>
  <c r="I35" i="48"/>
  <c r="I36" i="48"/>
  <c r="I38" i="48"/>
  <c r="I39" i="48"/>
  <c r="I40" i="48"/>
  <c r="I41" i="48"/>
  <c r="I29" i="48"/>
  <c r="H31" i="48"/>
  <c r="H32" i="48"/>
  <c r="H34" i="48"/>
  <c r="H35" i="48"/>
  <c r="H36" i="48"/>
  <c r="H38" i="48"/>
  <c r="H39" i="48"/>
  <c r="H40" i="48"/>
  <c r="H41" i="48"/>
  <c r="H29" i="48"/>
  <c r="G31" i="48"/>
  <c r="G32" i="48"/>
  <c r="G34" i="48"/>
  <c r="G35" i="48"/>
  <c r="G36" i="48"/>
  <c r="G38" i="48"/>
  <c r="G39" i="48"/>
  <c r="G40" i="48"/>
  <c r="G29" i="48"/>
  <c r="F31" i="48"/>
  <c r="F32" i="48"/>
  <c r="F34" i="48"/>
  <c r="F35" i="48"/>
  <c r="F36" i="48"/>
  <c r="F38" i="48"/>
  <c r="F39" i="48"/>
  <c r="F40" i="48"/>
  <c r="F41" i="48"/>
  <c r="E31" i="48"/>
  <c r="E32" i="48"/>
  <c r="E34" i="48"/>
  <c r="E35" i="48"/>
  <c r="E36" i="48"/>
  <c r="E38" i="48"/>
  <c r="E39" i="48"/>
  <c r="E40" i="48"/>
  <c r="E41" i="48"/>
  <c r="E29" i="48"/>
  <c r="D36" i="48"/>
  <c r="D31" i="48"/>
  <c r="D32" i="48"/>
  <c r="D34" i="48"/>
  <c r="D35" i="48"/>
  <c r="D38" i="48"/>
  <c r="D39" i="48"/>
  <c r="D40" i="48"/>
  <c r="U41" i="48" l="1"/>
  <c r="D46" i="48" s="1"/>
  <c r="D18" i="30"/>
  <c r="D22" i="30" s="1"/>
  <c r="D19" i="30"/>
  <c r="D23" i="30" s="1"/>
  <c r="M15" i="2"/>
  <c r="M14" i="2"/>
  <c r="F10" i="33"/>
  <c r="G10" i="33" s="1"/>
  <c r="F8" i="33"/>
  <c r="G8" i="33" s="1"/>
  <c r="F11" i="33"/>
  <c r="G11" i="33" s="1"/>
  <c r="F20" i="33"/>
  <c r="G20" i="33" s="1"/>
  <c r="F17" i="33"/>
  <c r="G17" i="33" s="1"/>
  <c r="F13" i="33"/>
  <c r="G13" i="33" s="1"/>
  <c r="F16" i="33"/>
  <c r="G16" i="33" s="1"/>
  <c r="F15" i="33"/>
  <c r="G15" i="33" s="1"/>
  <c r="F9" i="33"/>
  <c r="G9" i="33" s="1"/>
  <c r="F19" i="33"/>
  <c r="G19" i="33" s="1"/>
  <c r="F12" i="33"/>
  <c r="G12" i="33" s="1"/>
  <c r="F18" i="33"/>
  <c r="G18" i="33" s="1"/>
  <c r="F14" i="33"/>
  <c r="G14" i="33" s="1"/>
  <c r="D17" i="30"/>
  <c r="D21" i="30" s="1"/>
  <c r="D16" i="30"/>
  <c r="D20" i="30" s="1"/>
  <c r="U35" i="48"/>
  <c r="U31" i="48"/>
  <c r="U36" i="48"/>
  <c r="U29" i="48"/>
  <c r="U40" i="48"/>
  <c r="U38" i="48"/>
  <c r="U34" i="48"/>
  <c r="U39" i="48"/>
  <c r="U32" i="48"/>
  <c r="D47" i="48" l="1"/>
  <c r="D48" i="48"/>
  <c r="H12" i="33"/>
  <c r="J12" i="33"/>
  <c r="I12" i="33"/>
  <c r="H16" i="33"/>
  <c r="J16" i="33"/>
  <c r="I16" i="33"/>
  <c r="H19" i="33"/>
  <c r="J19" i="33"/>
  <c r="I19" i="33"/>
  <c r="H9" i="33"/>
  <c r="I9" i="33"/>
  <c r="J9" i="33"/>
  <c r="H13" i="33"/>
  <c r="J13" i="33"/>
  <c r="I13" i="33"/>
  <c r="I20" i="33"/>
  <c r="H20" i="33"/>
  <c r="J20" i="33"/>
  <c r="H18" i="33"/>
  <c r="I18" i="33"/>
  <c r="J18" i="33"/>
  <c r="H15" i="33"/>
  <c r="J15" i="33"/>
  <c r="I15" i="33"/>
  <c r="J17" i="33"/>
  <c r="I17" i="33"/>
  <c r="H17" i="33"/>
  <c r="H11" i="33"/>
  <c r="I11" i="33"/>
  <c r="J11" i="33"/>
  <c r="H8" i="33"/>
  <c r="J8" i="33"/>
  <c r="I8" i="33"/>
  <c r="H14" i="33"/>
  <c r="I14" i="33"/>
  <c r="J14" i="33"/>
  <c r="H10" i="33"/>
  <c r="I10" i="33"/>
  <c r="J10" i="33"/>
  <c r="X23" i="35" l="1"/>
  <c r="X24" i="35"/>
  <c r="X28" i="35"/>
  <c r="X31" i="35"/>
  <c r="X32" i="35"/>
  <c r="X33" i="35"/>
  <c r="X34" i="35"/>
  <c r="X37" i="35"/>
  <c r="X38" i="35"/>
  <c r="X39" i="35"/>
  <c r="X40" i="35"/>
  <c r="X41" i="35"/>
  <c r="X42" i="35"/>
  <c r="X43" i="35"/>
  <c r="X44" i="35"/>
  <c r="X45" i="35"/>
  <c r="X48" i="35"/>
  <c r="X49" i="35"/>
  <c r="X50" i="35"/>
  <c r="X52" i="35"/>
  <c r="X53" i="35"/>
  <c r="X54" i="35"/>
  <c r="X55" i="35"/>
  <c r="X56" i="35"/>
  <c r="X58" i="35"/>
  <c r="X59" i="35"/>
  <c r="X60" i="35"/>
  <c r="X61" i="35"/>
  <c r="X62" i="35"/>
  <c r="X63" i="35"/>
  <c r="X64" i="35"/>
  <c r="X15" i="35"/>
  <c r="C10" i="35" l="1"/>
  <c r="U10" i="35" s="1"/>
  <c r="C9" i="35"/>
  <c r="U9" i="35" l="1"/>
  <c r="G16" i="35" a="1"/>
  <c r="G16" i="35" s="1"/>
  <c r="U8" i="35"/>
  <c r="K22" i="37" l="1"/>
  <c r="F7" i="25" l="1"/>
  <c r="M24" i="2" l="1"/>
  <c r="M25" i="2" l="1"/>
  <c r="R7" i="32"/>
  <c r="N20" i="2" l="1"/>
  <c r="N21" i="2"/>
  <c r="M9" i="2"/>
  <c r="F7" i="27"/>
  <c r="M13" i="2" l="1"/>
  <c r="N9" i="2" s="1"/>
  <c r="F41" i="2"/>
  <c r="D7" i="17"/>
  <c r="F8" i="29"/>
  <c r="F9" i="29"/>
  <c r="D11" i="29"/>
  <c r="D15" i="29" s="1"/>
  <c r="F10" i="29"/>
  <c r="F7" i="29"/>
  <c r="F8" i="28"/>
  <c r="F9" i="27"/>
  <c r="F8" i="27"/>
  <c r="D17" i="29" l="1"/>
  <c r="D16" i="27"/>
  <c r="F40" i="2"/>
  <c r="H41" i="2"/>
  <c r="F42" i="2"/>
  <c r="D9" i="28"/>
  <c r="F7" i="28"/>
  <c r="D10" i="27"/>
  <c r="D14" i="27" s="1"/>
  <c r="H37" i="2"/>
  <c r="D8" i="26"/>
  <c r="D12" i="26" s="1"/>
  <c r="O9" i="28"/>
  <c r="M10" i="2"/>
  <c r="N10" i="2" l="1"/>
  <c r="N12" i="2"/>
  <c r="N11" i="2"/>
  <c r="D13" i="28"/>
  <c r="F37" i="2"/>
  <c r="F39" i="2"/>
  <c r="H42" i="2"/>
  <c r="H38" i="2"/>
  <c r="F9" i="25"/>
  <c r="F6" i="25"/>
  <c r="D8" i="24"/>
  <c r="D12" i="24" s="1"/>
  <c r="F7" i="22"/>
  <c r="F9" i="22"/>
  <c r="D9" i="2" l="1"/>
  <c r="D11" i="2"/>
  <c r="D16" i="22"/>
  <c r="D10" i="2"/>
  <c r="F35" i="2"/>
  <c r="H40" i="2"/>
  <c r="F36" i="2"/>
  <c r="F8" i="25"/>
  <c r="D16" i="25" s="1"/>
  <c r="F33" i="2"/>
  <c r="H35" i="2"/>
  <c r="O7" i="17"/>
  <c r="F32" i="2" l="1"/>
  <c r="H36" i="2"/>
  <c r="H33" i="2"/>
  <c r="H32" i="2"/>
  <c r="D8" i="23"/>
  <c r="D12" i="23" s="1"/>
  <c r="F34" i="2" l="1"/>
  <c r="H34" i="2"/>
  <c r="E43" i="2"/>
  <c r="L16" i="35" l="1" a="1"/>
  <c r="L16" i="35" s="1"/>
  <c r="P16" i="35" a="1"/>
  <c r="P16" i="35" s="1"/>
  <c r="Q16" i="35" a="1"/>
  <c r="Q16" i="35" s="1"/>
  <c r="O16" i="35" a="1"/>
  <c r="O16" i="35" s="1"/>
  <c r="N16" i="35" a="1"/>
  <c r="N16" i="35" s="1"/>
  <c r="R16" i="35" a="1"/>
  <c r="R16" i="35" s="1"/>
  <c r="K16" i="35" a="1"/>
  <c r="K16" i="35" s="1"/>
  <c r="M16" i="35" a="1"/>
  <c r="M16" i="35" s="1"/>
  <c r="J16" i="35" a="1"/>
  <c r="J16" i="35" s="1"/>
  <c r="V16" i="35" a="1"/>
  <c r="V16" i="35" s="1"/>
  <c r="I16" i="35" a="1"/>
  <c r="I16" i="35" s="1"/>
  <c r="H16" i="35" a="1"/>
  <c r="H16" i="35" s="1"/>
  <c r="G17" i="35" a="1"/>
  <c r="G17" i="35" s="1"/>
  <c r="G19" i="35" a="1"/>
  <c r="G19" i="35" s="1"/>
  <c r="G18" i="35" a="1"/>
  <c r="G18" i="35" s="1"/>
  <c r="H17" i="35" a="1"/>
  <c r="H17" i="35" s="1"/>
  <c r="H18" i="35" a="1"/>
  <c r="H18" i="35" s="1"/>
  <c r="H19" i="35" a="1"/>
  <c r="H19" i="35" s="1"/>
  <c r="I18" i="35" a="1"/>
  <c r="I18" i="35" s="1"/>
  <c r="S51" i="35" a="1"/>
  <c r="S51" i="35" s="1"/>
  <c r="V51" i="35" a="1"/>
  <c r="V51" i="35" s="1"/>
  <c r="Q51" i="35" a="1"/>
  <c r="Q51" i="35" s="1"/>
  <c r="U51" i="35" a="1"/>
  <c r="U51" i="35" s="1"/>
  <c r="W47" i="35" a="1"/>
  <c r="W47" i="35" s="1"/>
  <c r="W51" i="35" a="1"/>
  <c r="W51" i="35" s="1"/>
  <c r="W36" i="35" a="1"/>
  <c r="W36" i="35" s="1"/>
  <c r="W46" i="35" a="1"/>
  <c r="W46" i="35" s="1"/>
  <c r="W30" i="35" a="1"/>
  <c r="W30" i="35" s="1"/>
  <c r="W35" i="35" a="1"/>
  <c r="W35" i="35" s="1"/>
  <c r="W27" i="35" a="1"/>
  <c r="W27" i="35" s="1"/>
  <c r="W29" i="35" a="1"/>
  <c r="W29" i="35" s="1"/>
  <c r="W26" i="35" a="1"/>
  <c r="W26" i="35" s="1"/>
  <c r="W22" i="35" a="1"/>
  <c r="W22" i="35" s="1"/>
  <c r="W25" i="35" a="1"/>
  <c r="W25" i="35" s="1"/>
  <c r="W21" i="35" a="1"/>
  <c r="W21" i="35" s="1"/>
  <c r="W16" i="35" a="1"/>
  <c r="W16" i="35" s="1"/>
  <c r="W19" i="35" a="1"/>
  <c r="W19" i="35" s="1"/>
  <c r="W17" i="35" a="1"/>
  <c r="W17" i="35" s="1"/>
  <c r="W18" i="35" a="1"/>
  <c r="W18" i="35" s="1"/>
  <c r="V47" i="35" a="1"/>
  <c r="V47" i="35" s="1"/>
  <c r="V46" i="35" a="1"/>
  <c r="V46" i="35" s="1"/>
  <c r="V35" i="35" a="1"/>
  <c r="V35" i="35" s="1"/>
  <c r="V36" i="35" a="1"/>
  <c r="V36" i="35" s="1"/>
  <c r="V29" i="35" a="1"/>
  <c r="V29" i="35" s="1"/>
  <c r="V30" i="35" a="1"/>
  <c r="V30" i="35" s="1"/>
  <c r="V27" i="35" a="1"/>
  <c r="V27" i="35" s="1"/>
  <c r="V26" i="35" a="1"/>
  <c r="V26" i="35" s="1"/>
  <c r="V22" i="35" a="1"/>
  <c r="V22" i="35" s="1"/>
  <c r="V25" i="35" a="1"/>
  <c r="V25" i="35" s="1"/>
  <c r="V21" i="35" a="1"/>
  <c r="V21" i="35" s="1"/>
  <c r="V19" i="35" a="1"/>
  <c r="V19" i="35" s="1"/>
  <c r="V17" i="35" a="1"/>
  <c r="V17" i="35" s="1"/>
  <c r="V18" i="35" a="1"/>
  <c r="V18" i="35" s="1"/>
  <c r="U46" i="35" a="1"/>
  <c r="U46" i="35" s="1"/>
  <c r="U47" i="35" a="1"/>
  <c r="U47" i="35" s="1"/>
  <c r="U35" i="35" a="1"/>
  <c r="U35" i="35" s="1"/>
  <c r="U36" i="35" a="1"/>
  <c r="U36" i="35" s="1"/>
  <c r="U30" i="35" a="1"/>
  <c r="U30" i="35" s="1"/>
  <c r="U29" i="35" a="1"/>
  <c r="U29" i="35" s="1"/>
  <c r="U26" i="35" a="1"/>
  <c r="U26" i="35" s="1"/>
  <c r="U27" i="35" a="1"/>
  <c r="U27" i="35" s="1"/>
  <c r="U22" i="35" a="1"/>
  <c r="U22" i="35" s="1"/>
  <c r="U25" i="35" a="1"/>
  <c r="U25" i="35" s="1"/>
  <c r="U21" i="35" a="1"/>
  <c r="U21" i="35" s="1"/>
  <c r="U16" i="35" a="1"/>
  <c r="U16" i="35" s="1"/>
  <c r="U19" i="35" a="1"/>
  <c r="U19" i="35" s="1"/>
  <c r="U17" i="35" a="1"/>
  <c r="U17" i="35" s="1"/>
  <c r="U18" i="35" a="1"/>
  <c r="U18" i="35" s="1"/>
  <c r="T47" i="35" a="1"/>
  <c r="T47" i="35" s="1"/>
  <c r="T51" i="35" a="1"/>
  <c r="T51" i="35" s="1"/>
  <c r="T46" i="35" a="1"/>
  <c r="T46" i="35" s="1"/>
  <c r="T36" i="35" a="1"/>
  <c r="T36" i="35" s="1"/>
  <c r="T30" i="35" a="1"/>
  <c r="T30" i="35" s="1"/>
  <c r="T35" i="35" a="1"/>
  <c r="T35" i="35" s="1"/>
  <c r="T27" i="35" a="1"/>
  <c r="T27" i="35" s="1"/>
  <c r="T29" i="35" a="1"/>
  <c r="T29" i="35" s="1"/>
  <c r="T26" i="35" a="1"/>
  <c r="T26" i="35" s="1"/>
  <c r="T22" i="35" a="1"/>
  <c r="T22" i="35" s="1"/>
  <c r="T25" i="35" a="1"/>
  <c r="T25" i="35" s="1"/>
  <c r="T21" i="35" a="1"/>
  <c r="T21" i="35" s="1"/>
  <c r="T16" i="35" a="1"/>
  <c r="T16" i="35" s="1"/>
  <c r="T19" i="35" a="1"/>
  <c r="T19" i="35" s="1"/>
  <c r="T17" i="35" a="1"/>
  <c r="T17" i="35" s="1"/>
  <c r="T18" i="35" a="1"/>
  <c r="T18" i="35" s="1"/>
  <c r="S46" i="35" a="1"/>
  <c r="S46" i="35" s="1"/>
  <c r="S47" i="35" a="1"/>
  <c r="S47" i="35" s="1"/>
  <c r="S36" i="35" a="1"/>
  <c r="S36" i="35" s="1"/>
  <c r="S35" i="35" a="1"/>
  <c r="S35" i="35" s="1"/>
  <c r="S30" i="35" a="1"/>
  <c r="S30" i="35" s="1"/>
  <c r="S29" i="35" a="1"/>
  <c r="S29" i="35" s="1"/>
  <c r="S26" i="35" a="1"/>
  <c r="S26" i="35" s="1"/>
  <c r="S27" i="35" a="1"/>
  <c r="S27" i="35" s="1"/>
  <c r="S22" i="35" a="1"/>
  <c r="S22" i="35" s="1"/>
  <c r="S25" i="35" a="1"/>
  <c r="S25" i="35" s="1"/>
  <c r="S21" i="35" a="1"/>
  <c r="S21" i="35" s="1"/>
  <c r="S16" i="35" a="1"/>
  <c r="S16" i="35" s="1"/>
  <c r="S19" i="35" a="1"/>
  <c r="S19" i="35" s="1"/>
  <c r="S17" i="35" a="1"/>
  <c r="S17" i="35" s="1"/>
  <c r="S18" i="35" a="1"/>
  <c r="S18" i="35" s="1"/>
  <c r="R47" i="35" a="1"/>
  <c r="R47" i="35" s="1"/>
  <c r="R51" i="35" a="1"/>
  <c r="R51" i="35" s="1"/>
  <c r="R36" i="35" a="1"/>
  <c r="R36" i="35" s="1"/>
  <c r="R46" i="35" a="1"/>
  <c r="R46" i="35" s="1"/>
  <c r="R30" i="35" a="1"/>
  <c r="R30" i="35" s="1"/>
  <c r="R35" i="35" a="1"/>
  <c r="R35" i="35" s="1"/>
  <c r="R29" i="35" a="1"/>
  <c r="R29" i="35" s="1"/>
  <c r="R27" i="35" a="1"/>
  <c r="R27" i="35" s="1"/>
  <c r="R26" i="35" a="1"/>
  <c r="R26" i="35" s="1"/>
  <c r="R25" i="35" a="1"/>
  <c r="R25" i="35" s="1"/>
  <c r="R22" i="35" a="1"/>
  <c r="R22" i="35" s="1"/>
  <c r="R21" i="35" a="1"/>
  <c r="R21" i="35" s="1"/>
  <c r="R19" i="35" a="1"/>
  <c r="R19" i="35" s="1"/>
  <c r="R17" i="35" a="1"/>
  <c r="R17" i="35" s="1"/>
  <c r="R18" i="35" a="1"/>
  <c r="R18" i="35" s="1"/>
  <c r="Q46" i="35" a="1"/>
  <c r="Q46" i="35" s="1"/>
  <c r="Q47" i="35" a="1"/>
  <c r="Q47" i="35" s="1"/>
  <c r="Q35" i="35" a="1"/>
  <c r="Q35" i="35" s="1"/>
  <c r="Q36" i="35" a="1"/>
  <c r="Q36" i="35" s="1"/>
  <c r="Q29" i="35" a="1"/>
  <c r="Q29" i="35" s="1"/>
  <c r="Q30" i="35" a="1"/>
  <c r="Q30" i="35" s="1"/>
  <c r="Q27" i="35" a="1"/>
  <c r="Q27" i="35" s="1"/>
  <c r="Q25" i="35" a="1"/>
  <c r="Q25" i="35" s="1"/>
  <c r="Q26" i="35" a="1"/>
  <c r="Q26" i="35" s="1"/>
  <c r="Q21" i="35" a="1"/>
  <c r="Q21" i="35" s="1"/>
  <c r="Q22" i="35" a="1"/>
  <c r="Q22" i="35" s="1"/>
  <c r="Q19" i="35" a="1"/>
  <c r="Q19" i="35" s="1"/>
  <c r="Q17" i="35" a="1"/>
  <c r="Q17" i="35" s="1"/>
  <c r="Q18" i="35" a="1"/>
  <c r="Q18" i="35" s="1"/>
  <c r="H26" i="35" a="1"/>
  <c r="H26" i="35" s="1"/>
  <c r="I46" i="35" a="1"/>
  <c r="I46" i="35" s="1"/>
  <c r="G27" i="35" a="1"/>
  <c r="G27" i="35" s="1"/>
  <c r="J26" i="35" a="1"/>
  <c r="J26" i="35" s="1"/>
  <c r="L36" i="35" a="1"/>
  <c r="L36" i="35" s="1"/>
  <c r="I30" i="35" a="1"/>
  <c r="I30" i="35" s="1"/>
  <c r="J27" i="35" a="1"/>
  <c r="J27" i="35" s="1"/>
  <c r="J25" i="35" a="1"/>
  <c r="J25" i="35" s="1"/>
  <c r="G26" i="35" a="1"/>
  <c r="G26" i="35" s="1"/>
  <c r="I19" i="35" a="1"/>
  <c r="I19" i="35" s="1"/>
  <c r="H29" i="35" a="1"/>
  <c r="H29" i="35" s="1"/>
  <c r="P47" i="35" a="1"/>
  <c r="P47" i="35" s="1"/>
  <c r="P51" i="35" a="1"/>
  <c r="P51" i="35" s="1"/>
  <c r="P36" i="35" a="1"/>
  <c r="P36" i="35" s="1"/>
  <c r="P46" i="35" a="1"/>
  <c r="P46" i="35" s="1"/>
  <c r="P30" i="35" a="1"/>
  <c r="P30" i="35" s="1"/>
  <c r="P35" i="35" a="1"/>
  <c r="P35" i="35" s="1"/>
  <c r="P27" i="35" a="1"/>
  <c r="P27" i="35" s="1"/>
  <c r="P29" i="35" a="1"/>
  <c r="P29" i="35" s="1"/>
  <c r="P25" i="35" a="1"/>
  <c r="P25" i="35" s="1"/>
  <c r="P26" i="35" a="1"/>
  <c r="P26" i="35" s="1"/>
  <c r="P21" i="35" a="1"/>
  <c r="P21" i="35" s="1"/>
  <c r="P22" i="35" a="1"/>
  <c r="P22" i="35" s="1"/>
  <c r="P18" i="35" a="1"/>
  <c r="P18" i="35" s="1"/>
  <c r="P17" i="35" a="1"/>
  <c r="P17" i="35" s="1"/>
  <c r="P19" i="35" a="1"/>
  <c r="P19" i="35" s="1"/>
  <c r="O47" i="35" a="1"/>
  <c r="O47" i="35" s="1"/>
  <c r="O51" i="35" a="1"/>
  <c r="O51" i="35" s="1"/>
  <c r="O36" i="35" a="1"/>
  <c r="O36" i="35" s="1"/>
  <c r="O46" i="35" a="1"/>
  <c r="O46" i="35" s="1"/>
  <c r="O30" i="35" a="1"/>
  <c r="O30" i="35" s="1"/>
  <c r="O35" i="35" a="1"/>
  <c r="O35" i="35" s="1"/>
  <c r="O29" i="35" a="1"/>
  <c r="O29" i="35" s="1"/>
  <c r="O26" i="35" a="1"/>
  <c r="O26" i="35" s="1"/>
  <c r="O27" i="35" a="1"/>
  <c r="O27" i="35" s="1"/>
  <c r="O25" i="35" a="1"/>
  <c r="O25" i="35" s="1"/>
  <c r="O21" i="35" a="1"/>
  <c r="O21" i="35" s="1"/>
  <c r="O22" i="35" a="1"/>
  <c r="O22" i="35" s="1"/>
  <c r="O19" i="35" a="1"/>
  <c r="O19" i="35" s="1"/>
  <c r="O17" i="35" a="1"/>
  <c r="O17" i="35" s="1"/>
  <c r="O18" i="35" a="1"/>
  <c r="O18" i="35" s="1"/>
  <c r="N47" i="35" a="1"/>
  <c r="N47" i="35" s="1"/>
  <c r="N51" i="35" a="1"/>
  <c r="N51" i="35" s="1"/>
  <c r="N46" i="35" a="1"/>
  <c r="N46" i="35" s="1"/>
  <c r="N35" i="35" a="1"/>
  <c r="N35" i="35" s="1"/>
  <c r="N36" i="35" a="1"/>
  <c r="N36" i="35" s="1"/>
  <c r="N29" i="35" a="1"/>
  <c r="N29" i="35" s="1"/>
  <c r="N30" i="35" a="1"/>
  <c r="N30" i="35" s="1"/>
  <c r="N27" i="35" a="1"/>
  <c r="N27" i="35" s="1"/>
  <c r="N25" i="35" a="1"/>
  <c r="N25" i="35" s="1"/>
  <c r="N26" i="35" a="1"/>
  <c r="N26" i="35" s="1"/>
  <c r="N22" i="35" a="1"/>
  <c r="N22" i="35" s="1"/>
  <c r="N21" i="35" a="1"/>
  <c r="N21" i="35" s="1"/>
  <c r="N19" i="35" a="1"/>
  <c r="N19" i="35" s="1"/>
  <c r="N17" i="35" a="1"/>
  <c r="N17" i="35" s="1"/>
  <c r="N18" i="35" a="1"/>
  <c r="N18" i="35" s="1"/>
  <c r="M51" i="35" a="1"/>
  <c r="M51" i="35" s="1"/>
  <c r="M46" i="35" a="1"/>
  <c r="M46" i="35" s="1"/>
  <c r="M47" i="35" a="1"/>
  <c r="M47" i="35" s="1"/>
  <c r="M35" i="35" a="1"/>
  <c r="M35" i="35" s="1"/>
  <c r="M36" i="35" a="1"/>
  <c r="M36" i="35" s="1"/>
  <c r="M29" i="35" a="1"/>
  <c r="M29" i="35" s="1"/>
  <c r="M30" i="35" a="1"/>
  <c r="M30" i="35" s="1"/>
  <c r="M27" i="35" a="1"/>
  <c r="M27" i="35" s="1"/>
  <c r="M25" i="35" a="1"/>
  <c r="M25" i="35" s="1"/>
  <c r="M26" i="35" a="1"/>
  <c r="M26" i="35" s="1"/>
  <c r="M21" i="35" a="1"/>
  <c r="M21" i="35" s="1"/>
  <c r="M22" i="35" a="1"/>
  <c r="M22" i="35" s="1"/>
  <c r="M17" i="35" a="1"/>
  <c r="M17" i="35" s="1"/>
  <c r="M18" i="35" a="1"/>
  <c r="M18" i="35" s="1"/>
  <c r="M19" i="35" a="1"/>
  <c r="M19" i="35" s="1"/>
  <c r="L30" i="35" a="1"/>
  <c r="L30" i="35" s="1"/>
  <c r="L35" i="35" a="1"/>
  <c r="L35" i="35" s="1"/>
  <c r="L27" i="35" a="1"/>
  <c r="L27" i="35" s="1"/>
  <c r="L29" i="35" a="1"/>
  <c r="L29" i="35" s="1"/>
  <c r="L25" i="35" a="1"/>
  <c r="L25" i="35" s="1"/>
  <c r="L26" i="35" a="1"/>
  <c r="L26" i="35" s="1"/>
  <c r="L21" i="35" a="1"/>
  <c r="L21" i="35" s="1"/>
  <c r="L22" i="35" a="1"/>
  <c r="L22" i="35" s="1"/>
  <c r="L18" i="35" a="1"/>
  <c r="L18" i="35" s="1"/>
  <c r="L19" i="35" a="1"/>
  <c r="L19" i="35" s="1"/>
  <c r="L17" i="35" a="1"/>
  <c r="L17" i="35" s="1"/>
  <c r="K18" i="35" a="1"/>
  <c r="K18" i="35" s="1"/>
  <c r="K17" i="35" a="1"/>
  <c r="K17" i="35" s="1"/>
  <c r="K19" i="35" a="1"/>
  <c r="K19" i="35" s="1"/>
  <c r="K21" i="35" a="1"/>
  <c r="K21" i="35" s="1"/>
  <c r="L51" i="35" a="1"/>
  <c r="L51" i="35" s="1"/>
  <c r="H47" i="35" a="1"/>
  <c r="H47" i="35" s="1"/>
  <c r="I29" i="35" a="1"/>
  <c r="I29" i="35" s="1"/>
  <c r="H27" i="35" a="1"/>
  <c r="H27" i="35" s="1"/>
  <c r="I27" i="35" a="1"/>
  <c r="I27" i="35" s="1"/>
  <c r="J17" i="35" a="1"/>
  <c r="J17" i="35" s="1"/>
  <c r="I36" i="35" a="1"/>
  <c r="I36" i="35" s="1"/>
  <c r="H46" i="35" a="1"/>
  <c r="H46" i="35" s="1"/>
  <c r="L47" i="35" a="1"/>
  <c r="L47" i="35" s="1"/>
  <c r="I22" i="35" a="1"/>
  <c r="I22" i="35" s="1"/>
  <c r="G21" i="35" a="1"/>
  <c r="G21" i="35" s="1"/>
  <c r="H21" i="35" a="1"/>
  <c r="H21" i="35" s="1"/>
  <c r="I21" i="35" a="1"/>
  <c r="I21" i="35" s="1"/>
  <c r="J21" i="35" a="1"/>
  <c r="J21" i="35" s="1"/>
  <c r="G25" i="35" a="1"/>
  <c r="G25" i="35" s="1"/>
  <c r="G36" i="35" a="1"/>
  <c r="G36" i="35" s="1"/>
  <c r="G22" i="35" a="1"/>
  <c r="G22" i="35" s="1"/>
  <c r="I51" i="35" a="1"/>
  <c r="I51" i="35" s="1"/>
  <c r="J47" i="35" a="1"/>
  <c r="J47" i="35" s="1"/>
  <c r="H25" i="35" a="1"/>
  <c r="H25" i="35" s="1"/>
  <c r="K30" i="35" a="1"/>
  <c r="K30" i="35" s="1"/>
  <c r="K29" i="35" a="1"/>
  <c r="K29" i="35" s="1"/>
  <c r="J19" i="35" a="1"/>
  <c r="J19" i="35" s="1"/>
  <c r="H30" i="35" a="1"/>
  <c r="H30" i="35" s="1"/>
  <c r="K25" i="35" a="1"/>
  <c r="K25" i="35" s="1"/>
  <c r="L46" i="35" a="1"/>
  <c r="L46" i="35" s="1"/>
  <c r="G35" i="35" a="1"/>
  <c r="G35" i="35" s="1"/>
  <c r="G29" i="35" a="1"/>
  <c r="G29" i="35" s="1"/>
  <c r="G47" i="35" a="1"/>
  <c r="G47" i="35" s="1"/>
  <c r="K51" i="35" a="1"/>
  <c r="K51" i="35" s="1"/>
  <c r="K46" i="35" a="1"/>
  <c r="K46" i="35" s="1"/>
  <c r="I25" i="35" a="1"/>
  <c r="I25" i="35" s="1"/>
  <c r="H36" i="35" a="1"/>
  <c r="H36" i="35" s="1"/>
  <c r="H22" i="35" a="1"/>
  <c r="H22" i="35" s="1"/>
  <c r="J22" i="35" a="1"/>
  <c r="J22" i="35" s="1"/>
  <c r="K27" i="35" a="1"/>
  <c r="K27" i="35" s="1"/>
  <c r="H35" i="35" a="1"/>
  <c r="H35" i="35" s="1"/>
  <c r="H51" i="35" a="1"/>
  <c r="H51" i="35" s="1"/>
  <c r="K22" i="35" a="1"/>
  <c r="K22" i="35" s="1"/>
  <c r="G51" i="35" a="1"/>
  <c r="G51" i="35" s="1"/>
  <c r="I47" i="35" a="1"/>
  <c r="I47" i="35" s="1"/>
  <c r="I26" i="35" a="1"/>
  <c r="I26" i="35" s="1"/>
  <c r="I17" i="35" a="1"/>
  <c r="I17" i="35" s="1"/>
  <c r="G46" i="35" a="1"/>
  <c r="G46" i="35" s="1"/>
  <c r="J51" i="35" a="1"/>
  <c r="J51" i="35" s="1"/>
  <c r="J30" i="35" a="1"/>
  <c r="J30" i="35" s="1"/>
  <c r="J36" i="35" a="1"/>
  <c r="J36" i="35" s="1"/>
  <c r="K35" i="35" a="1"/>
  <c r="K35" i="35" s="1"/>
  <c r="K47" i="35" a="1"/>
  <c r="K47" i="35" s="1"/>
  <c r="G30" i="35" a="1"/>
  <c r="G30" i="35" s="1"/>
  <c r="I35" i="35" a="1"/>
  <c r="I35" i="35" s="1"/>
  <c r="J18" i="35" a="1"/>
  <c r="J18" i="35" s="1"/>
  <c r="J29" i="35" a="1"/>
  <c r="J29" i="35" s="1"/>
  <c r="K26" i="35" a="1"/>
  <c r="K26" i="35" s="1"/>
  <c r="J46" i="35" a="1"/>
  <c r="J46" i="35" s="1"/>
  <c r="J35" i="35" a="1"/>
  <c r="J35" i="35" s="1"/>
  <c r="K36" i="35" a="1"/>
  <c r="K36" i="35" s="1"/>
  <c r="G30" i="48" l="1"/>
  <c r="D30" i="48"/>
  <c r="I33" i="48"/>
  <c r="X16" i="35"/>
  <c r="H33" i="48"/>
  <c r="Q33" i="48"/>
  <c r="T37" i="48"/>
  <c r="O33" i="48"/>
  <c r="L33" i="48"/>
  <c r="I37" i="48"/>
  <c r="Q37" i="48"/>
  <c r="E33" i="48"/>
  <c r="K37" i="48"/>
  <c r="G65" i="35"/>
  <c r="C7" i="48" s="1"/>
  <c r="J33" i="48"/>
  <c r="T33" i="48"/>
  <c r="T30" i="48"/>
  <c r="K33" i="48"/>
  <c r="G37" i="48"/>
  <c r="M33" i="48"/>
  <c r="R30" i="48"/>
  <c r="S30" i="48"/>
  <c r="S33" i="48"/>
  <c r="K65" i="35"/>
  <c r="C11" i="48" s="1"/>
  <c r="H30" i="48"/>
  <c r="R37" i="48"/>
  <c r="L30" i="48"/>
  <c r="O30" i="48"/>
  <c r="P33" i="48"/>
  <c r="S37" i="48"/>
  <c r="D33" i="48"/>
  <c r="J30" i="48"/>
  <c r="M37" i="48"/>
  <c r="P37" i="48"/>
  <c r="J37" i="48"/>
  <c r="G33" i="48"/>
  <c r="I30" i="48"/>
  <c r="M30" i="48"/>
  <c r="P30" i="48"/>
  <c r="Q30" i="48"/>
  <c r="K30" i="48"/>
  <c r="N37" i="48"/>
  <c r="R33" i="48"/>
  <c r="N33" i="48"/>
  <c r="H37" i="48"/>
  <c r="L37" i="48"/>
  <c r="N30" i="48"/>
  <c r="O37" i="48"/>
  <c r="E30" i="48"/>
  <c r="F37" i="48"/>
  <c r="F30" i="48"/>
  <c r="F33" i="48"/>
  <c r="E37" i="48"/>
  <c r="D37" i="48"/>
  <c r="O65" i="35"/>
  <c r="C15" i="48" s="1"/>
  <c r="R65" i="35"/>
  <c r="C18" i="48" s="1"/>
  <c r="J65" i="35"/>
  <c r="C10" i="48" s="1"/>
  <c r="U65" i="35"/>
  <c r="C21" i="48" s="1"/>
  <c r="V65" i="35"/>
  <c r="C22" i="48" s="1"/>
  <c r="L65" i="35"/>
  <c r="C12" i="48" s="1"/>
  <c r="P65" i="35"/>
  <c r="C16" i="48" s="1"/>
  <c r="S65" i="35"/>
  <c r="C19" i="48" s="1"/>
  <c r="W65" i="35"/>
  <c r="C23" i="48" s="1"/>
  <c r="M65" i="35"/>
  <c r="C13" i="48" s="1"/>
  <c r="T65" i="35"/>
  <c r="C20" i="48" s="1"/>
  <c r="N65" i="35"/>
  <c r="C14" i="48" s="1"/>
  <c r="H65" i="35"/>
  <c r="C8" i="48" s="1"/>
  <c r="I65" i="35"/>
  <c r="C9" i="48" s="1"/>
  <c r="Q65" i="35"/>
  <c r="C17" i="48" s="1"/>
  <c r="X26" i="35"/>
  <c r="X27" i="35"/>
  <c r="X35" i="35"/>
  <c r="X22" i="35"/>
  <c r="X17" i="35"/>
  <c r="X36" i="35"/>
  <c r="X46" i="35"/>
  <c r="X25" i="35"/>
  <c r="X30" i="35"/>
  <c r="X19" i="35"/>
  <c r="X51" i="35"/>
  <c r="X21" i="35"/>
  <c r="X18" i="35"/>
  <c r="X47" i="35"/>
  <c r="X29" i="35"/>
  <c r="P42" i="48" l="1"/>
  <c r="F42" i="48"/>
  <c r="O42" i="48"/>
  <c r="D42" i="48"/>
  <c r="C24" i="48"/>
  <c r="D10" i="48" s="1"/>
  <c r="X65" i="35"/>
  <c r="H42" i="48"/>
  <c r="I42" i="48"/>
  <c r="Q42" i="48"/>
  <c r="T42" i="48"/>
  <c r="K42" i="48"/>
  <c r="M42" i="48"/>
  <c r="L42" i="48"/>
  <c r="N42" i="48"/>
  <c r="D45" i="48" a="1"/>
  <c r="D45" i="48" s="1"/>
  <c r="U33" i="48"/>
  <c r="G42" i="48"/>
  <c r="S42" i="48"/>
  <c r="U30" i="48"/>
  <c r="R42" i="48"/>
  <c r="U37" i="48"/>
  <c r="J42" i="48"/>
  <c r="E42" i="48"/>
  <c r="D49" i="48" l="1"/>
  <c r="U42" i="48"/>
  <c r="V29" i="48" s="1"/>
  <c r="D16" i="48"/>
  <c r="D23" i="48"/>
  <c r="D22" i="48"/>
  <c r="D8" i="48"/>
  <c r="D17" i="48"/>
  <c r="D12" i="48"/>
  <c r="D19" i="48"/>
  <c r="D9" i="48"/>
  <c r="D13" i="48"/>
  <c r="D7" i="48"/>
  <c r="D15" i="48"/>
  <c r="D18" i="48"/>
  <c r="D11" i="48"/>
  <c r="D21" i="48"/>
  <c r="D14" i="48"/>
  <c r="D20" i="48"/>
  <c r="D24" i="48" l="1"/>
  <c r="M40" i="50"/>
  <c r="C15" i="50" s="1"/>
  <c r="M52" i="50"/>
  <c r="M57" i="50" s="1"/>
  <c r="V31" i="48"/>
  <c r="V35" i="48"/>
  <c r="V36" i="48"/>
  <c r="V32" i="48"/>
  <c r="V38" i="48"/>
  <c r="V39" i="48"/>
  <c r="V40" i="48"/>
  <c r="V41" i="48"/>
  <c r="V34" i="48"/>
  <c r="V37" i="48"/>
  <c r="V33" i="48"/>
  <c r="V30" i="48"/>
  <c r="J22" i="51"/>
  <c r="L22" i="51"/>
  <c r="F39" i="50"/>
  <c r="K39" i="50"/>
  <c r="E39" i="50"/>
  <c r="H39" i="50"/>
  <c r="H22" i="51"/>
  <c r="L39" i="50"/>
  <c r="I39" i="50"/>
  <c r="K22" i="51"/>
  <c r="F6" i="28"/>
  <c r="D15" i="28" s="1"/>
  <c r="H39" i="2" s="1"/>
  <c r="J39" i="50"/>
  <c r="F22" i="51"/>
  <c r="E22" i="51"/>
  <c r="G22" i="51"/>
  <c r="I22" i="51"/>
  <c r="G39" i="50"/>
  <c r="V42" i="48" l="1"/>
  <c r="D88" i="50"/>
  <c r="G40" i="50"/>
  <c r="C9" i="50" s="1"/>
  <c r="D90" i="50" s="1"/>
  <c r="G52" i="50"/>
  <c r="G57" i="50" s="1"/>
  <c r="E40" i="50"/>
  <c r="E52" i="50"/>
  <c r="K40" i="50"/>
  <c r="C13" i="50" s="1"/>
  <c r="K52" i="50"/>
  <c r="K57" i="50" s="1"/>
  <c r="F40" i="50"/>
  <c r="C8" i="50" s="1"/>
  <c r="D91" i="50" s="1"/>
  <c r="F52" i="50"/>
  <c r="F57" i="50" s="1"/>
  <c r="D59" i="50" s="1"/>
  <c r="L35" i="51"/>
  <c r="L23" i="51"/>
  <c r="J40" i="50"/>
  <c r="C12" i="50" s="1"/>
  <c r="J52" i="50"/>
  <c r="J57" i="50" s="1"/>
  <c r="J35" i="51"/>
  <c r="J23" i="51"/>
  <c r="L40" i="50"/>
  <c r="C14" i="50" s="1"/>
  <c r="L52" i="50"/>
  <c r="L57" i="50" s="1"/>
  <c r="H35" i="51"/>
  <c r="H23" i="51"/>
  <c r="H40" i="50"/>
  <c r="C10" i="50" s="1"/>
  <c r="D87" i="50" s="1"/>
  <c r="H52" i="50"/>
  <c r="G35" i="51"/>
  <c r="G23" i="51"/>
  <c r="M22" i="51"/>
  <c r="M23" i="51" s="1"/>
  <c r="C10" i="34" s="1"/>
  <c r="E35" i="51"/>
  <c r="E23" i="51"/>
  <c r="F35" i="51"/>
  <c r="F23" i="51"/>
  <c r="K35" i="51"/>
  <c r="K23" i="51"/>
  <c r="I35" i="51"/>
  <c r="I23" i="51"/>
  <c r="O40" i="50"/>
  <c r="O52" i="50"/>
  <c r="O57" i="50" s="1"/>
  <c r="I40" i="50"/>
  <c r="C11" i="50" s="1"/>
  <c r="I52" i="50"/>
  <c r="I57" i="50" s="1"/>
  <c r="I39" i="2"/>
  <c r="D22" i="28"/>
  <c r="N52" i="50"/>
  <c r="N57" i="50" s="1"/>
  <c r="C7" i="50" l="1"/>
  <c r="Q40" i="50"/>
  <c r="R24" i="50" s="1"/>
  <c r="Q52" i="50"/>
  <c r="Q57" i="50" s="1"/>
  <c r="D60" i="50"/>
  <c r="D61" i="50"/>
  <c r="D93" i="50"/>
  <c r="H57" i="50"/>
  <c r="D62" i="50" s="1"/>
  <c r="E57" i="50"/>
  <c r="M35" i="51"/>
  <c r="D92" i="50"/>
  <c r="N40" i="50"/>
  <c r="F23" i="33"/>
  <c r="G23" i="33" s="1"/>
  <c r="H23" i="33" s="1"/>
  <c r="F24" i="33"/>
  <c r="G24" i="33" s="1"/>
  <c r="F25" i="33"/>
  <c r="G25" i="33" s="1"/>
  <c r="G7" i="50" l="1"/>
  <c r="C19" i="50"/>
  <c r="D18" i="50" s="1"/>
  <c r="R52" i="50"/>
  <c r="C16" i="50"/>
  <c r="J25" i="33"/>
  <c r="I25" i="33"/>
  <c r="H25" i="33"/>
  <c r="H24" i="33"/>
  <c r="J24" i="33"/>
  <c r="I24" i="33"/>
  <c r="I23" i="33"/>
  <c r="G26" i="33"/>
  <c r="J23" i="33"/>
  <c r="G9" i="50" l="1"/>
  <c r="H7" i="50" s="1"/>
  <c r="J26" i="33"/>
  <c r="R56" i="50"/>
  <c r="R46" i="50"/>
  <c r="R48" i="50"/>
  <c r="R55" i="50"/>
  <c r="R47" i="50"/>
  <c r="R54" i="50"/>
  <c r="R50" i="50"/>
  <c r="R49" i="50"/>
  <c r="R44" i="50"/>
  <c r="R53" i="50"/>
  <c r="R51" i="50"/>
  <c r="R45" i="50"/>
  <c r="R26" i="50"/>
  <c r="R39" i="50"/>
  <c r="R29" i="50"/>
  <c r="R27" i="50"/>
  <c r="R28" i="50"/>
  <c r="R30" i="50"/>
  <c r="R31" i="50"/>
  <c r="R34" i="50"/>
  <c r="R35" i="50"/>
  <c r="R37" i="50"/>
  <c r="R25" i="50"/>
  <c r="R38" i="50"/>
  <c r="R32" i="50"/>
  <c r="R33" i="50"/>
  <c r="R36" i="50"/>
  <c r="I26" i="33"/>
  <c r="C9" i="34" s="1"/>
  <c r="H26" i="33"/>
  <c r="C8" i="34" s="1"/>
  <c r="D89" i="50"/>
  <c r="D95" i="50" s="1"/>
  <c r="R40" i="50" l="1"/>
  <c r="C12" i="34"/>
  <c r="H8" i="50"/>
  <c r="H9" i="50" s="1"/>
  <c r="R57" i="50"/>
  <c r="D15" i="50"/>
  <c r="D13" i="50"/>
  <c r="D9" i="50"/>
  <c r="D12" i="50"/>
  <c r="D14" i="50"/>
  <c r="D11" i="50"/>
  <c r="D8" i="50"/>
  <c r="D17" i="50"/>
  <c r="D10" i="50"/>
  <c r="D7" i="50"/>
  <c r="D16" i="50"/>
  <c r="D19" i="50" l="1"/>
  <c r="D11" i="34"/>
  <c r="C13" i="34"/>
  <c r="C14" i="34" s="1"/>
  <c r="D9" i="34"/>
  <c r="D10" i="34"/>
  <c r="D8" i="34"/>
  <c r="E40" i="51"/>
  <c r="F40" i="51"/>
  <c r="G40" i="51"/>
  <c r="H40" i="51"/>
  <c r="I40" i="51"/>
  <c r="J40" i="51"/>
  <c r="K40" i="51"/>
  <c r="L40" i="51"/>
  <c r="M40" i="51" l="1"/>
  <c r="N28" i="51" l="1"/>
  <c r="N27" i="51"/>
  <c r="N37" i="51"/>
  <c r="N36" i="51"/>
  <c r="N35" i="51"/>
  <c r="N33" i="51"/>
  <c r="N32" i="51"/>
  <c r="N39" i="51"/>
  <c r="N31" i="51"/>
  <c r="N38" i="51"/>
  <c r="N34" i="51"/>
  <c r="N29" i="51"/>
  <c r="N30" i="51"/>
  <c r="N40"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Crowhurst, Kim</author>
  </authors>
  <commentList>
    <comment ref="N36" authorId="0" shapeId="0" xr:uid="{1FD1181D-EBD5-4C2B-A6D1-6F824CD34A01}">
      <text>
        <r>
          <rPr>
            <b/>
            <sz val="9"/>
            <color indexed="81"/>
            <rFont val="Tahoma"/>
            <family val="2"/>
          </rPr>
          <t>This value contains clearance &amp; demolition, land use change, excavation and plant use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Crowhurst, Kim</author>
  </authors>
  <commentList>
    <comment ref="C31" authorId="0" shapeId="0" xr:uid="{248B92CB-50E5-4ABA-B5F4-497281517573}">
      <text>
        <r>
          <rPr>
            <b/>
            <sz val="9"/>
            <color indexed="81"/>
            <rFont val="Tahoma"/>
            <family val="2"/>
          </rPr>
          <t>Classed under S24/24A Coolyhane Overbridge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<sst xmlns="http://schemas.openxmlformats.org/spreadsheetml/2006/main" count="7540" uniqueCount="769">
  <si>
    <t>Structure Type</t>
  </si>
  <si>
    <t>Link to breakdown</t>
  </si>
  <si>
    <t>Total Carbon (tCO₂e)</t>
  </si>
  <si>
    <t>Embodied Carbon</t>
  </si>
  <si>
    <t>Construction Activities</t>
  </si>
  <si>
    <t>Total carbon (tCO₂e)</t>
  </si>
  <si>
    <t>Carbon Benchmark per km per lane</t>
  </si>
  <si>
    <t>Structures</t>
  </si>
  <si>
    <t>Totals</t>
  </si>
  <si>
    <t>No. of structures benchmark is based on</t>
  </si>
  <si>
    <t>Unit</t>
  </si>
  <si>
    <t>Accommodation Overbridge</t>
  </si>
  <si>
    <t>AOB</t>
  </si>
  <si>
    <t>Accommodation Underbridges</t>
  </si>
  <si>
    <t>AUB</t>
  </si>
  <si>
    <t>Combined Accommodation Underbridges</t>
  </si>
  <si>
    <t>CAUB</t>
  </si>
  <si>
    <t>Combined Underbridge</t>
  </si>
  <si>
    <t>CUB</t>
  </si>
  <si>
    <t>Junction Underbridges</t>
  </si>
  <si>
    <t>JUB</t>
  </si>
  <si>
    <t>Overbridges</t>
  </si>
  <si>
    <t>OB</t>
  </si>
  <si>
    <t>Pedestrian Underpass</t>
  </si>
  <si>
    <t>PUP</t>
  </si>
  <si>
    <t>m</t>
  </si>
  <si>
    <t xml:space="preserve">River Bridges </t>
  </si>
  <si>
    <t>RB</t>
  </si>
  <si>
    <t xml:space="preserve">Underbridges </t>
  </si>
  <si>
    <t>UB</t>
  </si>
  <si>
    <t xml:space="preserve">Culverts </t>
  </si>
  <si>
    <t>C</t>
  </si>
  <si>
    <t>Side roads</t>
  </si>
  <si>
    <t>SR</t>
  </si>
  <si>
    <t>Junctions</t>
  </si>
  <si>
    <t>J</t>
  </si>
  <si>
    <t>Assumptions</t>
  </si>
  <si>
    <t>Structure name</t>
  </si>
  <si>
    <t>S02C - Accommodation Overbridge</t>
  </si>
  <si>
    <t>Total Carbon (tCO2)</t>
  </si>
  <si>
    <t>S03C - Accommodation Underbridge</t>
  </si>
  <si>
    <t>S11A - Accommodation Underbridge</t>
  </si>
  <si>
    <t>S25A Accommodation Underbridge</t>
  </si>
  <si>
    <t>S28A Accommodation Underbridge</t>
  </si>
  <si>
    <t>S10A - Combined Accommodation Underbridge</t>
  </si>
  <si>
    <t>S13A - Combined Accommodation Underbridge</t>
  </si>
  <si>
    <t>S16A - Combined Accommodation Underbridge</t>
  </si>
  <si>
    <t>S07A/S08 – Combined Toonlane Road Underbridge</t>
  </si>
  <si>
    <t>S20 - Clonfadda Overbridge</t>
  </si>
  <si>
    <t>S22 Kilnagurteen Overbridge</t>
  </si>
  <si>
    <t>S24-24A Coolyhane Overbridge</t>
  </si>
  <si>
    <t>S03D - Pedestrian Underpass</t>
  </si>
  <si>
    <t>S03 - Bohill River Bridge</t>
  </si>
  <si>
    <t>S19 - Foherish Riverbridge</t>
  </si>
  <si>
    <t>S26 - Laney Riverbridge</t>
  </si>
  <si>
    <t>S28 Sullane Riverbridge</t>
  </si>
  <si>
    <t>S06 - Ballymakeery Underbridge</t>
  </si>
  <si>
    <t>S09 – Coolnacaheragh Underbridge</t>
  </si>
  <si>
    <t>S23 Ballyveerane Underbridge</t>
  </si>
  <si>
    <t>S25 Coolyhane Underbridge</t>
  </si>
  <si>
    <t>S27 Ummera Underbridge</t>
  </si>
  <si>
    <t>Culverts</t>
  </si>
  <si>
    <t>No. of km</t>
  </si>
  <si>
    <t>No. of lanes</t>
  </si>
  <si>
    <t>Junctions Coolcour</t>
  </si>
  <si>
    <t>Junctions Gurteenroe</t>
  </si>
  <si>
    <t>Junctions Toonlane</t>
  </si>
  <si>
    <t>Junctions Baile Bhuirne</t>
  </si>
  <si>
    <t>Junctions Carrigaphooca</t>
  </si>
  <si>
    <t>Embodied carbon (tCO₂e)</t>
  </si>
  <si>
    <t>Construction Activities(tCO₂e)</t>
  </si>
  <si>
    <t>Materials (A1-3)</t>
  </si>
  <si>
    <t>Material Transport (A4)</t>
  </si>
  <si>
    <t>Plant Use (A5)</t>
  </si>
  <si>
    <t>Worker Travel (A5)</t>
  </si>
  <si>
    <t>Bridge deck area 
(m²)</t>
  </si>
  <si>
    <t>Junction length (m)</t>
  </si>
  <si>
    <t>Length (km)</t>
  </si>
  <si>
    <t>Excavation (A5)</t>
  </si>
  <si>
    <t>Land Use Change (A5)</t>
  </si>
  <si>
    <t>Clearance &amp; Demolition (A5)</t>
  </si>
  <si>
    <t>Sub-total</t>
  </si>
  <si>
    <t>Mainline total carbon (tCO₂e)</t>
  </si>
  <si>
    <t>% Footprint</t>
  </si>
  <si>
    <t>Total Length (m)</t>
  </si>
  <si>
    <t>Length (m)</t>
  </si>
  <si>
    <t>No. of m</t>
  </si>
  <si>
    <t>S05 - Killeen Overbridge</t>
  </si>
  <si>
    <t>Carbon Benchmark per Type of Structure</t>
  </si>
  <si>
    <t>N22 Carbon Benchmarking (22.2 km Type 2 Dual Carriageway)</t>
  </si>
  <si>
    <t>-</t>
  </si>
  <si>
    <t>This assessment has been conducted in accordance with PAS 2080: 2023 Carbon Management in Buildings and Infrastructure</t>
  </si>
  <si>
    <t>* Note that these results are for the benchmarked asset components only and therefore do not represent the carbon footprint for the scheme in its entirety.</t>
  </si>
  <si>
    <t>Mainline with earthworks (incl. side roads &amp; junctions)</t>
  </si>
  <si>
    <t>Mainline without earthworks (incl. side roads &amp; junctions)</t>
  </si>
  <si>
    <t>Structures benchmarked (incl. bridges &amp; culverts)</t>
  </si>
  <si>
    <t>S17 - Carrigaphooca Underbridge</t>
  </si>
  <si>
    <t>S21 - Gurteenroe Underbridge</t>
  </si>
  <si>
    <t>S01B - Accommodation Underbridge</t>
  </si>
  <si>
    <t>S03A - Accommodation Underbridge</t>
  </si>
  <si>
    <t>S02A/R04 - Accommodation Underbridge</t>
  </si>
  <si>
    <t>S02B - Accommodation Underbridge</t>
  </si>
  <si>
    <t>S04A - Accommodation Underbridge</t>
  </si>
  <si>
    <t>S08A - Accommodation Underbridge</t>
  </si>
  <si>
    <t>S09A - Accommodation Underbridge</t>
  </si>
  <si>
    <t>S12A - Accommodation Underbridge</t>
  </si>
  <si>
    <t>S15A - Accommodation Underbridge</t>
  </si>
  <si>
    <t>S19A - Accommodation Underbridge</t>
  </si>
  <si>
    <t>S20A - Accommodation Underbridge</t>
  </si>
  <si>
    <t>S22A Accommodation Underbridge</t>
  </si>
  <si>
    <t>S23B Accommodation Underbridge</t>
  </si>
  <si>
    <t>S01C - Baile Bhuirne Junction Underbridge</t>
  </si>
  <si>
    <t>S07 – Toonlane Junction Underbridge</t>
  </si>
  <si>
    <t>S02 &amp; S01A - Slievereagh Underbridge</t>
  </si>
  <si>
    <t>S04 - Kileen 1 Underbridge</t>
  </si>
  <si>
    <t>S14 - Sullane Underbridge</t>
  </si>
  <si>
    <t>Structure (with no data received)</t>
  </si>
  <si>
    <t>S01B</t>
  </si>
  <si>
    <t>S03A</t>
  </si>
  <si>
    <t>S02B</t>
  </si>
  <si>
    <t>S04A</t>
  </si>
  <si>
    <t>S08A</t>
  </si>
  <si>
    <t>S09A</t>
  </si>
  <si>
    <t>S12A</t>
  </si>
  <si>
    <t>S15A</t>
  </si>
  <si>
    <t>S19A</t>
  </si>
  <si>
    <t>S20A</t>
  </si>
  <si>
    <t>S22A</t>
  </si>
  <si>
    <t>S23B</t>
  </si>
  <si>
    <t>S01C</t>
  </si>
  <si>
    <t>S07</t>
  </si>
  <si>
    <t>S04</t>
  </si>
  <si>
    <t>S14</t>
  </si>
  <si>
    <t>S02A</t>
  </si>
  <si>
    <t>Bridge deck area (m²)</t>
  </si>
  <si>
    <t>Comment</t>
  </si>
  <si>
    <t>no comment</t>
  </si>
  <si>
    <t>Structure number</t>
  </si>
  <si>
    <t>Emission benchmark (tCO2e/m²)</t>
  </si>
  <si>
    <t>Carbon Benchmark per Structure (tCO₂e) A1-A5</t>
  </si>
  <si>
    <t>Embodied carbon A1-4 (tCO2e)</t>
  </si>
  <si>
    <t>Construction activities A5 (tCO2e)</t>
  </si>
  <si>
    <t>Summary</t>
  </si>
  <si>
    <t xml:space="preserve">PAS 2080 Stages </t>
  </si>
  <si>
    <t>Construction Activities (A5)</t>
  </si>
  <si>
    <t>Embodied Carbon (A1-A4)</t>
  </si>
  <si>
    <t>Series 300 - Fencing and Environmental Noise Barriers</t>
  </si>
  <si>
    <t>Series 400 - Road Restraint System</t>
  </si>
  <si>
    <t>Series 500 - Drainage and surface ducts</t>
  </si>
  <si>
    <t>Series 600 - Earthworks</t>
  </si>
  <si>
    <t>Series 800 - Road Pavements - Unbound and Cement Bound Mixtures</t>
  </si>
  <si>
    <t>Series 900 - Road Pavements - Bituminous Materials</t>
  </si>
  <si>
    <t>Series 1000 - Road Pavements - Concrete Materials</t>
  </si>
  <si>
    <t>Series 1100 - Kerbs, Footways and Paved Areas</t>
  </si>
  <si>
    <t>Series 1200 - Traffic Signs and Road Markings</t>
  </si>
  <si>
    <t>Series 1500 - Traffic Control and Communications</t>
  </si>
  <si>
    <t>Series 1600 - Piling and Embedded Retaining Walls</t>
  </si>
  <si>
    <t>Series 1700 - Structural Concrete</t>
  </si>
  <si>
    <t>Series 1800 - Structural Steelwork</t>
  </si>
  <si>
    <t>Series 2400 - Brickwork, Blockwork and Stonework</t>
  </si>
  <si>
    <t>Other-Street Furniture and Electrical Equipment</t>
  </si>
  <si>
    <t>Other-Timber</t>
  </si>
  <si>
    <t>Other-Tunnels</t>
  </si>
  <si>
    <t>Series Type</t>
  </si>
  <si>
    <t>S24A - Accommodation Underbridge</t>
  </si>
  <si>
    <t>S05 - Killeen OB</t>
  </si>
  <si>
    <t>Mainline</t>
  </si>
  <si>
    <t>Plastic pipework</t>
  </si>
  <si>
    <t>Plastic pipework (Polypropylene) - 150mm diameter</t>
  </si>
  <si>
    <t>Fill to structures</t>
  </si>
  <si>
    <t>Filling - to structures (average)</t>
  </si>
  <si>
    <t>m3</t>
  </si>
  <si>
    <t>Concrete-Construction General</t>
  </si>
  <si>
    <t>Concrete - standard mix (average)</t>
  </si>
  <si>
    <t>Concrete - design mix (average)</t>
  </si>
  <si>
    <t>Nr</t>
  </si>
  <si>
    <t>Reinforcement- Materials</t>
  </si>
  <si>
    <t>Deformed high yield steel bar reinforcement- Average</t>
  </si>
  <si>
    <t>tonne</t>
  </si>
  <si>
    <t>Cables</t>
  </si>
  <si>
    <t>Precast concrete manholes</t>
  </si>
  <si>
    <t>Precast concrete manholes - 900mm diameter, up to 3m depth</t>
  </si>
  <si>
    <t>Channel &amp; slot drains</t>
  </si>
  <si>
    <t>Road Restraint System</t>
  </si>
  <si>
    <t>Steel RRS barrier single sided</t>
  </si>
  <si>
    <t>Separation and Waterproof Membranes</t>
  </si>
  <si>
    <t>Impermeable plastic sheeting</t>
  </si>
  <si>
    <t>m2</t>
  </si>
  <si>
    <t>Precast concrete manholes - Average</t>
  </si>
  <si>
    <t>Miscellaneous Products and Processes</t>
  </si>
  <si>
    <t>Softwood component</t>
  </si>
  <si>
    <t>Timber - softwood component (kg)</t>
  </si>
  <si>
    <t>kg</t>
  </si>
  <si>
    <t>Plywood - softwood component (kg)</t>
  </si>
  <si>
    <t>Geotexiles - Average</t>
  </si>
  <si>
    <t>Fence</t>
  </si>
  <si>
    <t>Steel/wire/chain fence (includes posts)</t>
  </si>
  <si>
    <t>Concrete RC40/50 with 50% GGBS cement</t>
  </si>
  <si>
    <t>tCO2e/t</t>
  </si>
  <si>
    <t>Sum</t>
  </si>
  <si>
    <t>Timber rail fence (all types, includes posts)</t>
  </si>
  <si>
    <t>Gate</t>
  </si>
  <si>
    <t>Steel Double Field Gate 4m width</t>
  </si>
  <si>
    <t>Steel Single Field Gate 3m width</t>
  </si>
  <si>
    <t>Palisade Gate 5m wide 2.4m high</t>
  </si>
  <si>
    <t>Concrete footing to timber posts thickness 500mm</t>
  </si>
  <si>
    <t>Barriers</t>
  </si>
  <si>
    <t>Timber barrier 2m</t>
  </si>
  <si>
    <t>Timber barrier 3m</t>
  </si>
  <si>
    <t>Plastic barrier 3m</t>
  </si>
  <si>
    <t>Precast concrete circular pipework</t>
  </si>
  <si>
    <t>Precast concrete circular pipework -600mm diameter</t>
  </si>
  <si>
    <t>Precast concrete circular pipework - 900mm diameter</t>
  </si>
  <si>
    <t>Precast concrete circular pipework - 1200mm diameter</t>
  </si>
  <si>
    <t>Precast concrete circular pipework - 1800mm diameter</t>
  </si>
  <si>
    <t>Plastic pipework (HDPE) - 150mm diameter</t>
  </si>
  <si>
    <t>Plastic pipework (HDPE) - 225mm diameter</t>
  </si>
  <si>
    <t>Plastic pipework (HDPE) - 300mm diameter</t>
  </si>
  <si>
    <t>Plastic pipework (HDPE) - 450mm diameter</t>
  </si>
  <si>
    <t>Precast concrete manholes - 1050mm diameter, up to 3m depth</t>
  </si>
  <si>
    <t>Precast concrete manholes - 1050mm diameter, 3m - 6m depth</t>
  </si>
  <si>
    <t>Precast concrete manholes - 1200mm diameter, up to 3m depth</t>
  </si>
  <si>
    <t>Precast concrete manholes - 1200mm diameter, 3m - 6m depth</t>
  </si>
  <si>
    <t>Precast concrete manholes - 1500mm diameter, up to 3m depth</t>
  </si>
  <si>
    <t>Precast concrete manholes - 1500mm diameter, 3m - 6m depth</t>
  </si>
  <si>
    <t>Gullies</t>
  </si>
  <si>
    <t>Gullies - Precast concrete gully pots (heavy duty)</t>
  </si>
  <si>
    <t>Headwalls</t>
  </si>
  <si>
    <t>Headwalls - Brick (includes mortar)</t>
  </si>
  <si>
    <t>Petrol interceptor</t>
  </si>
  <si>
    <t>Petrol interceptor - Glass reinforced plastic GRP (Fiberglass)</t>
  </si>
  <si>
    <t>Granular Material Type B</t>
  </si>
  <si>
    <t>Granular material Type 2 depth 150mm</t>
  </si>
  <si>
    <t>Cement Bound Granular Mixtures</t>
  </si>
  <si>
    <t>Cement bound granular material depth 150-200m</t>
  </si>
  <si>
    <t>Hot Rolled Asphalt Products</t>
  </si>
  <si>
    <t>Dense asphalt concrete 14mm nominal size aggregate; depth: 40mm</t>
  </si>
  <si>
    <t>Dense asphalt concrete 10mm nominal size aggregate; depth: 30mm</t>
  </si>
  <si>
    <t>Surface Treatments</t>
  </si>
  <si>
    <t>Bituminous Spray, depth not exceeding 30mm</t>
  </si>
  <si>
    <t>Steel RRS barrier double sided</t>
  </si>
  <si>
    <t>Pre-cast concrete step barrier</t>
  </si>
  <si>
    <t>Road Markings</t>
  </si>
  <si>
    <t>Letters and shapes, directional arrow</t>
  </si>
  <si>
    <t>Continuous lines (average)</t>
  </si>
  <si>
    <t>Intermittent lines</t>
  </si>
  <si>
    <t>Permanent Traffic Sign System</t>
  </si>
  <si>
    <t>MS4 Sign</t>
  </si>
  <si>
    <t>Road studs</t>
  </si>
  <si>
    <t>Reflecting road studs (cats-eyes)</t>
  </si>
  <si>
    <t>Permanent Bollards</t>
  </si>
  <si>
    <t>Plastic marker post</t>
  </si>
  <si>
    <t>Steel sign</t>
  </si>
  <si>
    <t>Plastic cable ducting 150mm diameter</t>
  </si>
  <si>
    <t>Filling - other (average)</t>
  </si>
  <si>
    <t>Concrete – Grouting and Duct Systems for Post-tensioned Tendons</t>
  </si>
  <si>
    <t>Grout Materials - Sand</t>
  </si>
  <si>
    <t>Channel &amp; slot drains - Plastic (Polypropylene) channel (light duty)</t>
  </si>
  <si>
    <t>Plastic pipework (HDPE) - 600mm diameter</t>
  </si>
  <si>
    <t>Close graded asphalt 40mm nominal size aggregate; depth 60mm</t>
  </si>
  <si>
    <t>Brickwork and Blockwork</t>
  </si>
  <si>
    <t>Common brickwork - thickness not exceeding 150mm</t>
  </si>
  <si>
    <t>Dense asphalt concrete 14mm nominal size aggregate; depth: 30mm</t>
  </si>
  <si>
    <t>S02/S01A</t>
  </si>
  <si>
    <t>N22 Carbon Emissions Summary</t>
  </si>
  <si>
    <t>Transverse Joints</t>
  </si>
  <si>
    <t>Construction joint- Average</t>
  </si>
  <si>
    <t>Plastic pipework (PVC) - 150mm diameter</t>
  </si>
  <si>
    <t>Channel &amp; slot drains - Precast concrete channel (heavy duty)</t>
  </si>
  <si>
    <t>Precast Concrete - beams, 10-15m (average)</t>
  </si>
  <si>
    <t>Precast Concrete - beams, 7-10m (average)</t>
  </si>
  <si>
    <t>Precast Concrete - slabs- Average</t>
  </si>
  <si>
    <t>S02C</t>
  </si>
  <si>
    <t>Carbon per km of road (tCO₂e/km)</t>
  </si>
  <si>
    <t>Carbon per km.lane of road (tCO₂e/km)</t>
  </si>
  <si>
    <t>N/A</t>
  </si>
  <si>
    <t>Benchmarked?</t>
  </si>
  <si>
    <t>Yes</t>
  </si>
  <si>
    <t>No</t>
  </si>
  <si>
    <t>ML</t>
  </si>
  <si>
    <t>CU</t>
  </si>
  <si>
    <t>Bridge deck area</t>
  </si>
  <si>
    <t>Structure no.</t>
  </si>
  <si>
    <t>S03C</t>
  </si>
  <si>
    <t>S11A</t>
  </si>
  <si>
    <t>S25A</t>
  </si>
  <si>
    <t>S28A</t>
  </si>
  <si>
    <t>S13A</t>
  </si>
  <si>
    <t>S05</t>
  </si>
  <si>
    <t>S24</t>
  </si>
  <si>
    <t>S03D</t>
  </si>
  <si>
    <t>S03</t>
  </si>
  <si>
    <t>S19</t>
  </si>
  <si>
    <t>S26</t>
  </si>
  <si>
    <t>S06</t>
  </si>
  <si>
    <t>S07A/S08</t>
  </si>
  <si>
    <t>S09</t>
  </si>
  <si>
    <t>S17</t>
  </si>
  <si>
    <t>S21</t>
  </si>
  <si>
    <t>S25</t>
  </si>
  <si>
    <t>S27</t>
  </si>
  <si>
    <t>S10A/S10B</t>
  </si>
  <si>
    <t>S16A/S16B</t>
  </si>
  <si>
    <t>Average bridge deck area</t>
  </si>
  <si>
    <t>N22 Series Emissions Summary</t>
  </si>
  <si>
    <t>Series 300</t>
  </si>
  <si>
    <t>Series 400</t>
  </si>
  <si>
    <t>Series 500</t>
  </si>
  <si>
    <t>Series 600</t>
  </si>
  <si>
    <t>Series 1100</t>
  </si>
  <si>
    <t>Series 1200</t>
  </si>
  <si>
    <t>Series 1500</t>
  </si>
  <si>
    <t>Series 1600</t>
  </si>
  <si>
    <t>Series 1700</t>
  </si>
  <si>
    <t>Series 1800</t>
  </si>
  <si>
    <t>Series 2400</t>
  </si>
  <si>
    <t>Series 800</t>
  </si>
  <si>
    <t>Series 900</t>
  </si>
  <si>
    <t>Series 1000</t>
  </si>
  <si>
    <t>Series name</t>
  </si>
  <si>
    <t>Category</t>
  </si>
  <si>
    <t>Subcategory</t>
  </si>
  <si>
    <t>Material</t>
  </si>
  <si>
    <t xml:space="preserve">Quantity </t>
  </si>
  <si>
    <t>Default Maintenance Percentage</t>
  </si>
  <si>
    <t>Embodied tCO2e</t>
  </si>
  <si>
    <t>Maintenance tCO2e</t>
  </si>
  <si>
    <t>Material analysis category</t>
  </si>
  <si>
    <t>Aggregate</t>
  </si>
  <si>
    <t>Asphalt</t>
  </si>
  <si>
    <t>Steel</t>
  </si>
  <si>
    <t>Material and activity groups</t>
  </si>
  <si>
    <t>Operational energy</t>
  </si>
  <si>
    <t>Total Carbon per structure (tCO₂e)</t>
  </si>
  <si>
    <t>Total carbon per series (tCO₂e)</t>
  </si>
  <si>
    <t>Comparison with publicly available data</t>
  </si>
  <si>
    <t>N22 Maintenance Emissions Summary</t>
  </si>
  <si>
    <t>Wood</t>
  </si>
  <si>
    <t>Cement and Concrete</t>
  </si>
  <si>
    <t>Plastic</t>
  </si>
  <si>
    <t>Brick</t>
  </si>
  <si>
    <t>Aluminium</t>
  </si>
  <si>
    <t>Maintenance (tCO₂e)</t>
  </si>
  <si>
    <t>Maitenance material (B2-5)</t>
  </si>
  <si>
    <t>Total</t>
  </si>
  <si>
    <t>Maitenance plant (B2-5)</t>
  </si>
  <si>
    <t xml:space="preserve">Sub-total </t>
  </si>
  <si>
    <t>Total carbon per material (tCO₂e)</t>
  </si>
  <si>
    <t>Material Category</t>
  </si>
  <si>
    <t>%</t>
  </si>
  <si>
    <t>Embodied carbon (A1-3)</t>
  </si>
  <si>
    <t>Emissions (tCO₂e)</t>
  </si>
  <si>
    <t>Maintenance (B2-5)</t>
  </si>
  <si>
    <t>SO3C</t>
  </si>
  <si>
    <t>Aggregates</t>
  </si>
  <si>
    <t>Granular material limestone aggregate fill - general</t>
  </si>
  <si>
    <t>Concrete RC40/50 with 50% GGBS cement_Manual</t>
  </si>
  <si>
    <t>Rock armour</t>
  </si>
  <si>
    <t>Precast concrete circular pipework - 1500mm diameter</t>
  </si>
  <si>
    <t>Precast concrete circular pipework - 2100mm diameter</t>
  </si>
  <si>
    <t>Precast Concrete - slabs, 4-15m2 (average)</t>
  </si>
  <si>
    <t>Precast Concrete - beams, 15-20m (average)</t>
  </si>
  <si>
    <t>Contraction joint- Average</t>
  </si>
  <si>
    <t>S10A</t>
  </si>
  <si>
    <t>S16A</t>
  </si>
  <si>
    <t>Plain round steel bar reinforcement- Average</t>
  </si>
  <si>
    <t>S20</t>
  </si>
  <si>
    <t>S22</t>
  </si>
  <si>
    <t>Precast Concrete - beams, 20-30m (average)</t>
  </si>
  <si>
    <t>Plastic cable ducting 50mm diameter</t>
  </si>
  <si>
    <t>Geotextiles ground stabilising 300mm</t>
  </si>
  <si>
    <t>S28</t>
  </si>
  <si>
    <t>Precast Concrete - beams- Average</t>
  </si>
  <si>
    <t>General</t>
  </si>
  <si>
    <t>Beam</t>
  </si>
  <si>
    <t>General Stone</t>
  </si>
  <si>
    <t>tonnes</t>
  </si>
  <si>
    <t>Steel Bearing Piles</t>
  </si>
  <si>
    <t>Isolated steel piles (average)</t>
  </si>
  <si>
    <t>Diaphragm Walls</t>
  </si>
  <si>
    <t>Diaphragm Walls - Guided walls</t>
  </si>
  <si>
    <t>A1-A5 Carbon per Structure (tCO₂e)</t>
  </si>
  <si>
    <t>Total Carbon per structure 
A1-A5, B2-B5 (tCO₂e)</t>
  </si>
  <si>
    <t>Description</t>
  </si>
  <si>
    <t>Value</t>
  </si>
  <si>
    <t>No.</t>
  </si>
  <si>
    <t>tCO₂e/AUB structure</t>
  </si>
  <si>
    <t>tCO₂e/ m2 of AUB structure</t>
  </si>
  <si>
    <t>Percentage</t>
  </si>
  <si>
    <t xml:space="preserve">
Email from N22 states S09A was removed from the scheme pre-construction therefore values are zero. </t>
  </si>
  <si>
    <t xml:space="preserve">
Email from N22 states S12A was removed from the scheme pre-construction therefore values are zero. </t>
  </si>
  <si>
    <t>Email from N22 states that S02&amp;S01A are the same bridge</t>
  </si>
  <si>
    <t>Emissions from other structures</t>
  </si>
  <si>
    <t>These structures that have not been included in the initial benchmarking exercise due to the lack of data so they have been prorated using the benchmark information.</t>
  </si>
  <si>
    <t>tCO₂e/ m2 of JUB structure</t>
  </si>
  <si>
    <t>tCO₂e/JUB structure</t>
  </si>
  <si>
    <t>tCO₂e/UB structure</t>
  </si>
  <si>
    <t>tCO₂e/ m2 of UB structure</t>
  </si>
  <si>
    <t>tCO₂e/ m2 of AOB structure</t>
  </si>
  <si>
    <t>tCO₂e/AOB structure</t>
  </si>
  <si>
    <t>tCO₂e/ CAUB structure</t>
  </si>
  <si>
    <t>tCO₂e/ m2 of  CAUB structure</t>
  </si>
  <si>
    <t>tCO₂e/ m2 of CAUB structure</t>
  </si>
  <si>
    <t>Material and maintenance data analysis</t>
  </si>
  <si>
    <t>tCO₂e/ m2 of CUB structure</t>
  </si>
  <si>
    <t>tCO₂e/CUB structure</t>
  </si>
  <si>
    <t>tCO₂e/ m2 of OB structure</t>
  </si>
  <si>
    <t>tCO₂e/ m2 of PUP structure</t>
  </si>
  <si>
    <t>tCO₂e/PUP structure</t>
  </si>
  <si>
    <t>tCO₂e/RB structure</t>
  </si>
  <si>
    <t>tCO₂e/ m2 of RB structure</t>
  </si>
  <si>
    <t>km</t>
  </si>
  <si>
    <t>tCO₂e/km</t>
  </si>
  <si>
    <t>tCO₂e/ km.lane</t>
  </si>
  <si>
    <t>tCO₂e/J structure</t>
  </si>
  <si>
    <t>tCO₂e/ m2 of J structure</t>
  </si>
  <si>
    <t xml:space="preserve">Mainline </t>
  </si>
  <si>
    <t>tCO₂e/C structure</t>
  </si>
  <si>
    <t>Total A1-A3 Carbon per structure (tCO₂e)</t>
  </si>
  <si>
    <t>Total A1-A3 Carbon (tCO₂e)</t>
  </si>
  <si>
    <t>Total A1-A3 Carbon per series (tCO₂e)</t>
  </si>
  <si>
    <t xml:space="preserve">Material transport </t>
  </si>
  <si>
    <t>Worker Transport</t>
  </si>
  <si>
    <t>Plant Use</t>
  </si>
  <si>
    <t>Material Transport</t>
  </si>
  <si>
    <t>Worker Travel</t>
  </si>
  <si>
    <t>Cement and concrete</t>
  </si>
  <si>
    <t>On-site plant</t>
  </si>
  <si>
    <t>Other materials</t>
  </si>
  <si>
    <t>N22</t>
  </si>
  <si>
    <r>
      <t xml:space="preserve">National Highways 2030/2040/2050 plan
</t>
    </r>
    <r>
      <rPr>
        <i/>
        <sz val="12"/>
        <rFont val="Arial"/>
        <family val="2"/>
      </rPr>
      <t>Emissions in 2020</t>
    </r>
  </si>
  <si>
    <t>N22 Material and Activities Emissions Summary</t>
  </si>
  <si>
    <t>Structure Information</t>
  </si>
  <si>
    <t>Series Benchmarking</t>
  </si>
  <si>
    <t>Asset level analysis</t>
  </si>
  <si>
    <t>Structure level analysis</t>
  </si>
  <si>
    <t>Project level analysis</t>
  </si>
  <si>
    <t>% of total</t>
  </si>
  <si>
    <t>Maintenance (B2-B5)</t>
  </si>
  <si>
    <t>Tab description</t>
  </si>
  <si>
    <t>This tab summarises the carbon benchmarking values for various structure types</t>
  </si>
  <si>
    <r>
      <t xml:space="preserve">Tab description: </t>
    </r>
    <r>
      <rPr>
        <sz val="11"/>
        <color theme="0"/>
        <rFont val="Arial"/>
        <family val="2"/>
      </rPr>
      <t>This tab summarises the carbon benchmarking values for various structure types</t>
    </r>
  </si>
  <si>
    <t>Other Structures Summary</t>
  </si>
  <si>
    <t>Benchmarking data summary</t>
  </si>
  <si>
    <t>Summary of data obtained from TII Carbon Tool</t>
  </si>
  <si>
    <t>Quality Information</t>
  </si>
  <si>
    <t>Prepared by</t>
  </si>
  <si>
    <t>Checked by</t>
  </si>
  <si>
    <t>Verified by</t>
  </si>
  <si>
    <t>Approved by</t>
  </si>
  <si>
    <t>Emily Ghedia</t>
  </si>
  <si>
    <t>Revision History</t>
  </si>
  <si>
    <t>Revision</t>
  </si>
  <si>
    <t>Revision date</t>
  </si>
  <si>
    <t>Details</t>
  </si>
  <si>
    <t>Authorised</t>
  </si>
  <si>
    <t>Name</t>
  </si>
  <si>
    <t>Position</t>
  </si>
  <si>
    <t>© 2024 AECOM Limited. All Rights Reserved.</t>
  </si>
  <si>
    <t>Tools/Hardware</t>
  </si>
  <si>
    <t>This document has been prepared by AECOM Limited (“AECOM”) for sole use of our client (“Transport Infrastructure Ireland”) in accordance with generally accepted consultancy principles, the budget for fees and the terms of reference agreed between AECOM and the Client. Any information provided by third parties and referred to herein has not been checked or verified by AECOM, unless otherwise expressly stated in the document. No third party may rely upon this document without the prior and express written agreement of AECOM.</t>
  </si>
  <si>
    <t>Raw data</t>
  </si>
  <si>
    <t xml:space="preserve">Table below (excluding the last column) is a direct copy from TII Carbon Tool 'Embodied Carbon' page. Data was downloaded from the tool on 23/04/2024. The last column, 'Material analysis category', was filled in based on the material description. </t>
  </si>
  <si>
    <r>
      <t xml:space="preserve">Tab description: </t>
    </r>
    <r>
      <rPr>
        <sz val="11"/>
        <color theme="0"/>
        <rFont val="Arial"/>
        <family val="2"/>
      </rPr>
      <t xml:space="preserve">This tab summarises CAUB's benchmarking data and data obtained from the TII Carbon Tool. It also details a structure specific material and maintenance analysis, as well as a copy of a table from the online tool. </t>
    </r>
  </si>
  <si>
    <r>
      <t xml:space="preserve">Tab description: </t>
    </r>
    <r>
      <rPr>
        <sz val="11"/>
        <color theme="0"/>
        <rFont val="Arial"/>
        <family val="2"/>
      </rPr>
      <t xml:space="preserve">This tab summarises AOB's benchmarking data and data obtained from the TII Carbon Tool. It also details a structure specific material and maintenance analysis, as well as a copy of a table from the online tool. </t>
    </r>
  </si>
  <si>
    <t>Accommodation Underbridges (AUB)</t>
  </si>
  <si>
    <t>Combined Accommodation Underbridges (CAUB)</t>
  </si>
  <si>
    <t>Combined Underbridge (CUB)</t>
  </si>
  <si>
    <t>Junction Underbridge (JUB)</t>
  </si>
  <si>
    <t>Overbridge (OB)</t>
  </si>
  <si>
    <t>Pedestrian Underpass (PUP)</t>
  </si>
  <si>
    <t>Riverbridge (RB)</t>
  </si>
  <si>
    <t>Underbridges (UB)</t>
  </si>
  <si>
    <t>Junctions (J)</t>
  </si>
  <si>
    <t>Mainline (incl. Earthworks) (M)</t>
  </si>
  <si>
    <r>
      <t xml:space="preserve">Tab description: </t>
    </r>
    <r>
      <rPr>
        <sz val="11"/>
        <color theme="0"/>
        <rFont val="Arial"/>
        <family val="2"/>
      </rPr>
      <t xml:space="preserve">This tab summarises the junction's benchmarking data and data obtained from the TII Carbon Tool. It also details a structure specific material and maintenance analysis, as well as a copy of a table from the online tool. </t>
    </r>
  </si>
  <si>
    <t>Side roads (SR)</t>
  </si>
  <si>
    <t xml:space="preserve">Culverts (C) </t>
  </si>
  <si>
    <t>Mainline (excl. Earthworks) (M no EW)</t>
  </si>
  <si>
    <r>
      <t xml:space="preserve">Tab description: </t>
    </r>
    <r>
      <rPr>
        <sz val="11"/>
        <color theme="0"/>
        <rFont val="Arial"/>
        <family val="2"/>
      </rPr>
      <t xml:space="preserve">This tab summarises the maintenance figures for the N22 project in accordance with Task 4 detailed within the Task Plan. Data has been summarised from respective tabs. </t>
    </r>
  </si>
  <si>
    <r>
      <t xml:space="preserve">Tab description: </t>
    </r>
    <r>
      <rPr>
        <sz val="11"/>
        <color theme="0"/>
        <rFont val="Arial"/>
        <family val="2"/>
      </rPr>
      <t>This tab summarises the carbon analysis undertaken based on series type on an asset level in accordance with Task 2 detailed within the Task Plan.  For structures that have been benchmarked, data has been taken from respective structure tabs. 
For structures that have not been benchmarked, series values have been estimated based on a series benchmarking exercise which takes an average of those benchmarked.</t>
    </r>
  </si>
  <si>
    <r>
      <t xml:space="preserve">Tab description: </t>
    </r>
    <r>
      <rPr>
        <sz val="11"/>
        <color theme="0"/>
        <rFont val="Arial"/>
        <family val="2"/>
      </rPr>
      <t xml:space="preserve">This tab summarises the carbon analysis undertaken based on series type on a project and structure level in accordance with Task 2 detailed within the Task Plan. 
Data has been taken from the "Task 2 - Asset lvl analysis" tab which provides a detailed breakdown of each asset with corresponding carbon data for each series type. </t>
    </r>
  </si>
  <si>
    <r>
      <t xml:space="preserve">Tab description: </t>
    </r>
    <r>
      <rPr>
        <sz val="11"/>
        <color theme="0"/>
        <rFont val="Arial"/>
        <family val="2"/>
      </rPr>
      <t xml:space="preserve">This tab details the overall carbon figures for the N22 project in accordance with Task 1 detailed within the Task Plan. Data has been taken from the individual structure tabs as well as the "Other Structures" tab which contains the prorated data for those structures which have not been benchmarked. </t>
    </r>
  </si>
  <si>
    <t>Eleri Brown</t>
  </si>
  <si>
    <t>Kim Crowhurst</t>
  </si>
  <si>
    <t>Lauren Harrington</t>
  </si>
  <si>
    <t>ID</t>
  </si>
  <si>
    <t>Ian Davies</t>
  </si>
  <si>
    <t>Technical Director</t>
  </si>
  <si>
    <t>Excel submitted as part of Task 148</t>
  </si>
  <si>
    <t xml:space="preserve">Source: Values in this table have been taken directly from the TII Carbon Tool. Material related data is linked to the raw data table below. Data was taken on 23/04/2024. </t>
  </si>
  <si>
    <t>Overview</t>
  </si>
  <si>
    <t>Tab name</t>
  </si>
  <si>
    <t>Benchmark summary</t>
  </si>
  <si>
    <t>Task 1 - Emission summary</t>
  </si>
  <si>
    <t>Task 2 - Series summary</t>
  </si>
  <si>
    <t>Task 2 - Asset lvl analysis</t>
  </si>
  <si>
    <t>Task 3 - Material summary</t>
  </si>
  <si>
    <t>Task 4 - Maintenance summary</t>
  </si>
  <si>
    <t>Other structures</t>
  </si>
  <si>
    <t>Purpose of the excel</t>
  </si>
  <si>
    <t>This excel details the carbon benchmarking and analysis undertaken for the N22 project.</t>
  </si>
  <si>
    <t xml:space="preserve">This tab details the overall carbon figures for the N22 project in accordance with Task 1 detailed within the Task Plan. Data has been taken from the individual structure tabs as well as the "Other Structures" tab which contains the prorated data for those structures which have not been benchmarked. </t>
  </si>
  <si>
    <t xml:space="preserve">This tab summarises the carbon analysis undertaken based on series type on a project and structure level in accordance with Task 2 detailed within the Task Plan. 
Data has been taken from the "Task 2 - Asset lvl analysis" tab which provides a detailed breakdown of each asset with corresponding carbon data for each series type. </t>
  </si>
  <si>
    <t>This tab summarises the carbon analysis undertaken based on series type on an asset level in accordance with Task 2 detailed within the Task Plan.  For structures that have been benchmarked, data has been taken from respective structure tabs. 
For structures that have not been benchmarked, series values have been estimated based on a series benchmarking exercise which takes an average of those benchmarked.</t>
  </si>
  <si>
    <t xml:space="preserve">This tab summarises the maintenance figures for the N22 project in accordance with Task 4 detailed within the Task Plan. Data has been summarised from respective tabs. </t>
  </si>
  <si>
    <t xml:space="preserve">This tab summarises the respective structure's benchmarking data and data obtained from the TII Carbon Tool. It also details a structure specific material and maintenance analysis, as well as a copy of a table from the online tool. </t>
  </si>
  <si>
    <t>Maintenance B2-B5 (tCO2e)</t>
  </si>
  <si>
    <t>Type</t>
  </si>
  <si>
    <t>Number</t>
  </si>
  <si>
    <t>Chainage</t>
  </si>
  <si>
    <t>Form</t>
  </si>
  <si>
    <t>Wingwalls</t>
  </si>
  <si>
    <t>Width / Span</t>
  </si>
  <si>
    <t>Deck Width</t>
  </si>
  <si>
    <t>Height</t>
  </si>
  <si>
    <t>Beam Type</t>
  </si>
  <si>
    <t>River Bridges</t>
  </si>
  <si>
    <t xml:space="preserve">River </t>
  </si>
  <si>
    <t>Bohill Riverbridge &amp; Cappagh Underbridge (Combined)</t>
  </si>
  <si>
    <t>11+850</t>
  </si>
  <si>
    <t>120m 2 Span Steel Skeletal &amp; RE</t>
  </si>
  <si>
    <t>In-Situ</t>
  </si>
  <si>
    <t>Varies</t>
  </si>
  <si>
    <t>Weathering Steel</t>
  </si>
  <si>
    <t>Foherish Riverbridge</t>
  </si>
  <si>
    <t>23+780</t>
  </si>
  <si>
    <t>50m Single Span Prestressed</t>
  </si>
  <si>
    <t xml:space="preserve">W13 </t>
  </si>
  <si>
    <t>Laney Riverbridge</t>
  </si>
  <si>
    <t>29+890</t>
  </si>
  <si>
    <t>44m Single Span Prestressed</t>
  </si>
  <si>
    <t>W19</t>
  </si>
  <si>
    <t>Sullane Riverbridge</t>
  </si>
  <si>
    <t>30+680</t>
  </si>
  <si>
    <t>100m 2 Span Prestressed</t>
  </si>
  <si>
    <t>Over</t>
  </si>
  <si>
    <t>Killeen Overbridge</t>
  </si>
  <si>
    <t>13+920</t>
  </si>
  <si>
    <t>3 Span Pre-Stressed</t>
  </si>
  <si>
    <t>W8</t>
  </si>
  <si>
    <t>Clonfadda Overbridge</t>
  </si>
  <si>
    <t>24+360</t>
  </si>
  <si>
    <t>W10</t>
  </si>
  <si>
    <t>Kilnagurteen Overbridge</t>
  </si>
  <si>
    <t>26+890</t>
  </si>
  <si>
    <r>
      <t xml:space="preserve">Coolyhane Overbridge </t>
    </r>
    <r>
      <rPr>
        <sz val="11"/>
        <color rgb="FFFF0000"/>
        <rFont val="Arial Narrow"/>
        <family val="2"/>
      </rPr>
      <t>(Also includes S24A)</t>
    </r>
  </si>
  <si>
    <t>28+650</t>
  </si>
  <si>
    <t>W9</t>
  </si>
  <si>
    <t>Underbridges</t>
  </si>
  <si>
    <t>Under</t>
  </si>
  <si>
    <t>Combined Slievereagh Underbridge (TAR also includes R04)</t>
  </si>
  <si>
    <t>10+230</t>
  </si>
  <si>
    <t>RE &amp; Bank Seats</t>
  </si>
  <si>
    <t>MY5</t>
  </si>
  <si>
    <t>Combined Toonlane Road Underbridge</t>
  </si>
  <si>
    <t>15+340</t>
  </si>
  <si>
    <t>MY6</t>
  </si>
  <si>
    <t>S23/S23A</t>
  </si>
  <si>
    <t>Combined Ballyveerane Underbridge</t>
  </si>
  <si>
    <t>27+740</t>
  </si>
  <si>
    <t>MYE6</t>
  </si>
  <si>
    <t>Baile Bhuirne Underbridge</t>
  </si>
  <si>
    <t>9+800</t>
  </si>
  <si>
    <t>Killeen 1 Underbridge</t>
  </si>
  <si>
    <t>12+920</t>
  </si>
  <si>
    <t>Single Span In-Situ Portal</t>
  </si>
  <si>
    <t>RE</t>
  </si>
  <si>
    <t>Toonlane Junction Underbridge</t>
  </si>
  <si>
    <t>15+100</t>
  </si>
  <si>
    <t xml:space="preserve">MY </t>
  </si>
  <si>
    <t>Coolnacaheragh Underbridge</t>
  </si>
  <si>
    <t>16+650</t>
  </si>
  <si>
    <t>W7</t>
  </si>
  <si>
    <t>Carrigaphooca Underbridge</t>
  </si>
  <si>
    <t>23+280</t>
  </si>
  <si>
    <t>Skeletal &amp; RE</t>
  </si>
  <si>
    <t>W3</t>
  </si>
  <si>
    <t>Sullane Underbridge</t>
  </si>
  <si>
    <t>19+500</t>
  </si>
  <si>
    <t>MYE4</t>
  </si>
  <si>
    <t>Gurteenroe Underbridge</t>
  </si>
  <si>
    <t>26+155</t>
  </si>
  <si>
    <t>Coolyhane Underbridge</t>
  </si>
  <si>
    <t>29+465</t>
  </si>
  <si>
    <t>MY1</t>
  </si>
  <si>
    <t>Ummera Underbridge</t>
  </si>
  <si>
    <t>30+100</t>
  </si>
  <si>
    <t>2 Span Skeletal &amp; RE</t>
  </si>
  <si>
    <t>Accomodation</t>
  </si>
  <si>
    <t>Length</t>
  </si>
  <si>
    <t>Accom</t>
  </si>
  <si>
    <t>Accommodation Underbridge</t>
  </si>
  <si>
    <t>UAN</t>
  </si>
  <si>
    <t>Accom Overbridge</t>
  </si>
  <si>
    <t>Precast Arch Bridge</t>
  </si>
  <si>
    <t>MY2</t>
  </si>
  <si>
    <r>
      <t xml:space="preserve">Slí Gaeltacht Mhúscraí Underbridge </t>
    </r>
    <r>
      <rPr>
        <sz val="11"/>
        <color rgb="FFFF0000"/>
        <rFont val="Arial Narrow"/>
        <family val="2"/>
      </rPr>
      <t>(Pedestrian)</t>
    </r>
  </si>
  <si>
    <r>
      <t xml:space="preserve">Ballymakeery Underbridge </t>
    </r>
    <r>
      <rPr>
        <sz val="11"/>
        <color rgb="FFFF0000"/>
        <rFont val="Arial Narrow"/>
        <family val="2"/>
      </rPr>
      <t>(Pedestrian)</t>
    </r>
  </si>
  <si>
    <t>Combined Accommodation Underbridge</t>
  </si>
  <si>
    <t>17+460</t>
  </si>
  <si>
    <t>18+865</t>
  </si>
  <si>
    <t>21+945</t>
  </si>
  <si>
    <t>MY3</t>
  </si>
  <si>
    <t>Pre-Cast Box</t>
  </si>
  <si>
    <t>Precast Concrete - Box Culverts, 3m * 1.4m</t>
  </si>
  <si>
    <t>Precast Concrete - Box Culverts, 3m * 2.4m</t>
  </si>
  <si>
    <t>Precast Concrete - Box Culverts, 1.8m * 1.8m</t>
  </si>
  <si>
    <t>Precast Concrete - Box Culverts, 2.1m * 1.5m</t>
  </si>
  <si>
    <t>Precast Concrete - Box Culverts, 3.6m * 1.8m</t>
  </si>
  <si>
    <t>Precast Concrete - Box Culverts, 2.4m * 2.4m</t>
  </si>
  <si>
    <t>Precast Concrete - Box Culverts, 3.9m * 1.8m</t>
  </si>
  <si>
    <t>Precast Concrete - Box Culverts, 3.9m * 2.1m</t>
  </si>
  <si>
    <t>Precast Concrete - Box Culverts, 6.0m * 3.6m</t>
  </si>
  <si>
    <t>Precast Concrete - Box Culverts, 3.6m * 3.0m</t>
  </si>
  <si>
    <t>Precast Concrete - Box Culverts, 2.4m * 2.1m</t>
  </si>
  <si>
    <t>Precast Concrete - Box Culverts, 3.6m * 2.4m</t>
  </si>
  <si>
    <r>
      <t xml:space="preserve">Tab description: </t>
    </r>
    <r>
      <rPr>
        <sz val="11"/>
        <color theme="0"/>
        <rFont val="Arial"/>
        <family val="2"/>
      </rPr>
      <t>This tab details dimension information such as width, length and height for the bridges and culverts</t>
    </r>
    <r>
      <rPr>
        <b/>
        <sz val="11"/>
        <color theme="0"/>
        <rFont val="Arial"/>
        <family val="2"/>
      </rPr>
      <t xml:space="preserve">. 
Source of data: </t>
    </r>
    <r>
      <rPr>
        <sz val="11"/>
        <color theme="0"/>
        <rFont val="Arial"/>
        <family val="2"/>
      </rPr>
      <t xml:space="preserve">This information was provided by the N22 Project Team. </t>
    </r>
  </si>
  <si>
    <r>
      <t xml:space="preserve">Precast Concrete - Box Culverts, </t>
    </r>
    <r>
      <rPr>
        <sz val="11"/>
        <rFont val="Calibri"/>
        <family val="2"/>
      </rPr>
      <t>2.1m * 1.8m</t>
    </r>
  </si>
  <si>
    <t>In-situ culvert</t>
  </si>
  <si>
    <t>Total length</t>
  </si>
  <si>
    <t>Structure Dimensions</t>
  </si>
  <si>
    <t xml:space="preserve">This tab details dimension information such as width, length and height for the bridges and culverts. </t>
  </si>
  <si>
    <t>A1-A5</t>
  </si>
  <si>
    <t>A1-A5, B2-B5</t>
  </si>
  <si>
    <t>Carbon Benchmark for AOB</t>
  </si>
  <si>
    <t>Carbon Benchmark per m2 of a AOB</t>
  </si>
  <si>
    <t>Maintenance</t>
  </si>
  <si>
    <t>Percentage of total carbon (A1-A5,B2-B5) is</t>
  </si>
  <si>
    <t>A1-A5, B2-B5 Carbon per Structure (tCO₂e)</t>
  </si>
  <si>
    <t>A1-A5 Carbon per m² 
(tCO₂e)</t>
  </si>
  <si>
    <t>A1-A5, B2-B5 Carbon per m² 
(tCO₂e)</t>
  </si>
  <si>
    <t>Carbon Benchmark for CAUB</t>
  </si>
  <si>
    <t>Carbon Benchmark per m2 of a CAUB</t>
  </si>
  <si>
    <t>Carbon Benchmark for AUB</t>
  </si>
  <si>
    <t>Carbon Benchmark per m2 of a AUB</t>
  </si>
  <si>
    <t>Maintenance material (B2-5)</t>
  </si>
  <si>
    <t>Maintenance materials (B2-5)</t>
  </si>
  <si>
    <r>
      <t xml:space="preserve">Tab description: </t>
    </r>
    <r>
      <rPr>
        <sz val="10"/>
        <color theme="0"/>
        <rFont val="Arial"/>
        <family val="2"/>
      </rPr>
      <t xml:space="preserve">This tab summarises AUB's benchmarking data and data obtained from the TII Carbon Tool. It also details a structure specific material and maintenance analysis, as well as a copy of a table from the online tool. </t>
    </r>
  </si>
  <si>
    <r>
      <t xml:space="preserve">Tab description: </t>
    </r>
    <r>
      <rPr>
        <sz val="10"/>
        <color theme="0"/>
        <rFont val="Arial"/>
        <family val="2"/>
      </rPr>
      <t xml:space="preserve">This tab summarises CUB's benchmarking data and data obtained from the TII Carbon Tool. It also details a structure specific material and maintenance analysis, as well as a copy of a table from the online tool. </t>
    </r>
  </si>
  <si>
    <t>Carbon Benchmark for UB</t>
  </si>
  <si>
    <t>Carbon Benchmark for CUB</t>
  </si>
  <si>
    <t>Carbon Benchmark per m2 of a CUB</t>
  </si>
  <si>
    <r>
      <t xml:space="preserve">Tab description: </t>
    </r>
    <r>
      <rPr>
        <sz val="10"/>
        <color theme="0"/>
        <rFont val="Arial"/>
        <family val="2"/>
      </rPr>
      <t xml:space="preserve">This tab summarises JUB's benchmarking data and data obtained from the TII Carbon Tool. It also details a structure specific material and maintenance analysis, as well as a copy of a table from the online tool. </t>
    </r>
  </si>
  <si>
    <t>Carbon Benchmark for JUB</t>
  </si>
  <si>
    <t>Carbon Benchmark per m2 of a JUB</t>
  </si>
  <si>
    <t>tCO₂e/OB structure</t>
  </si>
  <si>
    <r>
      <t xml:space="preserve">Tab description: </t>
    </r>
    <r>
      <rPr>
        <sz val="10"/>
        <color theme="0"/>
        <rFont val="Arial"/>
        <family val="2"/>
      </rPr>
      <t xml:space="preserve">This tab summarises OB's benchmarking data and data obtained from the TII Carbon Tool. It also details a structure specific material and maintenance analysis, as well as a copy of a table from the online tool. </t>
    </r>
  </si>
  <si>
    <t>Carbon Benchmark for OB</t>
  </si>
  <si>
    <t>Carbon Benchmark per m2 of a OB</t>
  </si>
  <si>
    <t>Total emissions A1-A5, B2-B5 (tCO2e)</t>
  </si>
  <si>
    <r>
      <t xml:space="preserve">Tab description: </t>
    </r>
    <r>
      <rPr>
        <sz val="10"/>
        <color theme="0"/>
        <rFont val="Arial"/>
        <family val="2"/>
      </rPr>
      <t xml:space="preserve">This tab summarises PUP's benchmarking data and data obtained from the TII Carbon Tool. It also details a structure specific material and maintenance analysis, as well as a copy of a table from the online tool. </t>
    </r>
  </si>
  <si>
    <r>
      <t xml:space="preserve">Tab description: </t>
    </r>
    <r>
      <rPr>
        <sz val="10"/>
        <color theme="0"/>
        <rFont val="Arial"/>
        <family val="2"/>
      </rPr>
      <t xml:space="preserve">This tab summarises the side roads' benchmarking data and data obtained from the TII Carbon Tool. It also details a structure specific material and maintenance analysis, as well as a copy of a table from the online tool. </t>
    </r>
  </si>
  <si>
    <t>Carbon Benchmark for RB</t>
  </si>
  <si>
    <t>Carbon Benchmark per m2 of a RB</t>
  </si>
  <si>
    <r>
      <t xml:space="preserve">Tab description: </t>
    </r>
    <r>
      <rPr>
        <sz val="10"/>
        <color theme="0"/>
        <rFont val="Arial"/>
        <family val="2"/>
      </rPr>
      <t xml:space="preserve">This tab summarises RB's benchmarking data and data obtained from the TII Carbon Tool. It also details a structure specific material and maintenance analysis, as well as a copy of a table from the online tool. </t>
    </r>
  </si>
  <si>
    <t>Carbon Benchmark per m2 of a UB</t>
  </si>
  <si>
    <r>
      <t xml:space="preserve">Tab description: </t>
    </r>
    <r>
      <rPr>
        <sz val="10"/>
        <color theme="0"/>
        <rFont val="Arial"/>
        <family val="2"/>
      </rPr>
      <t xml:space="preserve">This tab summarises UB's benchmarking data and data obtained from the TII Carbon Tool. It also details a structure specific material and maintenance analysis, as well as a copy of a table from the online tool. </t>
    </r>
  </si>
  <si>
    <t>Carbon Benchmark per km</t>
  </si>
  <si>
    <t>Locations (Street Lighting)</t>
  </si>
  <si>
    <t>Qty of Lights</t>
  </si>
  <si>
    <t>kWh Rating</t>
  </si>
  <si>
    <t>Baile Bhurine</t>
  </si>
  <si>
    <t>Toonlane</t>
  </si>
  <si>
    <t>Carriagaphooca</t>
  </si>
  <si>
    <t>Gurteenroe</t>
  </si>
  <si>
    <t>Coolcour</t>
  </si>
  <si>
    <t>S04 Underbridge</t>
  </si>
  <si>
    <t>Locations (Variable Message Screens)</t>
  </si>
  <si>
    <t>Qty of Signs</t>
  </si>
  <si>
    <t>Coolcour Junction</t>
  </si>
  <si>
    <t>Baile Bhurine Junction</t>
  </si>
  <si>
    <t>Road Use</t>
  </si>
  <si>
    <t>Operational Energy (B6)</t>
  </si>
  <si>
    <t>A1-A5, B2-B5, B6</t>
  </si>
  <si>
    <t>Carbon Benchmark for J</t>
  </si>
  <si>
    <t>Percentage of total carbon (A1-A5,B2-B5, B6) is</t>
  </si>
  <si>
    <t>A1-A5, B2-B5, B6 Carbon per Structure (tCO₂e)</t>
  </si>
  <si>
    <r>
      <t xml:space="preserve">Road Use </t>
    </r>
    <r>
      <rPr>
        <sz val="10"/>
        <color theme="0"/>
        <rFont val="Arial"/>
        <family val="2"/>
      </rPr>
      <t>(tCO₂e)</t>
    </r>
  </si>
  <si>
    <t>A1-A5 Carbon per m
(tCO₂e)</t>
  </si>
  <si>
    <t>A1-A5, B2-B5, B6 Carbon per m
(tCO₂e)</t>
  </si>
  <si>
    <t>tCO₂e/ m of J structure</t>
  </si>
  <si>
    <t xml:space="preserve">Source: Values in this table have been taken directly from the TII Carbon Tool. Material related data is linked to the raw data table below. Data was taken on 13/05/2024. </t>
  </si>
  <si>
    <t>Carbon Benchmark per m of a J</t>
  </si>
  <si>
    <t>Carbon Benchmark for a Culvert</t>
  </si>
  <si>
    <t>Carbon Benchmark per m of a Culvert</t>
  </si>
  <si>
    <t>tCO₂e/ m of C structure</t>
  </si>
  <si>
    <t>A1-A5, B2-B5 Carbon per m
(tCO₂e)</t>
  </si>
  <si>
    <t>Mainline (excl earthworks)</t>
  </si>
  <si>
    <t>Maintenance plant (B2-5)</t>
  </si>
  <si>
    <t>S23</t>
  </si>
  <si>
    <r>
      <t xml:space="preserve">Tab description: </t>
    </r>
    <r>
      <rPr>
        <sz val="10"/>
        <color theme="0"/>
        <rFont val="Arial"/>
        <family val="2"/>
      </rPr>
      <t xml:space="preserve">This tab summarises the culverts' benchmarking data and data obtained from the TII Carbon Tool. It also details a structure specific material and maintenance analysis, as well as a copy of a table from the online tool. </t>
    </r>
  </si>
  <si>
    <t>Operational energy (B6)</t>
  </si>
  <si>
    <t>Structures that have been benchmarked</t>
  </si>
  <si>
    <t>Structures that have not been benchmarked</t>
  </si>
  <si>
    <t>Embodied carbon</t>
  </si>
  <si>
    <t>Maintenance carbon</t>
  </si>
  <si>
    <t>Carbon benchmarking  (tCO₂e/m2)</t>
  </si>
  <si>
    <t>Total bridge deck area (m²)</t>
  </si>
  <si>
    <t>Benchmark Unit</t>
  </si>
  <si>
    <t>tCO₂e/m²</t>
  </si>
  <si>
    <t>tCO₂e/m</t>
  </si>
  <si>
    <t>Carbon Benchmark per unit (A1-A5)</t>
  </si>
  <si>
    <t>Carbon Benchmark per unit (A1-A5, B2-B5, B6)</t>
  </si>
  <si>
    <t>S10A/S10B - Combined Accommodation Underbridge</t>
  </si>
  <si>
    <t>S16A/S16B - Combined Accommodation Underbridge</t>
  </si>
  <si>
    <t>M</t>
  </si>
  <si>
    <t>Topics</t>
  </si>
  <si>
    <t xml:space="preserve">Materials (A1-3) </t>
  </si>
  <si>
    <t>Carbon benchmark per m2 of AUB</t>
  </si>
  <si>
    <t xml:space="preserve">Material Transport (A4) </t>
  </si>
  <si>
    <t xml:space="preserve">Plant use (A5) </t>
  </si>
  <si>
    <t xml:space="preserve">Worker Travel (A5) </t>
  </si>
  <si>
    <t>Total Carbon (A1-A5, B2-B5, B6)    (tCO₂e)</t>
  </si>
  <si>
    <t>Structure type</t>
  </si>
  <si>
    <t>Carbon Benchmark per Structure (tCO₂e) (A1-A5, B2-B5, B6)</t>
  </si>
  <si>
    <t>Activity</t>
  </si>
  <si>
    <t>Structure level - spilt into benchmarked and non-benchmarked</t>
  </si>
  <si>
    <t>Structure level - total</t>
  </si>
  <si>
    <t>Cumulative</t>
  </si>
  <si>
    <t>% footprint</t>
  </si>
  <si>
    <t>Structure level analysis - spilt into benchmarked and non-benchmarked</t>
  </si>
  <si>
    <t>Lifecycle stage</t>
  </si>
  <si>
    <t xml:space="preserve">Carbon Benchmark (A1-A5, B2-B5, B6) per km </t>
  </si>
  <si>
    <t>Carbon Benchmark (A1-A5, B2-B5, B6) per km per lane</t>
  </si>
  <si>
    <t>Assumed operational hours = 4150hrs per light per year, as per the Public Lighting Retrofitting Guidance Document.
122W LED light assumed per steel lighting column</t>
  </si>
  <si>
    <t xml:space="preserve">Assumed 200W </t>
  </si>
  <si>
    <t>Operational Hours (hours)</t>
  </si>
  <si>
    <t>Power (W)</t>
  </si>
  <si>
    <t>Comments</t>
  </si>
  <si>
    <t xml:space="preserve">This structure has not been included in the initial benchmarking exercise however operational energy has been estimated and will be included in the total emissions. </t>
  </si>
  <si>
    <t>Operational Energy Use Emissions over 60 years (tCO2e)</t>
  </si>
  <si>
    <t>Percentage of total carbon (A1-A5,B2-B5,B6) is</t>
  </si>
  <si>
    <t>Summary for benchmarked assets</t>
  </si>
  <si>
    <t>Structures total carbon (tCO₂e)</t>
  </si>
  <si>
    <t xml:space="preserve">This tab summarises the carbon analysis undertaken based on material type and activities on a project and structure level in accordance with Task 3 detailed within the Task Plan. Data has been taken from respective structure tabs. 
The results are compared with publicly available data such as National Highways 2030/2040/2050 plan. </t>
  </si>
  <si>
    <t xml:space="preserve">This tab details the structures that have not been included in the initial benchmarking exercise and their respective bridge deck areas, benchmarks and emissions. </t>
  </si>
  <si>
    <t>Accommodation Overbridge (AOB)</t>
  </si>
  <si>
    <t>Acronym</t>
  </si>
  <si>
    <r>
      <t xml:space="preserve">Tab description: </t>
    </r>
    <r>
      <rPr>
        <sz val="11"/>
        <color theme="0"/>
        <rFont val="Arial"/>
        <family val="2"/>
      </rPr>
      <t xml:space="preserve">This tab summarises the carbon analysis undertaken based on material type and activities on a project and structure level in accordance with Task 3 detailed within the Task Plan. Data has been taken from respective structure tabs. 
The results are compared with publicly available data such as National Highways 2030/2040/2050 plan. </t>
    </r>
  </si>
  <si>
    <t>Source: National Highways, 2022. Net zero highways: our 2030/2040/2050 plan (https://nationalhighways.co.uk/media/eispcjem/net-zero-highways-our-2030-2040-2050-plan.pdf)</t>
  </si>
  <si>
    <r>
      <t xml:space="preserve">Tab description: </t>
    </r>
    <r>
      <rPr>
        <sz val="11"/>
        <color theme="0"/>
        <rFont val="Arial"/>
        <family val="2"/>
      </rPr>
      <t xml:space="preserve">This tab details the structures that have not been included in the initial benchmarking exercise and their respective bridge deck areas, benchmarks and emissions. </t>
    </r>
  </si>
  <si>
    <r>
      <t xml:space="preserve">Tab description: </t>
    </r>
    <r>
      <rPr>
        <sz val="10"/>
        <color theme="0"/>
        <rFont val="Arial"/>
        <family val="2"/>
      </rPr>
      <t xml:space="preserve">This tab summarises the Mainline's benchmarking data and data obtained from the TII Carbon Tool. It also details a structure specific material and maintenance analysis, as well as a copy of a table from the online tool. </t>
    </r>
  </si>
  <si>
    <r>
      <t xml:space="preserve">Tab description: </t>
    </r>
    <r>
      <rPr>
        <sz val="10"/>
        <color theme="0"/>
        <rFont val="Arial"/>
        <family val="2"/>
      </rPr>
      <t xml:space="preserve">This tab summarises the Mainline's benchmarking data and data obtained from the TII Carbon Tool (excluding earthworks). It also details a structure specific material and maintenance analysis, as well as a copy of a table from the online tool. </t>
    </r>
  </si>
  <si>
    <t>Operational Energy</t>
  </si>
  <si>
    <r>
      <t xml:space="preserve">Tab description: </t>
    </r>
    <r>
      <rPr>
        <sz val="11"/>
        <color theme="0"/>
        <rFont val="Arial"/>
        <family val="2"/>
      </rPr>
      <t>This tab details the operational energy requirements and emissions associated with N22's street lighting and Variable Message Screens.</t>
    </r>
    <r>
      <rPr>
        <b/>
        <sz val="11"/>
        <color theme="0"/>
        <rFont val="Arial"/>
        <family val="2"/>
      </rPr>
      <t xml:space="preserve">
Source of data: </t>
    </r>
    <r>
      <rPr>
        <sz val="11"/>
        <color theme="0"/>
        <rFont val="Arial"/>
        <family val="2"/>
      </rPr>
      <t xml:space="preserve">This information was provided by the N22 Project Team. </t>
    </r>
  </si>
  <si>
    <t>This tab details the operational energy requirements and emissions associated with N22's street lighting and Variable Message Screens.</t>
  </si>
  <si>
    <t>Geotextiles - Average</t>
  </si>
  <si>
    <t>Group</t>
  </si>
  <si>
    <t>For reporting</t>
  </si>
  <si>
    <t>Asphalt: % of Mainline</t>
  </si>
  <si>
    <t>Steel: % of River Bridges</t>
  </si>
  <si>
    <t>Cement and Concrete: % of bridges</t>
  </si>
  <si>
    <t>Activity: % of Plant Use</t>
  </si>
  <si>
    <t>Series 1700: % of bridges</t>
  </si>
  <si>
    <t>Mainline: % of road pavements</t>
  </si>
  <si>
    <t>Road pavements: % of Mainline</t>
  </si>
  <si>
    <t>Structure</t>
  </si>
  <si>
    <t>Side Roads</t>
  </si>
  <si>
    <t>Principal Consultant</t>
  </si>
  <si>
    <t>Consultant</t>
  </si>
  <si>
    <t>17th May 2024</t>
  </si>
  <si>
    <t>Steel: % of Mainline</t>
  </si>
  <si>
    <t>Pre-cast Concrete - General Concrete</t>
  </si>
  <si>
    <t>Mainline: % of drainage</t>
  </si>
  <si>
    <t>Mainline: % of road restraint systems</t>
  </si>
  <si>
    <t>The scope of this assessment is limited to the 'Before Use' and 'Use' Stage.</t>
  </si>
  <si>
    <t>21st June 2024</t>
  </si>
  <si>
    <t>Excel submitted as part of Task 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</si>
</sst>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_(* #,##0_);_(* \(#,##0\);_(* &quot;-&quot;??_);_(@_)"/>
    <numFmt numFmtId="166" formatCode="0.00000"/>
    <numFmt numFmtId="167" formatCode="0.0"/>
    <numFmt numFmtId="168" formatCode="_-* #,##0.0_-;\-* #,##0.0_-;_-* &quot;-&quot;??_-;_-@_-"/>
    <numFmt numFmtId="169" formatCode="0.000"/>
    <numFmt numFmtId="170" formatCode="0.0000"/>
    <numFmt numFmtId="171" formatCode="_-* #,##0.000_-;\-* #,##0.000_-;_-* &quot;-&quot;??_-;_-@_-"/>
    <numFmt numFmtId="172" formatCode="_-* #,##0.0000_-;\-* #,##0.0000_-;_-* &quot;-&quot;??_-;_-@_-"/>
    <numFmt numFmtId="173" formatCode="0.0%"/>
    <numFmt numFmtId="174" formatCode="0.000%"/>
  </numFmts>
  <fonts count="7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11"/>
      <color theme="1"/>
      <name val="Arial"/>
      <family val="2"/>
    </font>
    <font>
      <sz val="11"/>
      <color theme="1"/>
      <name val="Arial"/>
      <family val="2"/>
    </font>
    <font>
      <b/>
      <sz val="10"/>
      <color theme="0"/>
      <name val="Arial"/>
      <family val="2"/>
    </font>
    <font>
      <sz val="10"/>
      <color theme="1"/>
      <name val="Calibri"/>
      <family val="2"/>
      <scheme val="minor"/>
    </font>
    <font>
      <b/>
      <sz val="10"/>
      <color theme="1"/>
      <name val="Arial"/>
      <family val="2"/>
    </font>
    <font>
      <b/>
      <sz val="10"/>
      <name val="Arial"/>
      <family val="2"/>
    </font>
    <font>
      <sz val="10"/>
      <color theme="1"/>
      <name val="Arial"/>
      <family val="2"/>
    </font>
    <font>
      <sz val="10"/>
      <name val="Arial"/>
      <family val="2"/>
    </font>
    <font>
      <b/>
      <sz val="16"/>
      <color theme="0"/>
      <name val="Calibri"/>
      <family val="2"/>
      <scheme val="minor"/>
    </font>
    <font>
      <sz val="11"/>
      <name val="Calibri"/>
      <family val="2"/>
      <scheme val="minor"/>
    </font>
    <font>
      <u/>
      <sz val="11"/>
      <color theme="10"/>
      <name val="Calibri"/>
      <family val="2"/>
      <scheme val="minor"/>
    </font>
    <font>
      <sz val="11"/>
      <color rgb="FF9C5700"/>
      <name val="Calibri"/>
      <family val="2"/>
      <scheme val="minor"/>
    </font>
    <font>
      <sz val="11"/>
      <color theme="0"/>
      <name val="Calibri"/>
      <family val="2"/>
      <scheme val="minor"/>
    </font>
    <font>
      <u/>
      <sz val="10"/>
      <color rgb="FF008768"/>
      <name val="Arial"/>
      <family val="2"/>
    </font>
    <font>
      <b/>
      <sz val="11"/>
      <color rgb="FF008768"/>
      <name val="Arial"/>
      <family val="2"/>
    </font>
    <font>
      <b/>
      <sz val="16"/>
      <color theme="0"/>
      <name val="Arial"/>
      <family val="2"/>
    </font>
    <font>
      <b/>
      <i/>
      <sz val="10"/>
      <name val="Arial"/>
      <family val="2"/>
    </font>
    <font>
      <i/>
      <sz val="10"/>
      <name val="Arial"/>
      <family val="2"/>
    </font>
    <font>
      <sz val="10"/>
      <color rgb="FF000000"/>
      <name val="Arial"/>
      <family val="2"/>
    </font>
    <font>
      <b/>
      <sz val="10"/>
      <color rgb="FF000000"/>
      <name val="Arial"/>
      <family val="2"/>
    </font>
    <font>
      <b/>
      <sz val="14"/>
      <color theme="0"/>
      <name val="Arial"/>
      <family val="2"/>
    </font>
    <font>
      <b/>
      <sz val="14"/>
      <color theme="1"/>
      <name val="Calibri"/>
      <family val="2"/>
      <scheme val="minor"/>
    </font>
    <font>
      <sz val="10"/>
      <name val="Calibri"/>
      <family val="2"/>
      <scheme val="minor"/>
    </font>
    <font>
      <i/>
      <sz val="11"/>
      <name val="Calibri"/>
      <family val="2"/>
      <scheme val="minor"/>
    </font>
    <font>
      <b/>
      <sz val="12"/>
      <color theme="0"/>
      <name val="Arial"/>
      <family val="2"/>
    </font>
    <font>
      <sz val="11"/>
      <color rgb="FF9C0006"/>
      <name val="Calibri"/>
      <family val="2"/>
      <scheme val="minor"/>
    </font>
    <font>
      <sz val="11"/>
      <color theme="2" tint="-0.749992370372631"/>
      <name val="Calibri"/>
      <family val="2"/>
      <scheme val="minor"/>
    </font>
    <font>
      <sz val="11"/>
      <color theme="2" tint="-0.749992370372631"/>
      <name val="Arial"/>
      <family val="2"/>
    </font>
    <font>
      <b/>
      <sz val="11"/>
      <name val="Arial"/>
      <family val="2"/>
    </font>
    <font>
      <sz val="11"/>
      <name val="Arial"/>
      <family val="2"/>
    </font>
    <font>
      <sz val="11"/>
      <color rgb="FF9C0006"/>
      <name val="Arial"/>
      <family val="2"/>
    </font>
    <font>
      <sz val="11"/>
      <color rgb="FFFF0000"/>
      <name val="Arial"/>
      <family val="2"/>
    </font>
    <font>
      <sz val="8"/>
      <name val="Calibri"/>
      <family val="2"/>
      <scheme val="minor"/>
    </font>
    <font>
      <b/>
      <sz val="12"/>
      <name val="Arial"/>
      <family val="2"/>
    </font>
    <font>
      <b/>
      <sz val="9"/>
      <color theme="0"/>
      <name val="Arial"/>
      <family val="2"/>
    </font>
    <font>
      <b/>
      <sz val="16"/>
      <color theme="1"/>
      <name val="Calibri"/>
      <family val="2"/>
      <scheme val="minor"/>
    </font>
    <font>
      <b/>
      <sz val="22"/>
      <color theme="0"/>
      <name val="Arial"/>
      <family val="2"/>
    </font>
    <font>
      <sz val="22"/>
      <color theme="1"/>
      <name val="Calibri"/>
      <family val="2"/>
      <scheme val="minor"/>
    </font>
    <font>
      <sz val="9"/>
      <color indexed="81"/>
      <name val="Tahoma"/>
      <family val="2"/>
    </font>
    <font>
      <b/>
      <sz val="9"/>
      <color indexed="81"/>
      <name val="Tahoma"/>
      <family val="2"/>
    </font>
    <font>
      <i/>
      <sz val="12"/>
      <name val="Arial"/>
      <family val="2"/>
    </font>
    <font>
      <b/>
      <sz val="20"/>
      <color theme="0"/>
      <name val="Arial"/>
      <family val="2"/>
    </font>
    <font>
      <b/>
      <sz val="22"/>
      <color theme="1"/>
      <name val="Calibri"/>
      <family val="2"/>
      <scheme val="minor"/>
    </font>
    <font>
      <b/>
      <sz val="11"/>
      <name val="Calibri"/>
      <family val="2"/>
      <scheme val="minor"/>
    </font>
    <font>
      <b/>
      <sz val="11"/>
      <color theme="0"/>
      <name val="Arial"/>
      <family val="2"/>
    </font>
    <font>
      <sz val="11"/>
      <color theme="0"/>
      <name val="Arial"/>
      <family val="2"/>
    </font>
    <font>
      <sz val="11"/>
      <color rgb="FF404040"/>
      <name val="Calibri"/>
      <family val="2"/>
      <scheme val="minor"/>
    </font>
    <font>
      <b/>
      <sz val="11"/>
      <color theme="1" tint="0.249977111117893"/>
      <name val="Calibri"/>
      <family val="2"/>
      <scheme val="minor"/>
    </font>
    <font>
      <b/>
      <sz val="22"/>
      <color theme="0"/>
      <name val="Calibri"/>
      <family val="2"/>
      <scheme val="minor"/>
    </font>
    <font>
      <sz val="11"/>
      <color rgb="FF000000"/>
      <name val="Calibri"/>
      <family val="2"/>
      <scheme val="minor"/>
    </font>
    <font>
      <b/>
      <sz val="11"/>
      <color rgb="FF000000"/>
      <name val="Calibri"/>
      <family val="2"/>
      <scheme val="minor"/>
    </font>
    <font>
      <b/>
      <sz val="11"/>
      <name val="Arial Narrow"/>
      <family val="2"/>
    </font>
    <font>
      <sz val="11"/>
      <name val="Arial Narrow"/>
      <family val="2"/>
    </font>
    <font>
      <sz val="11"/>
      <color rgb="FFFF0000"/>
      <name val="Arial Narrow"/>
      <family val="2"/>
    </font>
    <font>
      <sz val="11"/>
      <name val="Calibri"/>
      <family val="2"/>
    </font>
    <font>
      <b/>
      <sz val="16"/>
      <color rgb="FF008768"/>
      <name val="Arial"/>
      <family val="2"/>
    </font>
    <font>
      <sz val="16"/>
      <color theme="0"/>
      <name val="Arial"/>
      <family val="2"/>
    </font>
    <font>
      <sz val="14"/>
      <color theme="0"/>
      <name val="Arial"/>
      <family val="2"/>
    </font>
    <font>
      <b/>
      <sz val="16"/>
      <color theme="1"/>
      <name val="Arial"/>
      <family val="2"/>
    </font>
    <font>
      <b/>
      <sz val="12"/>
      <color theme="1"/>
      <name val="Arial"/>
      <family val="2"/>
    </font>
    <font>
      <sz val="11"/>
      <color rgb="FF008768"/>
      <name val="Arial"/>
      <family val="2"/>
    </font>
    <font>
      <sz val="10"/>
      <color theme="0"/>
      <name val="Arial"/>
      <family val="2"/>
    </font>
    <font>
      <b/>
      <sz val="10"/>
      <color rgb="FF008768"/>
      <name val="Arial"/>
      <family val="2"/>
    </font>
    <font>
      <sz val="10"/>
      <color rgb="FF008768"/>
      <name val="Arial"/>
      <family val="2"/>
    </font>
    <font>
      <sz val="10"/>
      <color rgb="FF000000"/>
      <name val="Times New Roman"/>
      <family val="1"/>
    </font>
    <font>
      <b/>
      <sz val="10"/>
      <color rgb="FF000000"/>
      <name val="Calibri"/>
      <family val="2"/>
      <scheme val="minor"/>
    </font>
    <font>
      <sz val="10"/>
      <color rgb="FF000000"/>
      <name val="Calibri"/>
      <family val="2"/>
      <scheme val="minor"/>
    </font>
    <font>
      <sz val="12"/>
      <name val="Arial"/>
      <family val="2"/>
    </font>
    <font>
      <sz val="12"/>
      <color theme="1"/>
      <name val="Arial"/>
      <family val="2"/>
    </font>
    <font>
      <u/>
      <sz val="11"/>
      <color theme="1"/>
      <name val="Arial"/>
      <family val="2"/>
    </font>
    <font>
      <u/>
      <sz val="11"/>
      <color theme="0"/>
      <name val="Arial"/>
      <family val="2"/>
    </font>
    <font>
      <u/>
      <sz val="11"/>
      <name val="Arial"/>
      <family val="2"/>
    </font>
    <font>
      <b/>
      <sz val="11"/>
      <color theme="1" tint="0.249977111117893"/>
      <name val="Arial"/>
      <family val="2"/>
    </font>
  </fonts>
  <fills count="16">
    <fill>
      <patternFill patternType="none"/>
    </fill>
    <fill>
      <patternFill patternType="gray125"/>
    </fill>
    <fill>
      <patternFill patternType="solid">
        <fgColor rgb="FF59A089"/>
        <bgColor indexed="64"/>
      </patternFill>
    </fill>
    <fill>
      <patternFill patternType="solid">
        <fgColor rgb="FF00876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EB9C"/>
      </patternFill>
    </fill>
    <fill>
      <patternFill patternType="solid">
        <fgColor theme="2"/>
        <bgColor indexed="64"/>
      </patternFill>
    </fill>
    <fill>
      <patternFill patternType="solid">
        <fgColor rgb="FFC4DED5"/>
        <bgColor indexed="64"/>
      </patternFill>
    </fill>
    <fill>
      <patternFill patternType="solid">
        <fgColor rgb="FFFFC7CE"/>
      </patternFill>
    </fill>
    <fill>
      <patternFill patternType="solid">
        <fgColor rgb="FF00353E"/>
        <bgColor indexed="64"/>
      </patternFill>
    </fill>
    <fill>
      <patternFill patternType="solid">
        <fgColor rgb="FFFFFFFF"/>
        <bgColor rgb="FF000000"/>
      </patternFill>
    </fill>
    <fill>
      <patternFill patternType="solid">
        <fgColor rgb="FF008768"/>
        <bgColor rgb="FF000000"/>
      </patternFill>
    </fill>
    <fill>
      <patternFill patternType="solid">
        <fgColor rgb="FFC4DED5"/>
        <bgColor rgb="FF000000"/>
      </patternFill>
    </fill>
    <fill>
      <patternFill patternType="solid">
        <fgColor theme="2" tint="-9.9978637043366805E-2"/>
        <bgColor indexed="64"/>
      </patternFill>
    </fill>
  </fills>
  <borders count="78">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rgb="FF008768"/>
      </left>
      <right style="thin">
        <color rgb="FF008768"/>
      </right>
      <top style="thin">
        <color rgb="FF008768"/>
      </top>
      <bottom style="thin">
        <color rgb="FF008768"/>
      </bottom>
      <diagonal/>
    </border>
    <border>
      <left style="thin">
        <color rgb="FF008768"/>
      </left>
      <right/>
      <top style="thin">
        <color rgb="FF008768"/>
      </top>
      <bottom style="thin">
        <color rgb="FF008768"/>
      </bottom>
      <diagonal/>
    </border>
    <border>
      <left/>
      <right/>
      <top style="thin">
        <color rgb="FF008768"/>
      </top>
      <bottom style="thin">
        <color rgb="FF008768"/>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8768"/>
      </bottom>
      <diagonal/>
    </border>
    <border>
      <left/>
      <right/>
      <top style="thick">
        <color rgb="FF008768"/>
      </top>
      <bottom/>
      <diagonal/>
    </border>
    <border>
      <left/>
      <right/>
      <top style="thin">
        <color theme="1"/>
      </top>
      <bottom style="thin">
        <color theme="1"/>
      </bottom>
      <diagonal/>
    </border>
    <border>
      <left/>
      <right/>
      <top style="thin">
        <color theme="1"/>
      </top>
      <bottom style="thin">
        <color indexed="64"/>
      </bottom>
      <diagonal/>
    </border>
    <border>
      <left style="thin">
        <color rgb="FF008768"/>
      </left>
      <right/>
      <top style="thin">
        <color rgb="FF008768"/>
      </top>
      <bottom/>
      <diagonal/>
    </border>
    <border>
      <left/>
      <right/>
      <top style="thin">
        <color rgb="FF008768"/>
      </top>
      <bottom/>
      <diagonal/>
    </border>
    <border>
      <left style="thin">
        <color rgb="FF008768"/>
      </left>
      <right/>
      <top/>
      <bottom style="thin">
        <color rgb="FF008768"/>
      </bottom>
      <diagonal/>
    </border>
    <border>
      <left/>
      <right/>
      <top/>
      <bottom style="thin">
        <color rgb="FF008768"/>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s>
  <cellStyleXfs count="9">
    <xf numFmtId="0" fontId="0" fillId="0" borderId="0"/>
    <xf numFmtId="43" fontId="1"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10" borderId="0" applyNumberFormat="0" applyBorder="0" applyAlignment="0" applyProtection="0"/>
    <xf numFmtId="0" fontId="54" fillId="0" borderId="0"/>
    <xf numFmtId="0" fontId="69" fillId="0" borderId="0"/>
  </cellStyleXfs>
  <cellXfs count="841">
    <xf numFmtId="0" fontId="0" fillId="0" borderId="0" xfId="0"/>
    <xf numFmtId="0" fontId="4" fillId="3" borderId="0" xfId="0" applyFont="1" applyFill="1" applyAlignment="1">
      <alignment vertical="center"/>
    </xf>
    <xf numFmtId="0" fontId="10" fillId="4" borderId="4" xfId="0" applyFont="1" applyFill="1" applyBorder="1" applyAlignment="1">
      <alignment vertical="center"/>
    </xf>
    <xf numFmtId="0" fontId="11" fillId="0" borderId="4" xfId="0" applyFont="1" applyBorder="1" applyAlignment="1">
      <alignment vertical="center"/>
    </xf>
    <xf numFmtId="0" fontId="13" fillId="3" borderId="0" xfId="0" applyFont="1" applyFill="1" applyAlignment="1">
      <alignment vertical="center"/>
    </xf>
    <xf numFmtId="0" fontId="0" fillId="0" borderId="0" xfId="0" applyAlignment="1">
      <alignment vertical="center"/>
    </xf>
    <xf numFmtId="0" fontId="14" fillId="0" borderId="0" xfId="0" applyFont="1"/>
    <xf numFmtId="0" fontId="10" fillId="4" borderId="5" xfId="0" applyFont="1" applyFill="1" applyBorder="1" applyAlignment="1">
      <alignment vertical="center" wrapText="1"/>
    </xf>
    <xf numFmtId="0" fontId="4" fillId="3" borderId="0" xfId="0" applyFont="1" applyFill="1" applyAlignment="1">
      <alignment vertical="center" wrapText="1"/>
    </xf>
    <xf numFmtId="0" fontId="0" fillId="0" borderId="0" xfId="0" applyAlignment="1">
      <alignment wrapText="1"/>
    </xf>
    <xf numFmtId="0" fontId="8" fillId="5" borderId="0" xfId="0" applyFont="1" applyFill="1" applyAlignment="1">
      <alignment vertical="center"/>
    </xf>
    <xf numFmtId="0" fontId="0" fillId="5" borderId="0" xfId="0" applyFill="1" applyAlignment="1">
      <alignment wrapText="1"/>
    </xf>
    <xf numFmtId="0" fontId="0" fillId="5" borderId="0" xfId="0" applyFill="1" applyAlignment="1">
      <alignment vertical="center"/>
    </xf>
    <xf numFmtId="0" fontId="0" fillId="5" borderId="0" xfId="0" applyFill="1"/>
    <xf numFmtId="0" fontId="10" fillId="5" borderId="0" xfId="0"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vertical="center"/>
    </xf>
    <xf numFmtId="0" fontId="11" fillId="5" borderId="0" xfId="0" applyFont="1" applyFill="1"/>
    <xf numFmtId="0" fontId="6" fillId="5" borderId="0" xfId="0" applyFont="1" applyFill="1" applyAlignment="1">
      <alignment wrapText="1"/>
    </xf>
    <xf numFmtId="165" fontId="6" fillId="5" borderId="0" xfId="1" applyNumberFormat="1" applyFont="1" applyFill="1" applyBorder="1" applyAlignment="1">
      <alignment horizontal="right" wrapText="1"/>
    </xf>
    <xf numFmtId="165" fontId="6" fillId="5" borderId="0" xfId="1" applyNumberFormat="1" applyFont="1" applyFill="1" applyBorder="1" applyAlignment="1">
      <alignment horizontal="right" vertical="center"/>
    </xf>
    <xf numFmtId="1" fontId="6" fillId="5" borderId="0" xfId="0" applyNumberFormat="1" applyFont="1" applyFill="1" applyAlignment="1">
      <alignment horizontal="right" wrapText="1"/>
    </xf>
    <xf numFmtId="1" fontId="6" fillId="5" borderId="0" xfId="0" applyNumberFormat="1" applyFont="1" applyFill="1" applyAlignment="1">
      <alignment horizontal="right" vertical="center"/>
    </xf>
    <xf numFmtId="166" fontId="6" fillId="5" borderId="0" xfId="0" applyNumberFormat="1" applyFont="1" applyFill="1" applyAlignment="1">
      <alignment horizontal="right" wrapText="1"/>
    </xf>
    <xf numFmtId="166" fontId="6" fillId="5" borderId="0" xfId="0" applyNumberFormat="1" applyFont="1" applyFill="1" applyAlignment="1">
      <alignment horizontal="right" vertical="center"/>
    </xf>
    <xf numFmtId="0" fontId="9" fillId="5" borderId="0" xfId="0" applyFont="1" applyFill="1"/>
    <xf numFmtId="0" fontId="5" fillId="5" borderId="0" xfId="0" applyFont="1" applyFill="1" applyAlignment="1">
      <alignment wrapText="1"/>
    </xf>
    <xf numFmtId="165" fontId="5" fillId="5" borderId="0" xfId="1" applyNumberFormat="1" applyFont="1" applyFill="1" applyBorder="1" applyAlignment="1">
      <alignment horizontal="right" wrapText="1"/>
    </xf>
    <xf numFmtId="165" fontId="5" fillId="5" borderId="0" xfId="1" applyNumberFormat="1" applyFont="1" applyFill="1" applyBorder="1" applyAlignment="1">
      <alignment horizontal="right" vertical="center"/>
    </xf>
    <xf numFmtId="0" fontId="12" fillId="5" borderId="0" xfId="0" applyFont="1" applyFill="1" applyAlignment="1">
      <alignment vertical="center"/>
    </xf>
    <xf numFmtId="0" fontId="10" fillId="5" borderId="0" xfId="0" applyFont="1" applyFill="1" applyAlignment="1">
      <alignment horizontal="left" vertical="center"/>
    </xf>
    <xf numFmtId="0" fontId="9" fillId="5" borderId="0" xfId="0" applyFont="1" applyFill="1" applyAlignment="1">
      <alignment horizontal="left" wrapText="1"/>
    </xf>
    <xf numFmtId="164" fontId="9" fillId="5" borderId="0" xfId="1" applyNumberFormat="1" applyFont="1" applyFill="1" applyBorder="1" applyAlignment="1">
      <alignment horizontal="right" vertical="center"/>
    </xf>
    <xf numFmtId="0" fontId="9" fillId="5" borderId="0" xfId="0" applyFont="1" applyFill="1" applyAlignment="1">
      <alignment wrapText="1"/>
    </xf>
    <xf numFmtId="0" fontId="0" fillId="5" borderId="0" xfId="0" applyFill="1" applyAlignment="1">
      <alignment vertical="center" wrapText="1"/>
    </xf>
    <xf numFmtId="0" fontId="7" fillId="5" borderId="0" xfId="0" applyFont="1" applyFill="1" applyAlignment="1">
      <alignment vertical="center" wrapText="1"/>
    </xf>
    <xf numFmtId="0" fontId="10" fillId="5" borderId="0" xfId="0" applyFont="1" applyFill="1" applyAlignment="1">
      <alignment horizontal="left" wrapText="1"/>
    </xf>
    <xf numFmtId="0" fontId="11" fillId="5" borderId="0" xfId="0" applyFont="1" applyFill="1" applyAlignment="1">
      <alignment wrapText="1"/>
    </xf>
    <xf numFmtId="0" fontId="12" fillId="5" borderId="0" xfId="0" applyFont="1" applyFill="1" applyAlignment="1">
      <alignment vertical="center" wrapText="1"/>
    </xf>
    <xf numFmtId="164" fontId="9" fillId="5" borderId="0" xfId="1" applyNumberFormat="1" applyFont="1" applyFill="1" applyBorder="1" applyAlignment="1">
      <alignment horizontal="right" wrapText="1"/>
    </xf>
    <xf numFmtId="0" fontId="7" fillId="2" borderId="6" xfId="0" applyFont="1" applyFill="1" applyBorder="1" applyAlignment="1">
      <alignment vertical="center" wrapText="1"/>
    </xf>
    <xf numFmtId="1" fontId="12" fillId="5" borderId="17" xfId="0" applyNumberFormat="1" applyFont="1" applyFill="1" applyBorder="1" applyAlignment="1">
      <alignment horizontal="center" vertical="center" wrapText="1"/>
    </xf>
    <xf numFmtId="0" fontId="7" fillId="2" borderId="20" xfId="0" applyFont="1" applyFill="1" applyBorder="1" applyAlignment="1">
      <alignment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19" fillId="0" borderId="0" xfId="0" applyFont="1"/>
    <xf numFmtId="0" fontId="10" fillId="4" borderId="6" xfId="0" applyFont="1" applyFill="1" applyBorder="1" applyAlignment="1">
      <alignment vertical="center"/>
    </xf>
    <xf numFmtId="0" fontId="10" fillId="4" borderId="2" xfId="0" applyFont="1" applyFill="1" applyBorder="1" applyAlignment="1">
      <alignment vertical="center" wrapText="1"/>
    </xf>
    <xf numFmtId="164" fontId="12" fillId="5" borderId="5" xfId="1" applyNumberFormat="1" applyFont="1" applyFill="1" applyBorder="1" applyAlignment="1">
      <alignment horizontal="center" vertical="center" wrapText="1"/>
    </xf>
    <xf numFmtId="0" fontId="11" fillId="6" borderId="4" xfId="0" applyFont="1" applyFill="1" applyBorder="1" applyAlignment="1">
      <alignment vertical="center"/>
    </xf>
    <xf numFmtId="0" fontId="11" fillId="6" borderId="8" xfId="0" applyFont="1" applyFill="1" applyBorder="1" applyAlignment="1">
      <alignment vertical="center"/>
    </xf>
    <xf numFmtId="0" fontId="11" fillId="5" borderId="0" xfId="0" applyFont="1" applyFill="1" applyAlignment="1">
      <alignment vertical="center"/>
    </xf>
    <xf numFmtId="0" fontId="18" fillId="5" borderId="0" xfId="2" applyFont="1" applyFill="1" applyBorder="1" applyAlignment="1">
      <alignment horizontal="center" vertical="center"/>
    </xf>
    <xf numFmtId="164" fontId="10" fillId="5" borderId="0" xfId="1" applyNumberFormat="1" applyFont="1" applyFill="1" applyBorder="1" applyAlignment="1">
      <alignment horizontal="center" vertical="center" wrapText="1"/>
    </xf>
    <xf numFmtId="0" fontId="7" fillId="5" borderId="0" xfId="0" applyFont="1" applyFill="1" applyAlignment="1">
      <alignment vertical="center"/>
    </xf>
    <xf numFmtId="0" fontId="17" fillId="3" borderId="9" xfId="0" applyFont="1" applyFill="1" applyBorder="1"/>
    <xf numFmtId="0" fontId="17" fillId="3" borderId="9" xfId="0" applyFont="1" applyFill="1" applyBorder="1" applyAlignment="1">
      <alignment wrapText="1"/>
    </xf>
    <xf numFmtId="0" fontId="17" fillId="3" borderId="10" xfId="0" applyFont="1" applyFill="1" applyBorder="1" applyAlignment="1">
      <alignment vertical="center"/>
    </xf>
    <xf numFmtId="0" fontId="20" fillId="3" borderId="0" xfId="0" applyFont="1" applyFill="1" applyAlignment="1">
      <alignment vertical="center"/>
    </xf>
    <xf numFmtId="0" fontId="21" fillId="5" borderId="0" xfId="0" applyFont="1" applyFill="1" applyAlignment="1">
      <alignment vertical="center"/>
    </xf>
    <xf numFmtId="0" fontId="22" fillId="5" borderId="0" xfId="0" applyFont="1" applyFill="1" applyAlignment="1">
      <alignment vertical="center"/>
    </xf>
    <xf numFmtId="0" fontId="11" fillId="5" borderId="0" xfId="0" applyFont="1" applyFill="1" applyAlignment="1">
      <alignment horizontal="left" vertical="center" wrapText="1"/>
    </xf>
    <xf numFmtId="0" fontId="10" fillId="4" borderId="24" xfId="0" applyFont="1" applyFill="1" applyBorder="1" applyAlignment="1">
      <alignment vertical="center" wrapText="1"/>
    </xf>
    <xf numFmtId="1" fontId="11" fillId="6" borderId="3" xfId="0" applyNumberFormat="1" applyFont="1" applyFill="1" applyBorder="1" applyAlignment="1">
      <alignment horizontal="center" vertical="center"/>
    </xf>
    <xf numFmtId="0" fontId="10" fillId="8" borderId="18" xfId="0" applyFont="1" applyFill="1" applyBorder="1" applyAlignment="1">
      <alignment horizontal="center" vertical="center"/>
    </xf>
    <xf numFmtId="0" fontId="10" fillId="8" borderId="33"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33" xfId="0" applyFont="1" applyFill="1" applyBorder="1" applyAlignment="1">
      <alignment horizontal="center" vertical="center"/>
    </xf>
    <xf numFmtId="1" fontId="11" fillId="0" borderId="9" xfId="0" applyNumberFormat="1" applyFont="1" applyBorder="1" applyAlignment="1">
      <alignment horizontal="center" vertical="center" wrapText="1"/>
    </xf>
    <xf numFmtId="0" fontId="12" fillId="5" borderId="15" xfId="0" applyFont="1" applyFill="1" applyBorder="1" applyAlignment="1">
      <alignment horizontal="center" vertical="center" wrapText="1"/>
    </xf>
    <xf numFmtId="1" fontId="11" fillId="0" borderId="14" xfId="0" applyNumberFormat="1" applyFont="1" applyBorder="1" applyAlignment="1">
      <alignment horizontal="center" vertical="center" wrapText="1"/>
    </xf>
    <xf numFmtId="1" fontId="11" fillId="0" borderId="15" xfId="0" applyNumberFormat="1" applyFont="1" applyBorder="1" applyAlignment="1">
      <alignment horizontal="center" vertical="center" wrapText="1"/>
    </xf>
    <xf numFmtId="1" fontId="11" fillId="0" borderId="23" xfId="0" applyNumberFormat="1" applyFont="1" applyBorder="1" applyAlignment="1">
      <alignment horizontal="center" vertical="center" wrapText="1"/>
    </xf>
    <xf numFmtId="164" fontId="12" fillId="6" borderId="28" xfId="1" applyNumberFormat="1" applyFont="1" applyFill="1" applyBorder="1" applyAlignment="1">
      <alignment horizontal="center" vertical="center" wrapText="1"/>
    </xf>
    <xf numFmtId="1" fontId="23" fillId="0" borderId="15" xfId="0" applyNumberFormat="1" applyFont="1" applyBorder="1" applyAlignment="1">
      <alignment horizontal="center" vertical="center"/>
    </xf>
    <xf numFmtId="0" fontId="10" fillId="4" borderId="7" xfId="0" applyFont="1" applyFill="1" applyBorder="1" applyAlignment="1">
      <alignment vertical="center" wrapText="1"/>
    </xf>
    <xf numFmtId="9" fontId="12" fillId="5" borderId="26" xfId="4" applyFont="1" applyFill="1" applyBorder="1" applyAlignment="1">
      <alignment horizontal="center" vertical="center" wrapText="1"/>
    </xf>
    <xf numFmtId="0" fontId="9" fillId="6" borderId="20" xfId="0" applyFont="1" applyFill="1" applyBorder="1" applyAlignment="1">
      <alignment vertical="center"/>
    </xf>
    <xf numFmtId="164" fontId="10" fillId="6" borderId="23" xfId="1" applyNumberFormat="1" applyFont="1" applyFill="1" applyBorder="1" applyAlignment="1">
      <alignment horizontal="center" vertical="center" wrapText="1"/>
    </xf>
    <xf numFmtId="1" fontId="11" fillId="6" borderId="21" xfId="0" applyNumberFormat="1" applyFont="1" applyFill="1" applyBorder="1" applyAlignment="1">
      <alignment horizontal="center" vertical="center"/>
    </xf>
    <xf numFmtId="1" fontId="11" fillId="6" borderId="17" xfId="0" applyNumberFormat="1" applyFont="1" applyFill="1" applyBorder="1" applyAlignment="1">
      <alignment horizontal="center" vertical="center"/>
    </xf>
    <xf numFmtId="2" fontId="12" fillId="5" borderId="5" xfId="0" applyNumberFormat="1" applyFont="1" applyFill="1" applyBorder="1" applyAlignment="1">
      <alignment horizontal="center" vertical="center" wrapText="1"/>
    </xf>
    <xf numFmtId="0" fontId="11" fillId="6" borderId="20" xfId="0" applyFont="1" applyFill="1" applyBorder="1" applyAlignment="1">
      <alignment vertical="center"/>
    </xf>
    <xf numFmtId="0" fontId="7" fillId="2" borderId="7" xfId="0" applyFont="1" applyFill="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vertical="center" wrapText="1"/>
    </xf>
    <xf numFmtId="0" fontId="10" fillId="4" borderId="27" xfId="0" applyFont="1" applyFill="1" applyBorder="1" applyAlignment="1">
      <alignment vertical="center" wrapText="1"/>
    </xf>
    <xf numFmtId="0" fontId="8" fillId="0" borderId="31" xfId="0" applyFont="1" applyBorder="1" applyAlignment="1">
      <alignment vertical="center" wrapText="1"/>
    </xf>
    <xf numFmtId="0" fontId="8" fillId="0" borderId="31" xfId="0" applyFont="1" applyBorder="1" applyAlignment="1">
      <alignment vertical="center"/>
    </xf>
    <xf numFmtId="164" fontId="11" fillId="5" borderId="5" xfId="1" applyNumberFormat="1" applyFont="1" applyFill="1" applyBorder="1" applyAlignment="1">
      <alignment vertical="center"/>
    </xf>
    <xf numFmtId="0" fontId="18" fillId="0" borderId="5" xfId="2" applyFont="1" applyBorder="1" applyAlignment="1">
      <alignment vertical="center"/>
    </xf>
    <xf numFmtId="0" fontId="11" fillId="6" borderId="5" xfId="0" applyFont="1" applyFill="1" applyBorder="1" applyAlignment="1">
      <alignment horizontal="center" vertical="center"/>
    </xf>
    <xf numFmtId="0" fontId="3" fillId="4" borderId="5" xfId="0" applyFont="1" applyFill="1" applyBorder="1" applyAlignment="1">
      <alignment vertical="center"/>
    </xf>
    <xf numFmtId="164" fontId="9" fillId="4" borderId="5" xfId="1" applyNumberFormat="1" applyFont="1" applyFill="1" applyBorder="1" applyAlignment="1">
      <alignment horizontal="center" vertical="center"/>
    </xf>
    <xf numFmtId="164" fontId="9" fillId="4" borderId="5" xfId="1" applyNumberFormat="1" applyFont="1" applyFill="1" applyBorder="1" applyAlignment="1">
      <alignment horizontal="center" vertical="center" wrapText="1"/>
    </xf>
    <xf numFmtId="164" fontId="3" fillId="4" borderId="5" xfId="0" applyNumberFormat="1" applyFont="1" applyFill="1" applyBorder="1" applyAlignment="1">
      <alignment vertical="center" wrapText="1"/>
    </xf>
    <xf numFmtId="0" fontId="3" fillId="4" borderId="4" xfId="0" applyFont="1" applyFill="1" applyBorder="1" applyAlignment="1">
      <alignment vertical="center"/>
    </xf>
    <xf numFmtId="0" fontId="0" fillId="4" borderId="3" xfId="0" applyFill="1" applyBorder="1" applyAlignment="1">
      <alignment vertical="center"/>
    </xf>
    <xf numFmtId="0" fontId="2" fillId="3" borderId="8" xfId="0" applyFont="1" applyFill="1" applyBorder="1" applyAlignment="1">
      <alignment vertical="center"/>
    </xf>
    <xf numFmtId="164" fontId="7" fillId="3" borderId="9" xfId="1" applyNumberFormat="1" applyFont="1" applyFill="1" applyBorder="1" applyAlignment="1">
      <alignment horizontal="center" vertical="center" wrapText="1"/>
    </xf>
    <xf numFmtId="1" fontId="11" fillId="0" borderId="0" xfId="0" applyNumberFormat="1" applyFont="1" applyAlignment="1">
      <alignment horizontal="center" vertical="center" wrapText="1"/>
    </xf>
    <xf numFmtId="10" fontId="11" fillId="0" borderId="0" xfId="0" applyNumberFormat="1" applyFont="1" applyAlignment="1">
      <alignment horizontal="center" vertical="center" wrapText="1"/>
    </xf>
    <xf numFmtId="0" fontId="0" fillId="0" borderId="5" xfId="0" applyBorder="1" applyAlignment="1">
      <alignment wrapText="1"/>
    </xf>
    <xf numFmtId="0" fontId="0" fillId="0" borderId="0" xfId="0" applyAlignment="1">
      <alignment vertical="center" wrapText="1"/>
    </xf>
    <xf numFmtId="0" fontId="0" fillId="0" borderId="5" xfId="0" applyBorder="1"/>
    <xf numFmtId="43" fontId="0" fillId="0" borderId="0" xfId="0" applyNumberFormat="1"/>
    <xf numFmtId="164" fontId="10" fillId="6" borderId="5" xfId="1" applyNumberFormat="1" applyFont="1" applyFill="1" applyBorder="1" applyAlignment="1">
      <alignment horizontal="center" vertical="center" wrapText="1"/>
    </xf>
    <xf numFmtId="0" fontId="9" fillId="6" borderId="4" xfId="0" applyFont="1" applyFill="1" applyBorder="1" applyAlignment="1">
      <alignment vertical="center"/>
    </xf>
    <xf numFmtId="164" fontId="12" fillId="6" borderId="3" xfId="1" applyNumberFormat="1" applyFont="1" applyFill="1" applyBorder="1" applyAlignment="1">
      <alignment horizontal="center" vertical="center" wrapText="1"/>
    </xf>
    <xf numFmtId="0" fontId="9" fillId="6" borderId="4" xfId="0" applyFont="1" applyFill="1" applyBorder="1" applyAlignment="1">
      <alignment vertical="center" wrapText="1"/>
    </xf>
    <xf numFmtId="0" fontId="9" fillId="6" borderId="8" xfId="0" applyFont="1" applyFill="1" applyBorder="1" applyAlignment="1">
      <alignment vertical="center" wrapText="1"/>
    </xf>
    <xf numFmtId="164" fontId="10" fillId="6" borderId="9" xfId="1" applyNumberFormat="1" applyFont="1" applyFill="1" applyBorder="1" applyAlignment="1">
      <alignment horizontal="center" vertical="center" wrapText="1"/>
    </xf>
    <xf numFmtId="164" fontId="12" fillId="6" borderId="10" xfId="1" applyNumberFormat="1" applyFont="1" applyFill="1" applyBorder="1" applyAlignment="1">
      <alignment horizontal="center" vertical="center" wrapText="1"/>
    </xf>
    <xf numFmtId="43" fontId="0" fillId="0" borderId="0" xfId="0" applyNumberFormat="1" applyAlignment="1">
      <alignment wrapText="1"/>
    </xf>
    <xf numFmtId="1" fontId="0" fillId="0" borderId="5" xfId="0" applyNumberFormat="1" applyBorder="1" applyAlignment="1">
      <alignment horizontal="center" vertical="center"/>
    </xf>
    <xf numFmtId="43" fontId="0" fillId="0" borderId="5" xfId="1" applyFont="1" applyBorder="1"/>
    <xf numFmtId="43" fontId="31" fillId="5" borderId="5" xfId="1" applyFont="1" applyFill="1" applyBorder="1"/>
    <xf numFmtId="0" fontId="6" fillId="0" borderId="0" xfId="0" applyFont="1" applyAlignment="1">
      <alignment wrapText="1"/>
    </xf>
    <xf numFmtId="0" fontId="6" fillId="0" borderId="0" xfId="0" applyFont="1"/>
    <xf numFmtId="0" fontId="6" fillId="0" borderId="5" xfId="0" applyFont="1" applyBorder="1" applyAlignment="1">
      <alignment horizontal="center" vertical="center" wrapText="1"/>
    </xf>
    <xf numFmtId="43" fontId="6" fillId="0" borderId="5" xfId="1" applyFont="1" applyBorder="1" applyAlignment="1">
      <alignment wrapText="1"/>
    </xf>
    <xf numFmtId="0" fontId="6" fillId="0" borderId="5" xfId="0" applyFont="1" applyBorder="1" applyAlignment="1">
      <alignment wrapText="1"/>
    </xf>
    <xf numFmtId="0" fontId="32" fillId="4" borderId="5" xfId="0" applyFont="1" applyFill="1" applyBorder="1" applyAlignment="1">
      <alignment horizontal="center" vertical="center" wrapText="1"/>
    </xf>
    <xf numFmtId="43" fontId="32" fillId="4" borderId="5" xfId="1" applyFont="1" applyFill="1" applyBorder="1" applyAlignment="1">
      <alignment horizontal="center" vertical="center" wrapText="1"/>
    </xf>
    <xf numFmtId="0" fontId="6" fillId="0" borderId="5" xfId="0" applyFont="1" applyBorder="1" applyAlignment="1">
      <alignment horizontal="center" vertical="center"/>
    </xf>
    <xf numFmtId="43" fontId="34" fillId="5" borderId="5" xfId="6" applyNumberFormat="1" applyFont="1" applyFill="1" applyBorder="1" applyAlignment="1">
      <alignment horizontal="center" vertical="center"/>
    </xf>
    <xf numFmtId="0" fontId="36" fillId="0" borderId="5" xfId="0" applyFont="1" applyBorder="1" applyAlignment="1">
      <alignment horizontal="center" vertical="center" wrapText="1"/>
    </xf>
    <xf numFmtId="2" fontId="35" fillId="10" borderId="5" xfId="6" applyNumberFormat="1" applyFont="1" applyBorder="1" applyAlignment="1">
      <alignment horizontal="right" vertical="center"/>
    </xf>
    <xf numFmtId="0" fontId="32" fillId="4" borderId="5" xfId="0" applyFont="1" applyFill="1" applyBorder="1" applyAlignment="1">
      <alignment horizontal="center" vertical="center"/>
    </xf>
    <xf numFmtId="0" fontId="34" fillId="0" borderId="5" xfId="0" applyFont="1" applyBorder="1" applyAlignment="1">
      <alignment horizontal="center" vertical="center"/>
    </xf>
    <xf numFmtId="0" fontId="34" fillId="4" borderId="5" xfId="0" applyFont="1" applyFill="1" applyBorder="1" applyAlignment="1">
      <alignment vertical="center" wrapText="1"/>
    </xf>
    <xf numFmtId="0" fontId="34" fillId="4" borderId="4" xfId="0" applyFont="1" applyFill="1" applyBorder="1" applyAlignment="1">
      <alignment vertical="center" wrapText="1"/>
    </xf>
    <xf numFmtId="43" fontId="34" fillId="4" borderId="4" xfId="0" applyNumberFormat="1" applyFont="1" applyFill="1" applyBorder="1" applyAlignment="1">
      <alignment vertical="center" wrapText="1"/>
    </xf>
    <xf numFmtId="0" fontId="38" fillId="4" borderId="6" xfId="0" applyFont="1" applyFill="1" applyBorder="1" applyAlignment="1">
      <alignment vertical="center"/>
    </xf>
    <xf numFmtId="0" fontId="25" fillId="3" borderId="0" xfId="0" applyFont="1" applyFill="1" applyAlignment="1">
      <alignment vertical="center" wrapText="1"/>
    </xf>
    <xf numFmtId="0" fontId="25" fillId="3" borderId="0" xfId="0" applyFont="1" applyFill="1" applyAlignment="1">
      <alignment vertical="center"/>
    </xf>
    <xf numFmtId="0" fontId="34" fillId="0" borderId="0" xfId="0" applyFont="1"/>
    <xf numFmtId="0" fontId="5" fillId="6" borderId="8" xfId="0" applyFont="1" applyFill="1" applyBorder="1" applyAlignment="1">
      <alignment vertical="center"/>
    </xf>
    <xf numFmtId="164" fontId="33" fillId="6" borderId="9" xfId="1" applyNumberFormat="1" applyFont="1" applyFill="1" applyBorder="1" applyAlignment="1">
      <alignment horizontal="center" vertical="center" wrapText="1"/>
    </xf>
    <xf numFmtId="0" fontId="38" fillId="4" borderId="7" xfId="0" applyFont="1" applyFill="1" applyBorder="1" applyAlignment="1">
      <alignment vertical="center"/>
    </xf>
    <xf numFmtId="0" fontId="5" fillId="6" borderId="9" xfId="0" applyFont="1" applyFill="1" applyBorder="1" applyAlignment="1">
      <alignment vertical="center"/>
    </xf>
    <xf numFmtId="0" fontId="38" fillId="4" borderId="34" xfId="0" applyFont="1" applyFill="1" applyBorder="1" applyAlignment="1">
      <alignment vertical="center"/>
    </xf>
    <xf numFmtId="0" fontId="38" fillId="4" borderId="7" xfId="0" applyFont="1" applyFill="1" applyBorder="1" applyAlignment="1">
      <alignment vertical="center" wrapText="1"/>
    </xf>
    <xf numFmtId="43" fontId="38" fillId="4" borderId="7" xfId="0" applyNumberFormat="1" applyFont="1" applyFill="1" applyBorder="1" applyAlignment="1">
      <alignment vertical="center" wrapText="1"/>
    </xf>
    <xf numFmtId="43" fontId="6" fillId="0" borderId="5" xfId="1" applyFont="1" applyBorder="1" applyAlignment="1">
      <alignment horizontal="center" vertical="center"/>
    </xf>
    <xf numFmtId="43" fontId="6" fillId="0" borderId="3" xfId="1" applyFont="1" applyBorder="1" applyAlignment="1">
      <alignment horizontal="center" vertical="center"/>
    </xf>
    <xf numFmtId="43" fontId="5" fillId="0" borderId="9" xfId="1" applyFont="1" applyBorder="1" applyAlignment="1">
      <alignment horizontal="center" vertical="center"/>
    </xf>
    <xf numFmtId="0" fontId="0" fillId="0" borderId="4" xfId="0" applyBorder="1"/>
    <xf numFmtId="0" fontId="38" fillId="4" borderId="24" xfId="0" applyFont="1" applyFill="1" applyBorder="1" applyAlignment="1">
      <alignment vertical="center" wrapText="1"/>
    </xf>
    <xf numFmtId="9" fontId="0" fillId="0" borderId="5" xfId="4" applyFont="1" applyBorder="1"/>
    <xf numFmtId="9" fontId="0" fillId="0" borderId="5" xfId="4" applyFont="1" applyBorder="1" applyAlignment="1">
      <alignment wrapText="1"/>
    </xf>
    <xf numFmtId="1" fontId="12" fillId="5" borderId="14" xfId="0" applyNumberFormat="1" applyFont="1" applyFill="1" applyBorder="1" applyAlignment="1">
      <alignment horizontal="center" vertical="center" wrapText="1"/>
    </xf>
    <xf numFmtId="0" fontId="0" fillId="0" borderId="31" xfId="0" applyBorder="1" applyAlignment="1">
      <alignment wrapText="1"/>
    </xf>
    <xf numFmtId="9" fontId="0" fillId="0" borderId="31" xfId="4" applyFont="1" applyBorder="1" applyAlignment="1">
      <alignment wrapText="1"/>
    </xf>
    <xf numFmtId="0" fontId="10" fillId="8" borderId="38" xfId="0" applyFont="1" applyFill="1" applyBorder="1" applyAlignment="1">
      <alignment horizontal="center" vertical="center"/>
    </xf>
    <xf numFmtId="0" fontId="10" fillId="8" borderId="5" xfId="0" applyFont="1" applyFill="1" applyBorder="1" applyAlignment="1">
      <alignment horizontal="center" vertical="center"/>
    </xf>
    <xf numFmtId="0" fontId="39" fillId="3" borderId="5" xfId="0" applyFont="1" applyFill="1" applyBorder="1" applyAlignment="1">
      <alignment horizontal="center" vertical="center" wrapText="1"/>
    </xf>
    <xf numFmtId="164" fontId="6" fillId="0" borderId="3" xfId="1" applyNumberFormat="1" applyFont="1" applyBorder="1" applyAlignment="1">
      <alignment horizontal="center" vertical="center"/>
    </xf>
    <xf numFmtId="9" fontId="0" fillId="0" borderId="3" xfId="4" applyFont="1" applyBorder="1"/>
    <xf numFmtId="43" fontId="0" fillId="0" borderId="0" xfId="1" applyFont="1" applyAlignment="1">
      <alignment wrapText="1"/>
    </xf>
    <xf numFmtId="1" fontId="9" fillId="0" borderId="0" xfId="0" applyNumberFormat="1" applyFont="1" applyAlignment="1">
      <alignment horizontal="center" vertical="center" wrapText="1"/>
    </xf>
    <xf numFmtId="1" fontId="24" fillId="0" borderId="0" xfId="0" applyNumberFormat="1" applyFont="1" applyAlignment="1">
      <alignment horizontal="center" vertical="center"/>
    </xf>
    <xf numFmtId="1" fontId="9" fillId="5" borderId="0" xfId="0" applyNumberFormat="1" applyFont="1" applyFill="1" applyAlignment="1">
      <alignment horizontal="right" vertical="center" wrapText="1"/>
    </xf>
    <xf numFmtId="43" fontId="11" fillId="0" borderId="0" xfId="1" applyFont="1" applyBorder="1" applyAlignment="1">
      <alignment horizontal="center" vertical="center" wrapText="1"/>
    </xf>
    <xf numFmtId="1" fontId="12" fillId="5" borderId="5" xfId="0" applyNumberFormat="1" applyFont="1" applyFill="1" applyBorder="1" applyAlignment="1">
      <alignment horizontal="center" vertical="center"/>
    </xf>
    <xf numFmtId="2" fontId="12" fillId="5" borderId="3" xfId="0" applyNumberFormat="1" applyFont="1" applyFill="1" applyBorder="1" applyAlignment="1">
      <alignment horizontal="center" vertical="center" wrapText="1"/>
    </xf>
    <xf numFmtId="1" fontId="12" fillId="5" borderId="15" xfId="0" applyNumberFormat="1" applyFont="1" applyFill="1" applyBorder="1" applyAlignment="1">
      <alignment horizontal="center" vertical="center"/>
    </xf>
    <xf numFmtId="2" fontId="12" fillId="5" borderId="17" xfId="0" applyNumberFormat="1" applyFont="1" applyFill="1" applyBorder="1" applyAlignment="1">
      <alignment horizontal="center" vertical="center" wrapText="1"/>
    </xf>
    <xf numFmtId="1" fontId="12" fillId="5" borderId="3" xfId="0" applyNumberFormat="1" applyFont="1" applyFill="1" applyBorder="1" applyAlignment="1">
      <alignment horizontal="center" vertical="center" wrapText="1"/>
    </xf>
    <xf numFmtId="164" fontId="0" fillId="5" borderId="5" xfId="1" applyNumberFormat="1" applyFont="1" applyFill="1" applyBorder="1" applyAlignment="1">
      <alignment horizontal="center" vertical="center"/>
    </xf>
    <xf numFmtId="164" fontId="0" fillId="0" borderId="5" xfId="1" applyNumberFormat="1" applyFont="1" applyBorder="1" applyAlignment="1">
      <alignment horizontal="center" vertical="center"/>
    </xf>
    <xf numFmtId="0" fontId="5" fillId="9" borderId="25" xfId="0" applyFont="1" applyFill="1" applyBorder="1" applyAlignment="1">
      <alignment vertical="center"/>
    </xf>
    <xf numFmtId="1" fontId="11" fillId="6" borderId="23" xfId="0" applyNumberFormat="1" applyFont="1" applyFill="1" applyBorder="1" applyAlignment="1">
      <alignment horizontal="center"/>
    </xf>
    <xf numFmtId="1" fontId="11" fillId="6" borderId="21" xfId="0" applyNumberFormat="1" applyFont="1" applyFill="1" applyBorder="1" applyAlignment="1">
      <alignment horizontal="center"/>
    </xf>
    <xf numFmtId="1" fontId="11" fillId="5" borderId="5" xfId="0" applyNumberFormat="1" applyFont="1" applyFill="1" applyBorder="1" applyAlignment="1">
      <alignment horizontal="center" vertical="center"/>
    </xf>
    <xf numFmtId="1" fontId="11" fillId="5" borderId="5" xfId="0" applyNumberFormat="1" applyFont="1" applyFill="1" applyBorder="1" applyAlignment="1">
      <alignment horizontal="center" vertical="center" wrapText="1"/>
    </xf>
    <xf numFmtId="1" fontId="11" fillId="5" borderId="15" xfId="0" applyNumberFormat="1" applyFont="1" applyFill="1" applyBorder="1" applyAlignment="1">
      <alignment horizontal="center" vertical="center"/>
    </xf>
    <xf numFmtId="1" fontId="11" fillId="5" borderId="15" xfId="0" applyNumberFormat="1" applyFont="1" applyFill="1" applyBorder="1" applyAlignment="1">
      <alignment horizontal="center" vertical="center" wrapText="1"/>
    </xf>
    <xf numFmtId="167" fontId="11" fillId="0" borderId="4" xfId="0" applyNumberFormat="1" applyFont="1" applyBorder="1" applyAlignment="1">
      <alignment horizontal="center" vertical="center" wrapText="1"/>
    </xf>
    <xf numFmtId="167" fontId="11" fillId="0" borderId="5" xfId="0" applyNumberFormat="1" applyFont="1" applyBorder="1" applyAlignment="1">
      <alignment horizontal="center" vertical="center" wrapText="1"/>
    </xf>
    <xf numFmtId="167" fontId="11" fillId="0" borderId="5" xfId="0" applyNumberFormat="1" applyFont="1" applyBorder="1" applyAlignment="1">
      <alignment horizontal="center" vertical="center"/>
    </xf>
    <xf numFmtId="167" fontId="11" fillId="0" borderId="12" xfId="0"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167" fontId="11" fillId="6" borderId="3" xfId="0" applyNumberFormat="1" applyFont="1" applyFill="1" applyBorder="1" applyAlignment="1">
      <alignment horizontal="center" vertical="center"/>
    </xf>
    <xf numFmtId="1" fontId="9" fillId="5" borderId="23" xfId="0" applyNumberFormat="1" applyFont="1" applyFill="1" applyBorder="1" applyAlignment="1">
      <alignment horizontal="center" vertical="center" wrapText="1"/>
    </xf>
    <xf numFmtId="2" fontId="11" fillId="5" borderId="5" xfId="0" applyNumberFormat="1" applyFont="1" applyFill="1" applyBorder="1" applyAlignment="1">
      <alignment horizontal="center" vertical="center"/>
    </xf>
    <xf numFmtId="10" fontId="11" fillId="5" borderId="5" xfId="0" applyNumberFormat="1" applyFont="1" applyFill="1" applyBorder="1" applyAlignment="1">
      <alignment horizontal="center" vertical="center" wrapText="1"/>
    </xf>
    <xf numFmtId="2" fontId="11" fillId="5" borderId="9" xfId="0" applyNumberFormat="1" applyFont="1" applyFill="1" applyBorder="1" applyAlignment="1">
      <alignment horizontal="center" vertical="center"/>
    </xf>
    <xf numFmtId="167" fontId="11" fillId="5" borderId="5" xfId="0" applyNumberFormat="1" applyFont="1" applyFill="1" applyBorder="1" applyAlignment="1">
      <alignment horizontal="center" vertical="center"/>
    </xf>
    <xf numFmtId="167" fontId="11" fillId="6" borderId="21" xfId="0" applyNumberFormat="1" applyFont="1" applyFill="1" applyBorder="1" applyAlignment="1">
      <alignment horizontal="center"/>
    </xf>
    <xf numFmtId="1" fontId="12" fillId="5" borderId="5" xfId="0" applyNumberFormat="1" applyFont="1" applyFill="1" applyBorder="1" applyAlignment="1">
      <alignment horizontal="center" vertical="center" wrapText="1"/>
    </xf>
    <xf numFmtId="1" fontId="11" fillId="5" borderId="21" xfId="0" applyNumberFormat="1" applyFont="1" applyFill="1" applyBorder="1" applyAlignment="1">
      <alignment horizontal="center"/>
    </xf>
    <xf numFmtId="1" fontId="9" fillId="5" borderId="20" xfId="0" applyNumberFormat="1" applyFont="1" applyFill="1" applyBorder="1" applyAlignment="1">
      <alignment horizontal="center" vertical="center" wrapText="1"/>
    </xf>
    <xf numFmtId="1" fontId="9" fillId="5" borderId="9" xfId="0" applyNumberFormat="1" applyFont="1" applyFill="1" applyBorder="1" applyAlignment="1">
      <alignment horizontal="center" vertical="center" wrapText="1"/>
    </xf>
    <xf numFmtId="1" fontId="9" fillId="0" borderId="20" xfId="0" applyNumberFormat="1" applyFont="1" applyBorder="1" applyAlignment="1">
      <alignment horizontal="center" vertical="center" wrapText="1"/>
    </xf>
    <xf numFmtId="1" fontId="24" fillId="0" borderId="23" xfId="0" applyNumberFormat="1" applyFont="1" applyBorder="1" applyAlignment="1">
      <alignment horizontal="center" vertical="center"/>
    </xf>
    <xf numFmtId="167" fontId="11" fillId="0" borderId="23" xfId="0" applyNumberFormat="1" applyFont="1" applyBorder="1" applyAlignment="1">
      <alignment horizontal="center" vertical="center" wrapText="1"/>
    </xf>
    <xf numFmtId="167" fontId="11" fillId="0" borderId="14" xfId="0" applyNumberFormat="1" applyFont="1" applyBorder="1" applyAlignment="1">
      <alignment horizontal="center" vertical="center" wrapText="1"/>
    </xf>
    <xf numFmtId="167" fontId="11" fillId="0" borderId="15" xfId="0" applyNumberFormat="1" applyFont="1" applyBorder="1" applyAlignment="1">
      <alignment horizontal="center" vertical="center" wrapText="1"/>
    </xf>
    <xf numFmtId="167" fontId="11" fillId="0" borderId="15" xfId="0" applyNumberFormat="1" applyFont="1" applyBorder="1" applyAlignment="1">
      <alignment horizontal="center" vertical="center"/>
    </xf>
    <xf numFmtId="1" fontId="11" fillId="5" borderId="29" xfId="0" applyNumberFormat="1" applyFont="1" applyFill="1" applyBorder="1" applyAlignment="1">
      <alignment horizontal="center" vertical="center"/>
    </xf>
    <xf numFmtId="167" fontId="11" fillId="0" borderId="47" xfId="0" applyNumberFormat="1" applyFont="1" applyBorder="1" applyAlignment="1">
      <alignment horizontal="center" vertical="center" wrapText="1"/>
    </xf>
    <xf numFmtId="167" fontId="11" fillId="6" borderId="17" xfId="0" applyNumberFormat="1" applyFont="1" applyFill="1" applyBorder="1" applyAlignment="1">
      <alignment horizontal="center" vertical="center"/>
    </xf>
    <xf numFmtId="2" fontId="11" fillId="0" borderId="15" xfId="0" applyNumberFormat="1" applyFont="1" applyBorder="1" applyAlignment="1">
      <alignment horizontal="center" vertical="center" wrapText="1"/>
    </xf>
    <xf numFmtId="167" fontId="11" fillId="5" borderId="4"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1" fontId="11" fillId="5" borderId="21" xfId="0" applyNumberFormat="1" applyFont="1" applyFill="1" applyBorder="1" applyAlignment="1">
      <alignment horizontal="center" vertical="center"/>
    </xf>
    <xf numFmtId="0" fontId="11" fillId="8" borderId="14" xfId="0" applyFont="1" applyFill="1" applyBorder="1" applyAlignment="1">
      <alignment vertical="center"/>
    </xf>
    <xf numFmtId="1" fontId="11" fillId="6" borderId="15" xfId="0" applyNumberFormat="1" applyFont="1" applyFill="1" applyBorder="1" applyAlignment="1">
      <alignment horizontal="center" vertical="center" wrapText="1"/>
    </xf>
    <xf numFmtId="1" fontId="11" fillId="6" borderId="23" xfId="0" applyNumberFormat="1" applyFont="1" applyFill="1" applyBorder="1" applyAlignment="1">
      <alignment horizontal="center" vertical="center"/>
    </xf>
    <xf numFmtId="2" fontId="11" fillId="0" borderId="21" xfId="0" applyNumberFormat="1" applyFont="1" applyBorder="1" applyAlignment="1">
      <alignment horizontal="center"/>
    </xf>
    <xf numFmtId="0" fontId="6" fillId="0" borderId="31" xfId="0" applyFont="1" applyBorder="1" applyAlignment="1">
      <alignment horizontal="center" vertical="center" wrapText="1"/>
    </xf>
    <xf numFmtId="0" fontId="6" fillId="0" borderId="31" xfId="0" applyFont="1" applyBorder="1" applyAlignment="1">
      <alignment horizontal="center" vertical="center"/>
    </xf>
    <xf numFmtId="0" fontId="6" fillId="5" borderId="5" xfId="0" applyFont="1" applyFill="1" applyBorder="1" applyAlignment="1">
      <alignment vertical="center" wrapText="1"/>
    </xf>
    <xf numFmtId="0" fontId="34" fillId="5" borderId="0" xfId="0" applyFont="1" applyFill="1" applyAlignment="1">
      <alignment wrapText="1"/>
    </xf>
    <xf numFmtId="0" fontId="34" fillId="5" borderId="5" xfId="0" applyFont="1" applyFill="1" applyBorder="1" applyAlignment="1">
      <alignment vertical="center" wrapText="1"/>
    </xf>
    <xf numFmtId="0" fontId="32" fillId="5" borderId="5" xfId="0" applyFont="1" applyFill="1" applyBorder="1" applyAlignment="1">
      <alignment vertical="center" wrapText="1"/>
    </xf>
    <xf numFmtId="0" fontId="34" fillId="5" borderId="31" xfId="0" applyFont="1" applyFill="1" applyBorder="1" applyAlignment="1">
      <alignment vertical="center" wrapText="1"/>
    </xf>
    <xf numFmtId="0" fontId="6" fillId="5" borderId="4" xfId="0" applyFont="1" applyFill="1" applyBorder="1" applyAlignment="1">
      <alignment horizontal="center" vertical="center" wrapText="1"/>
    </xf>
    <xf numFmtId="164" fontId="6" fillId="0" borderId="3" xfId="1" applyNumberFormat="1" applyFont="1" applyBorder="1"/>
    <xf numFmtId="0" fontId="34" fillId="5" borderId="4"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4" fillId="5" borderId="48" xfId="0" applyFont="1" applyFill="1" applyBorder="1" applyAlignment="1">
      <alignment horizontal="center" vertical="center" wrapText="1"/>
    </xf>
    <xf numFmtId="0" fontId="33" fillId="4" borderId="27" xfId="0" applyFont="1" applyFill="1" applyBorder="1" applyAlignment="1">
      <alignment vertical="center" wrapText="1"/>
    </xf>
    <xf numFmtId="43" fontId="33" fillId="4" borderId="27" xfId="0" applyNumberFormat="1" applyFont="1" applyFill="1" applyBorder="1" applyAlignment="1">
      <alignment vertical="center" wrapText="1"/>
    </xf>
    <xf numFmtId="0" fontId="42" fillId="0" borderId="0" xfId="0" applyFont="1" applyAlignment="1">
      <alignment vertical="center" wrapText="1"/>
    </xf>
    <xf numFmtId="0" fontId="42" fillId="0" borderId="0" xfId="0" applyFont="1" applyAlignment="1">
      <alignment vertical="center"/>
    </xf>
    <xf numFmtId="0" fontId="33" fillId="4" borderId="18" xfId="0" applyFont="1" applyFill="1" applyBorder="1" applyAlignment="1">
      <alignment vertical="center"/>
    </xf>
    <xf numFmtId="0" fontId="33" fillId="4" borderId="27" xfId="0" applyFont="1" applyFill="1" applyBorder="1" applyAlignment="1">
      <alignment vertical="center"/>
    </xf>
    <xf numFmtId="0" fontId="3" fillId="8" borderId="37" xfId="0" applyFont="1" applyFill="1" applyBorder="1" applyAlignment="1">
      <alignment vertical="center"/>
    </xf>
    <xf numFmtId="0" fontId="3" fillId="8" borderId="50" xfId="0" applyFont="1" applyFill="1" applyBorder="1" applyAlignment="1">
      <alignment vertical="center"/>
    </xf>
    <xf numFmtId="0" fontId="3" fillId="8" borderId="49" xfId="0" applyFont="1" applyFill="1" applyBorder="1" applyAlignment="1">
      <alignment vertical="center"/>
    </xf>
    <xf numFmtId="1" fontId="0" fillId="0" borderId="3" xfId="0" applyNumberFormat="1" applyBorder="1"/>
    <xf numFmtId="0" fontId="0" fillId="0" borderId="8" xfId="0" applyBorder="1"/>
    <xf numFmtId="1" fontId="0" fillId="0" borderId="9" xfId="0" applyNumberFormat="1" applyBorder="1" applyAlignment="1">
      <alignment horizontal="center" vertical="center"/>
    </xf>
    <xf numFmtId="43" fontId="0" fillId="0" borderId="9" xfId="1" applyFont="1" applyBorder="1"/>
    <xf numFmtId="43" fontId="31" fillId="5" borderId="9" xfId="1" applyFont="1" applyFill="1" applyBorder="1"/>
    <xf numFmtId="1" fontId="0" fillId="0" borderId="10" xfId="0" applyNumberFormat="1" applyBorder="1"/>
    <xf numFmtId="164" fontId="0" fillId="0" borderId="0" xfId="0" applyNumberFormat="1"/>
    <xf numFmtId="167" fontId="11" fillId="6" borderId="21" xfId="0" applyNumberFormat="1" applyFont="1" applyFill="1" applyBorder="1" applyAlignment="1">
      <alignment horizontal="center" vertical="center"/>
    </xf>
    <xf numFmtId="0" fontId="0" fillId="0" borderId="48" xfId="0" applyBorder="1"/>
    <xf numFmtId="164" fontId="0" fillId="0" borderId="5" xfId="1" applyNumberFormat="1" applyFont="1" applyBorder="1"/>
    <xf numFmtId="0" fontId="38" fillId="4" borderId="2" xfId="0" applyFont="1" applyFill="1" applyBorder="1" applyAlignment="1">
      <alignment vertical="center"/>
    </xf>
    <xf numFmtId="0" fontId="34" fillId="4" borderId="8" xfId="0" applyFont="1" applyFill="1" applyBorder="1" applyAlignment="1">
      <alignment vertical="center" wrapText="1"/>
    </xf>
    <xf numFmtId="43" fontId="0" fillId="0" borderId="3" xfId="0" applyNumberFormat="1" applyBorder="1"/>
    <xf numFmtId="164" fontId="0" fillId="0" borderId="9" xfId="0" applyNumberFormat="1" applyBorder="1"/>
    <xf numFmtId="43" fontId="0" fillId="0" borderId="10" xfId="0" applyNumberFormat="1" applyBorder="1"/>
    <xf numFmtId="0" fontId="33" fillId="4" borderId="5" xfId="0" applyFont="1" applyFill="1" applyBorder="1" applyAlignment="1">
      <alignment vertical="center" wrapText="1"/>
    </xf>
    <xf numFmtId="0" fontId="33" fillId="4" borderId="4" xfId="0" applyFont="1" applyFill="1" applyBorder="1" applyAlignment="1">
      <alignment vertical="center" wrapText="1"/>
    </xf>
    <xf numFmtId="0" fontId="33" fillId="4" borderId="3" xfId="0" applyFont="1" applyFill="1" applyBorder="1" applyAlignment="1">
      <alignment vertical="center" wrapText="1"/>
    </xf>
    <xf numFmtId="0" fontId="41" fillId="2" borderId="24" xfId="0" applyFont="1" applyFill="1" applyBorder="1" applyAlignment="1">
      <alignment vertical="center" wrapText="1"/>
    </xf>
    <xf numFmtId="0" fontId="47" fillId="0" borderId="0" xfId="0" applyFont="1" applyAlignment="1">
      <alignment vertical="center"/>
    </xf>
    <xf numFmtId="0" fontId="7" fillId="2" borderId="2" xfId="0" applyFont="1" applyFill="1" applyBorder="1" applyAlignment="1">
      <alignment horizontal="center" vertical="center"/>
    </xf>
    <xf numFmtId="0" fontId="7" fillId="5" borderId="0" xfId="0" applyFont="1" applyFill="1" applyAlignment="1">
      <alignment horizontal="left" vertical="center" wrapText="1"/>
    </xf>
    <xf numFmtId="0" fontId="13" fillId="5" borderId="0" xfId="0" applyFont="1" applyFill="1" applyAlignment="1">
      <alignment vertical="center"/>
    </xf>
    <xf numFmtId="0" fontId="4" fillId="5" borderId="0" xfId="0" applyFont="1" applyFill="1" applyAlignment="1">
      <alignment vertical="center" wrapText="1"/>
    </xf>
    <xf numFmtId="0" fontId="4" fillId="5" borderId="0" xfId="0" applyFont="1" applyFill="1" applyAlignment="1">
      <alignment vertical="center"/>
    </xf>
    <xf numFmtId="0" fontId="48" fillId="0" borderId="0" xfId="0" applyFont="1"/>
    <xf numFmtId="0" fontId="14" fillId="0" borderId="0" xfId="0" applyFont="1" applyAlignment="1">
      <alignment horizontal="left"/>
    </xf>
    <xf numFmtId="0" fontId="49" fillId="3" borderId="0" xfId="0" applyFont="1" applyFill="1" applyAlignment="1">
      <alignment vertical="center"/>
    </xf>
    <xf numFmtId="0" fontId="33" fillId="5" borderId="0" xfId="0" applyFont="1" applyFill="1" applyAlignment="1">
      <alignment vertical="center"/>
    </xf>
    <xf numFmtId="0" fontId="25" fillId="5" borderId="0" xfId="0" applyFont="1" applyFill="1" applyAlignment="1">
      <alignment vertical="center"/>
    </xf>
    <xf numFmtId="0" fontId="0" fillId="5" borderId="0" xfId="0" applyFill="1" applyProtection="1">
      <protection hidden="1"/>
    </xf>
    <xf numFmtId="0" fontId="51" fillId="5" borderId="0" xfId="0" applyFont="1" applyFill="1" applyAlignment="1" applyProtection="1">
      <alignment vertical="center"/>
      <protection hidden="1"/>
    </xf>
    <xf numFmtId="0" fontId="51" fillId="5" borderId="0" xfId="0" applyFont="1" applyFill="1" applyAlignment="1">
      <alignment vertical="center" wrapText="1"/>
    </xf>
    <xf numFmtId="0" fontId="51" fillId="5" borderId="0" xfId="0" applyFont="1" applyFill="1" applyAlignment="1">
      <alignment vertical="center"/>
    </xf>
    <xf numFmtId="0" fontId="53" fillId="3" borderId="0" xfId="0" applyFont="1" applyFill="1" applyAlignment="1">
      <alignment vertical="center"/>
    </xf>
    <xf numFmtId="0" fontId="41" fillId="3" borderId="0" xfId="0" applyFont="1" applyFill="1" applyAlignment="1">
      <alignment vertical="center"/>
    </xf>
    <xf numFmtId="0" fontId="25" fillId="3" borderId="55" xfId="0" applyFont="1" applyFill="1" applyBorder="1" applyAlignment="1">
      <alignment vertical="center"/>
    </xf>
    <xf numFmtId="0" fontId="41" fillId="3" borderId="56" xfId="0" applyFont="1" applyFill="1" applyBorder="1" applyAlignment="1">
      <alignment vertical="center"/>
    </xf>
    <xf numFmtId="0" fontId="25" fillId="3" borderId="56" xfId="0" applyFont="1" applyFill="1" applyBorder="1" applyAlignment="1">
      <alignment vertical="center"/>
    </xf>
    <xf numFmtId="0" fontId="4" fillId="3" borderId="57" xfId="0" applyFont="1" applyFill="1" applyBorder="1" applyAlignment="1">
      <alignment vertical="center"/>
    </xf>
    <xf numFmtId="0" fontId="49" fillId="3" borderId="58" xfId="0" applyFont="1" applyFill="1" applyBorder="1" applyAlignment="1">
      <alignment vertical="center"/>
    </xf>
    <xf numFmtId="0" fontId="13" fillId="3" borderId="58" xfId="0" applyFont="1" applyFill="1" applyBorder="1" applyAlignment="1">
      <alignment vertical="center"/>
    </xf>
    <xf numFmtId="0" fontId="4" fillId="3" borderId="58" xfId="0" applyFont="1" applyFill="1" applyBorder="1" applyAlignment="1">
      <alignment vertical="center" wrapText="1"/>
    </xf>
    <xf numFmtId="0" fontId="4" fillId="3" borderId="58" xfId="0" applyFont="1" applyFill="1" applyBorder="1" applyAlignment="1">
      <alignment vertical="center"/>
    </xf>
    <xf numFmtId="0" fontId="10" fillId="5" borderId="2" xfId="0" applyFont="1" applyFill="1" applyBorder="1" applyAlignment="1">
      <alignment vertical="center"/>
    </xf>
    <xf numFmtId="0" fontId="15" fillId="0" borderId="5" xfId="2" applyBorder="1" applyAlignment="1">
      <alignment vertical="center"/>
    </xf>
    <xf numFmtId="164" fontId="0" fillId="0" borderId="0" xfId="1" applyNumberFormat="1" applyFont="1" applyAlignment="1">
      <alignment horizontal="center" vertical="center"/>
    </xf>
    <xf numFmtId="0" fontId="57" fillId="12" borderId="5" xfId="0" applyFont="1" applyFill="1" applyBorder="1" applyAlignment="1">
      <alignment wrapText="1"/>
    </xf>
    <xf numFmtId="3" fontId="57" fillId="12" borderId="5" xfId="0" applyNumberFormat="1" applyFont="1" applyFill="1" applyBorder="1" applyAlignment="1">
      <alignment horizontal="left" vertical="center" wrapText="1"/>
    </xf>
    <xf numFmtId="0" fontId="54" fillId="0" borderId="5" xfId="0" applyFont="1" applyBorder="1" applyAlignment="1">
      <alignment wrapText="1"/>
    </xf>
    <xf numFmtId="0" fontId="54" fillId="0" borderId="5" xfId="0" applyFont="1" applyBorder="1" applyAlignment="1">
      <alignment horizontal="center" wrapText="1"/>
    </xf>
    <xf numFmtId="0" fontId="57" fillId="12" borderId="5" xfId="0" applyFont="1" applyFill="1" applyBorder="1" applyAlignment="1">
      <alignment horizontal="left" vertical="center" wrapText="1"/>
    </xf>
    <xf numFmtId="0" fontId="0" fillId="0" borderId="0" xfId="0" applyAlignment="1">
      <alignment horizontal="center"/>
    </xf>
    <xf numFmtId="0" fontId="56" fillId="0" borderId="5" xfId="0" applyFont="1" applyBorder="1" applyAlignment="1">
      <alignment wrapText="1"/>
    </xf>
    <xf numFmtId="0" fontId="56" fillId="13" borderId="5" xfId="0" applyFont="1" applyFill="1" applyBorder="1" applyAlignment="1">
      <alignment wrapText="1"/>
    </xf>
    <xf numFmtId="0" fontId="54" fillId="3" borderId="5" xfId="0" applyFont="1" applyFill="1" applyBorder="1" applyAlignment="1">
      <alignment wrapText="1"/>
    </xf>
    <xf numFmtId="0" fontId="54" fillId="3" borderId="5" xfId="0" applyFont="1" applyFill="1" applyBorder="1" applyAlignment="1">
      <alignment horizontal="center" wrapText="1"/>
    </xf>
    <xf numFmtId="164" fontId="0" fillId="3" borderId="5" xfId="1" applyNumberFormat="1" applyFont="1" applyFill="1" applyBorder="1" applyAlignment="1">
      <alignment horizontal="center" vertical="center"/>
    </xf>
    <xf numFmtId="0" fontId="57" fillId="14" borderId="5" xfId="0" applyFont="1" applyFill="1" applyBorder="1" applyAlignment="1">
      <alignment wrapText="1"/>
    </xf>
    <xf numFmtId="0" fontId="57" fillId="9" borderId="5" xfId="0" applyFont="1" applyFill="1" applyBorder="1" applyAlignment="1">
      <alignment wrapText="1"/>
    </xf>
    <xf numFmtId="9" fontId="0" fillId="0" borderId="0" xfId="4" applyFont="1"/>
    <xf numFmtId="0" fontId="55" fillId="0" borderId="0" xfId="0" applyFont="1" applyAlignment="1">
      <alignment wrapText="1"/>
    </xf>
    <xf numFmtId="0" fontId="49" fillId="5" borderId="0" xfId="0" applyFont="1" applyFill="1" applyAlignment="1">
      <alignment vertical="center"/>
    </xf>
    <xf numFmtId="0" fontId="54" fillId="5" borderId="5" xfId="7" applyFill="1" applyBorder="1"/>
    <xf numFmtId="2" fontId="11" fillId="5" borderId="31" xfId="0" applyNumberFormat="1" applyFont="1" applyFill="1" applyBorder="1" applyAlignment="1">
      <alignment horizontal="center" vertical="center"/>
    </xf>
    <xf numFmtId="170" fontId="11" fillId="5" borderId="9" xfId="0" applyNumberFormat="1" applyFont="1" applyFill="1" applyBorder="1" applyAlignment="1">
      <alignment horizontal="center" vertical="center"/>
    </xf>
    <xf numFmtId="0" fontId="60" fillId="0" borderId="0" xfId="0" applyFont="1" applyAlignment="1">
      <alignment wrapText="1"/>
    </xf>
    <xf numFmtId="0" fontId="60" fillId="0" borderId="0" xfId="0" applyFont="1"/>
    <xf numFmtId="0" fontId="11" fillId="0" borderId="0" xfId="0" applyFont="1"/>
    <xf numFmtId="0" fontId="11" fillId="5" borderId="3" xfId="0" applyFont="1" applyFill="1" applyBorder="1" applyAlignment="1">
      <alignment vertical="center" wrapText="1"/>
    </xf>
    <xf numFmtId="0" fontId="11" fillId="5" borderId="59" xfId="0" applyFont="1" applyFill="1" applyBorder="1" applyAlignment="1">
      <alignment vertical="center" wrapText="1"/>
    </xf>
    <xf numFmtId="0" fontId="11" fillId="5" borderId="10" xfId="0" applyFont="1" applyFill="1" applyBorder="1" applyAlignment="1">
      <alignment vertical="center" wrapText="1"/>
    </xf>
    <xf numFmtId="0" fontId="6" fillId="0" borderId="0" xfId="0" applyFont="1" applyAlignment="1">
      <alignment horizontal="center" vertical="center" wrapText="1"/>
    </xf>
    <xf numFmtId="0" fontId="20" fillId="3" borderId="44" xfId="0" applyFont="1" applyFill="1" applyBorder="1" applyAlignment="1">
      <alignment vertical="center"/>
    </xf>
    <xf numFmtId="0" fontId="41" fillId="3" borderId="43" xfId="0" applyFont="1" applyFill="1" applyBorder="1" applyAlignment="1">
      <alignment vertical="center"/>
    </xf>
    <xf numFmtId="0" fontId="20" fillId="3" borderId="45" xfId="0" applyFont="1" applyFill="1" applyBorder="1" applyAlignment="1">
      <alignment vertical="center"/>
    </xf>
    <xf numFmtId="0" fontId="25" fillId="3" borderId="45" xfId="0" applyFont="1" applyFill="1" applyBorder="1" applyAlignment="1">
      <alignment vertical="center" wrapText="1"/>
    </xf>
    <xf numFmtId="0" fontId="25" fillId="3" borderId="45" xfId="0" applyFont="1" applyFill="1" applyBorder="1" applyAlignment="1">
      <alignment vertical="center"/>
    </xf>
    <xf numFmtId="164" fontId="6" fillId="5" borderId="5" xfId="1" applyNumberFormat="1" applyFont="1" applyFill="1" applyBorder="1" applyAlignment="1">
      <alignment wrapText="1"/>
    </xf>
    <xf numFmtId="9" fontId="6" fillId="0" borderId="5" xfId="4" applyFont="1" applyBorder="1" applyAlignment="1">
      <alignment wrapText="1"/>
    </xf>
    <xf numFmtId="43" fontId="6" fillId="5" borderId="5" xfId="1" applyFont="1" applyFill="1" applyBorder="1" applyAlignment="1">
      <alignment wrapText="1"/>
    </xf>
    <xf numFmtId="0" fontId="61" fillId="3" borderId="44" xfId="0" applyFont="1" applyFill="1" applyBorder="1" applyAlignment="1">
      <alignment vertical="center"/>
    </xf>
    <xf numFmtId="0" fontId="61" fillId="3" borderId="43" xfId="0" applyFont="1" applyFill="1" applyBorder="1" applyAlignment="1">
      <alignment vertical="center"/>
    </xf>
    <xf numFmtId="0" fontId="61" fillId="3" borderId="45" xfId="0" applyFont="1" applyFill="1" applyBorder="1" applyAlignment="1">
      <alignment vertical="center"/>
    </xf>
    <xf numFmtId="0" fontId="62" fillId="3" borderId="45" xfId="0" applyFont="1" applyFill="1" applyBorder="1" applyAlignment="1">
      <alignment vertical="center" wrapText="1"/>
    </xf>
    <xf numFmtId="0" fontId="62" fillId="3" borderId="45" xfId="0" applyFont="1" applyFill="1" applyBorder="1" applyAlignment="1">
      <alignment vertical="center"/>
    </xf>
    <xf numFmtId="0" fontId="63" fillId="0" borderId="0" xfId="0" applyFont="1"/>
    <xf numFmtId="0" fontId="6" fillId="0" borderId="5" xfId="0" applyFont="1" applyBorder="1" applyAlignment="1">
      <alignment vertical="center" wrapText="1"/>
    </xf>
    <xf numFmtId="9" fontId="6" fillId="0" borderId="5" xfId="4" applyFont="1" applyBorder="1" applyAlignment="1">
      <alignment vertical="center" wrapText="1"/>
    </xf>
    <xf numFmtId="0" fontId="6" fillId="0" borderId="0" xfId="0" applyFont="1" applyAlignment="1">
      <alignment vertical="center"/>
    </xf>
    <xf numFmtId="0" fontId="50" fillId="3" borderId="5" xfId="0" applyFont="1" applyFill="1" applyBorder="1" applyAlignment="1">
      <alignment wrapText="1"/>
    </xf>
    <xf numFmtId="1" fontId="11" fillId="5" borderId="12" xfId="0" applyNumberFormat="1" applyFont="1" applyFill="1" applyBorder="1" applyAlignment="1">
      <alignment horizontal="center" vertical="center"/>
    </xf>
    <xf numFmtId="0" fontId="6" fillId="8" borderId="5" xfId="0" applyFont="1" applyFill="1" applyBorder="1" applyAlignment="1">
      <alignment horizontal="left" vertical="center" wrapText="1"/>
    </xf>
    <xf numFmtId="0" fontId="6" fillId="8" borderId="9" xfId="0" applyFont="1" applyFill="1" applyBorder="1" applyAlignment="1">
      <alignment horizontal="left" vertical="center" wrapText="1"/>
    </xf>
    <xf numFmtId="169" fontId="11" fillId="5" borderId="5" xfId="0" applyNumberFormat="1" applyFont="1" applyFill="1" applyBorder="1" applyAlignment="1">
      <alignment horizontal="center" vertical="center" wrapText="1"/>
    </xf>
    <xf numFmtId="169" fontId="11" fillId="5" borderId="3" xfId="0" applyNumberFormat="1" applyFont="1" applyFill="1" applyBorder="1" applyAlignment="1">
      <alignment horizontal="center" vertical="center" wrapText="1"/>
    </xf>
    <xf numFmtId="0" fontId="11" fillId="6" borderId="23" xfId="0" applyFont="1" applyFill="1" applyBorder="1" applyAlignment="1">
      <alignment vertical="center"/>
    </xf>
    <xf numFmtId="170" fontId="11" fillId="5" borderId="12" xfId="0" applyNumberFormat="1" applyFont="1" applyFill="1" applyBorder="1" applyAlignment="1">
      <alignment horizontal="center" vertical="center"/>
    </xf>
    <xf numFmtId="169" fontId="11" fillId="5" borderId="15" xfId="0" applyNumberFormat="1" applyFont="1" applyFill="1" applyBorder="1" applyAlignment="1">
      <alignment horizontal="center" vertical="center" wrapText="1"/>
    </xf>
    <xf numFmtId="169" fontId="11" fillId="5" borderId="17" xfId="0" applyNumberFormat="1" applyFont="1" applyFill="1" applyBorder="1" applyAlignment="1">
      <alignment horizontal="center" vertical="center" wrapText="1"/>
    </xf>
    <xf numFmtId="170" fontId="11" fillId="5" borderId="15" xfId="0" applyNumberFormat="1" applyFont="1" applyFill="1" applyBorder="1" applyAlignment="1">
      <alignment horizontal="center" vertical="center" wrapText="1"/>
    </xf>
    <xf numFmtId="170" fontId="11" fillId="5" borderId="17" xfId="0" applyNumberFormat="1" applyFont="1" applyFill="1" applyBorder="1" applyAlignment="1">
      <alignment horizontal="center" vertical="center" wrapText="1"/>
    </xf>
    <xf numFmtId="0" fontId="11" fillId="6" borderId="14" xfId="0" applyFont="1" applyFill="1" applyBorder="1" applyAlignment="1">
      <alignment vertical="center"/>
    </xf>
    <xf numFmtId="0" fontId="11" fillId="5" borderId="0" xfId="0" applyFont="1" applyFill="1" applyAlignment="1">
      <alignment vertical="center" wrapText="1"/>
    </xf>
    <xf numFmtId="0" fontId="41" fillId="3" borderId="45" xfId="0" applyFont="1" applyFill="1" applyBorder="1" applyAlignment="1">
      <alignment vertical="center"/>
    </xf>
    <xf numFmtId="0" fontId="20" fillId="5" borderId="0" xfId="0" applyFont="1" applyFill="1" applyAlignment="1">
      <alignment vertical="center"/>
    </xf>
    <xf numFmtId="0" fontId="25" fillId="5" borderId="0" xfId="0" applyFont="1" applyFill="1" applyAlignment="1">
      <alignment vertical="center" wrapText="1"/>
    </xf>
    <xf numFmtId="0" fontId="6" fillId="5" borderId="0" xfId="0" applyFont="1" applyFill="1" applyAlignment="1">
      <alignment vertical="center" wrapText="1"/>
    </xf>
    <xf numFmtId="0" fontId="49" fillId="5" borderId="0" xfId="0" applyFont="1" applyFill="1" applyAlignment="1">
      <alignment horizontal="left" vertical="center" wrapText="1"/>
    </xf>
    <xf numFmtId="167" fontId="11" fillId="6" borderId="23" xfId="0" applyNumberFormat="1" applyFont="1" applyFill="1" applyBorder="1" applyAlignment="1">
      <alignment horizontal="center"/>
    </xf>
    <xf numFmtId="0" fontId="7" fillId="2" borderId="7" xfId="0" applyFont="1" applyFill="1" applyBorder="1" applyAlignment="1">
      <alignment horizontal="center"/>
    </xf>
    <xf numFmtId="0" fontId="7" fillId="2" borderId="2" xfId="0" applyFont="1" applyFill="1" applyBorder="1" applyAlignment="1">
      <alignment horizontal="center"/>
    </xf>
    <xf numFmtId="0" fontId="11" fillId="8" borderId="5" xfId="0" applyFont="1" applyFill="1" applyBorder="1" applyAlignment="1">
      <alignment horizontal="left" vertical="center" wrapText="1"/>
    </xf>
    <xf numFmtId="9" fontId="11" fillId="0" borderId="5" xfId="4" applyFont="1" applyBorder="1" applyAlignment="1">
      <alignment horizontal="center" vertical="center" wrapText="1"/>
    </xf>
    <xf numFmtId="0" fontId="11" fillId="8" borderId="9" xfId="0" applyFont="1" applyFill="1" applyBorder="1" applyAlignment="1">
      <alignment horizontal="left" vertical="center" wrapText="1"/>
    </xf>
    <xf numFmtId="10" fontId="11" fillId="0" borderId="5" xfId="4" applyNumberFormat="1" applyFont="1" applyBorder="1" applyAlignment="1">
      <alignment horizontal="center" vertical="center" wrapText="1"/>
    </xf>
    <xf numFmtId="1" fontId="12" fillId="5" borderId="15" xfId="0" applyNumberFormat="1" applyFont="1" applyFill="1" applyBorder="1" applyAlignment="1">
      <alignment horizontal="center" vertical="center" wrapText="1"/>
    </xf>
    <xf numFmtId="2" fontId="12" fillId="5" borderId="15" xfId="0" applyNumberFormat="1" applyFont="1" applyFill="1" applyBorder="1" applyAlignment="1">
      <alignment horizontal="center" vertical="center" wrapText="1"/>
    </xf>
    <xf numFmtId="0" fontId="9" fillId="4" borderId="3" xfId="0" applyFont="1" applyFill="1" applyBorder="1" applyAlignment="1">
      <alignment vertical="center" wrapText="1"/>
    </xf>
    <xf numFmtId="168" fontId="0" fillId="5" borderId="5" xfId="1" applyNumberFormat="1" applyFont="1" applyFill="1" applyBorder="1" applyAlignment="1">
      <alignment horizontal="center" vertical="center"/>
    </xf>
    <xf numFmtId="43" fontId="0" fillId="5" borderId="5" xfId="1" applyFont="1" applyFill="1" applyBorder="1" applyAlignment="1">
      <alignment horizontal="center" vertical="center"/>
    </xf>
    <xf numFmtId="0" fontId="65" fillId="0" borderId="0" xfId="0" applyFont="1" applyAlignment="1">
      <alignment wrapText="1"/>
    </xf>
    <xf numFmtId="0" fontId="49" fillId="2" borderId="7" xfId="0" applyFont="1" applyFill="1" applyBorder="1" applyAlignment="1">
      <alignment horizontal="center"/>
    </xf>
    <xf numFmtId="0" fontId="49" fillId="2" borderId="2" xfId="0" applyFont="1" applyFill="1" applyBorder="1" applyAlignment="1">
      <alignment horizontal="center"/>
    </xf>
    <xf numFmtId="0" fontId="11" fillId="5" borderId="5" xfId="0" applyFont="1" applyFill="1" applyBorder="1" applyAlignment="1">
      <alignment horizontal="center" vertical="center"/>
    </xf>
    <xf numFmtId="0" fontId="11" fillId="5" borderId="3" xfId="0" applyFont="1" applyFill="1" applyBorder="1" applyAlignment="1">
      <alignment vertical="center"/>
    </xf>
    <xf numFmtId="0" fontId="11" fillId="5" borderId="10" xfId="0" applyFont="1" applyFill="1" applyBorder="1" applyAlignment="1">
      <alignment vertical="center"/>
    </xf>
    <xf numFmtId="0" fontId="20" fillId="3" borderId="43" xfId="0" applyFont="1" applyFill="1" applyBorder="1" applyAlignment="1">
      <alignment vertical="center"/>
    </xf>
    <xf numFmtId="0" fontId="25" fillId="3" borderId="43" xfId="0" applyFont="1" applyFill="1" applyBorder="1" applyAlignment="1">
      <alignment vertical="center" wrapText="1"/>
    </xf>
    <xf numFmtId="0" fontId="25" fillId="3" borderId="43" xfId="0" applyFont="1" applyFill="1" applyBorder="1" applyAlignment="1">
      <alignment vertical="center"/>
    </xf>
    <xf numFmtId="9" fontId="6" fillId="0" borderId="0" xfId="4" applyFont="1" applyBorder="1" applyAlignment="1">
      <alignment wrapText="1"/>
    </xf>
    <xf numFmtId="0" fontId="7" fillId="3" borderId="0" xfId="0" applyFont="1" applyFill="1" applyAlignment="1">
      <alignment vertical="center"/>
    </xf>
    <xf numFmtId="0" fontId="7" fillId="3" borderId="0" xfId="0" applyFont="1" applyFill="1" applyAlignment="1">
      <alignment vertical="center" wrapText="1"/>
    </xf>
    <xf numFmtId="0" fontId="67" fillId="0" borderId="0" xfId="0" applyFont="1" applyAlignment="1">
      <alignment wrapText="1"/>
    </xf>
    <xf numFmtId="0" fontId="11" fillId="0" borderId="0" xfId="0" applyFont="1" applyAlignment="1">
      <alignment wrapText="1"/>
    </xf>
    <xf numFmtId="0" fontId="67" fillId="0" borderId="0" xfId="0" applyFont="1"/>
    <xf numFmtId="0" fontId="68" fillId="0" borderId="0" xfId="0" applyFont="1" applyAlignment="1">
      <alignment wrapText="1"/>
    </xf>
    <xf numFmtId="165" fontId="11" fillId="5" borderId="0" xfId="1" applyNumberFormat="1" applyFont="1" applyFill="1" applyBorder="1" applyAlignment="1">
      <alignment horizontal="right" wrapText="1"/>
    </xf>
    <xf numFmtId="1" fontId="11" fillId="5" borderId="0" xfId="0" applyNumberFormat="1" applyFont="1" applyFill="1" applyAlignment="1">
      <alignment horizontal="right" wrapText="1"/>
    </xf>
    <xf numFmtId="166" fontId="11" fillId="5" borderId="0" xfId="0" applyNumberFormat="1" applyFont="1" applyFill="1" applyAlignment="1">
      <alignment horizontal="right" wrapText="1"/>
    </xf>
    <xf numFmtId="165" fontId="9" fillId="5" borderId="0" xfId="1" applyNumberFormat="1" applyFont="1" applyFill="1" applyBorder="1" applyAlignment="1">
      <alignment horizontal="right" wrapText="1"/>
    </xf>
    <xf numFmtId="0" fontId="7" fillId="3" borderId="43" xfId="0" applyFont="1" applyFill="1" applyBorder="1" applyAlignment="1">
      <alignment vertical="center"/>
    </xf>
    <xf numFmtId="0" fontId="7" fillId="3" borderId="43" xfId="0" applyFont="1" applyFill="1" applyBorder="1" applyAlignment="1">
      <alignment vertical="center" wrapText="1"/>
    </xf>
    <xf numFmtId="0" fontId="7" fillId="3" borderId="5" xfId="0" applyFont="1" applyFill="1" applyBorder="1" applyAlignment="1">
      <alignment horizontal="center" vertical="center" wrapText="1"/>
    </xf>
    <xf numFmtId="0" fontId="11" fillId="0" borderId="5" xfId="0" applyFont="1" applyBorder="1"/>
    <xf numFmtId="164" fontId="11" fillId="5" borderId="5" xfId="1" applyNumberFormat="1" applyFont="1" applyFill="1" applyBorder="1" applyAlignment="1">
      <alignment wrapText="1"/>
    </xf>
    <xf numFmtId="9" fontId="11" fillId="0" borderId="5" xfId="4" applyFont="1" applyBorder="1" applyAlignment="1">
      <alignment wrapText="1"/>
    </xf>
    <xf numFmtId="9" fontId="11" fillId="0" borderId="0" xfId="4" applyFont="1" applyBorder="1" applyAlignment="1">
      <alignment wrapText="1"/>
    </xf>
    <xf numFmtId="43" fontId="11" fillId="5" borderId="5" xfId="1" applyFont="1" applyFill="1" applyBorder="1" applyAlignment="1">
      <alignment wrapText="1"/>
    </xf>
    <xf numFmtId="43" fontId="11" fillId="5" borderId="5" xfId="0" applyNumberFormat="1" applyFont="1" applyFill="1" applyBorder="1" applyAlignment="1">
      <alignment wrapText="1"/>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5" xfId="0" applyFont="1" applyFill="1" applyBorder="1" applyAlignment="1">
      <alignment vertical="center" wrapText="1"/>
    </xf>
    <xf numFmtId="0" fontId="12" fillId="3" borderId="44" xfId="0" applyFont="1" applyFill="1" applyBorder="1" applyAlignment="1">
      <alignment vertical="center"/>
    </xf>
    <xf numFmtId="0" fontId="66" fillId="3" borderId="43" xfId="0" applyFont="1" applyFill="1" applyBorder="1" applyAlignment="1">
      <alignment vertical="center"/>
    </xf>
    <xf numFmtId="0" fontId="12" fillId="3" borderId="45" xfId="0" applyFont="1" applyFill="1" applyBorder="1" applyAlignment="1">
      <alignment vertical="center"/>
    </xf>
    <xf numFmtId="0" fontId="12" fillId="3" borderId="45" xfId="0" applyFont="1" applyFill="1" applyBorder="1" applyAlignment="1">
      <alignment vertical="center" wrapText="1"/>
    </xf>
    <xf numFmtId="0" fontId="9" fillId="0" borderId="0" xfId="0" applyFont="1"/>
    <xf numFmtId="0" fontId="11" fillId="0" borderId="5" xfId="0" applyFont="1" applyBorder="1" applyAlignment="1">
      <alignment vertical="center" wrapText="1"/>
    </xf>
    <xf numFmtId="9" fontId="11" fillId="0" borderId="5" xfId="4" applyFont="1" applyBorder="1" applyAlignment="1">
      <alignment vertical="center" wrapText="1"/>
    </xf>
    <xf numFmtId="0" fontId="11" fillId="5" borderId="5" xfId="0" applyFont="1" applyFill="1" applyBorder="1" applyAlignment="1">
      <alignment wrapText="1"/>
    </xf>
    <xf numFmtId="0" fontId="11" fillId="0" borderId="0" xfId="0" applyFont="1" applyAlignment="1">
      <alignment vertical="center"/>
    </xf>
    <xf numFmtId="0" fontId="11" fillId="5" borderId="5" xfId="0" applyFont="1" applyFill="1" applyBorder="1" applyAlignment="1">
      <alignment vertical="center" wrapText="1"/>
    </xf>
    <xf numFmtId="9" fontId="11" fillId="5" borderId="5" xfId="4" applyFont="1" applyFill="1" applyBorder="1" applyAlignment="1">
      <alignment wrapText="1"/>
    </xf>
    <xf numFmtId="0" fontId="11" fillId="3" borderId="36" xfId="0" applyFont="1" applyFill="1" applyBorder="1" applyAlignment="1">
      <alignment wrapText="1"/>
    </xf>
    <xf numFmtId="9" fontId="11" fillId="3" borderId="12" xfId="4" applyFont="1" applyFill="1" applyBorder="1" applyAlignment="1">
      <alignment wrapText="1"/>
    </xf>
    <xf numFmtId="164" fontId="66" fillId="3" borderId="12" xfId="1" applyNumberFormat="1" applyFont="1" applyFill="1" applyBorder="1" applyAlignment="1">
      <alignment wrapText="1"/>
    </xf>
    <xf numFmtId="0" fontId="66" fillId="3" borderId="5" xfId="0" applyFont="1" applyFill="1" applyBorder="1" applyAlignment="1">
      <alignment wrapText="1"/>
    </xf>
    <xf numFmtId="43" fontId="66" fillId="3" borderId="12" xfId="1" applyFont="1" applyFill="1" applyBorder="1" applyAlignment="1">
      <alignment wrapText="1"/>
    </xf>
    <xf numFmtId="0" fontId="12" fillId="6" borderId="4" xfId="0" applyFont="1" applyFill="1" applyBorder="1" applyAlignment="1">
      <alignment vertical="center"/>
    </xf>
    <xf numFmtId="0" fontId="11" fillId="0" borderId="0" xfId="0" applyFont="1" applyAlignment="1">
      <alignment horizontal="center" vertical="center" wrapText="1"/>
    </xf>
    <xf numFmtId="0" fontId="66" fillId="3" borderId="44" xfId="0" applyFont="1" applyFill="1" applyBorder="1" applyAlignment="1">
      <alignment vertical="center"/>
    </xf>
    <xf numFmtId="0" fontId="66" fillId="3" borderId="45" xfId="0" applyFont="1" applyFill="1" applyBorder="1" applyAlignment="1">
      <alignment vertical="center"/>
    </xf>
    <xf numFmtId="0" fontId="66" fillId="3" borderId="45" xfId="0" applyFont="1" applyFill="1" applyBorder="1" applyAlignment="1">
      <alignment vertical="center" wrapText="1"/>
    </xf>
    <xf numFmtId="0" fontId="9" fillId="0" borderId="0" xfId="0" applyFont="1" applyAlignment="1">
      <alignment wrapText="1"/>
    </xf>
    <xf numFmtId="0" fontId="11" fillId="0" borderId="5" xfId="0" applyFont="1" applyBorder="1" applyAlignment="1">
      <alignment wrapText="1"/>
    </xf>
    <xf numFmtId="2" fontId="11" fillId="5" borderId="5" xfId="0" applyNumberFormat="1" applyFont="1" applyFill="1" applyBorder="1" applyAlignment="1">
      <alignment horizontal="center" vertical="center" wrapText="1"/>
    </xf>
    <xf numFmtId="2" fontId="11" fillId="5" borderId="15" xfId="0" applyNumberFormat="1" applyFont="1" applyFill="1" applyBorder="1" applyAlignment="1">
      <alignment horizontal="center" vertical="center" wrapText="1"/>
    </xf>
    <xf numFmtId="2" fontId="11" fillId="5" borderId="3" xfId="0" applyNumberFormat="1" applyFont="1" applyFill="1" applyBorder="1" applyAlignment="1">
      <alignment horizontal="center" vertical="center" wrapText="1"/>
    </xf>
    <xf numFmtId="0" fontId="12" fillId="6" borderId="14" xfId="0" applyFont="1" applyFill="1" applyBorder="1" applyAlignment="1">
      <alignment vertical="center"/>
    </xf>
    <xf numFmtId="2" fontId="11" fillId="5" borderId="17" xfId="0" applyNumberFormat="1" applyFont="1" applyFill="1" applyBorder="1" applyAlignment="1">
      <alignment horizontal="center" vertical="center" wrapText="1"/>
    </xf>
    <xf numFmtId="0" fontId="11" fillId="8" borderId="4" xfId="0" applyFont="1" applyFill="1" applyBorder="1" applyAlignment="1">
      <alignment vertical="center"/>
    </xf>
    <xf numFmtId="0" fontId="34" fillId="0" borderId="0" xfId="0" applyFont="1" applyAlignment="1">
      <alignment wrapText="1"/>
    </xf>
    <xf numFmtId="0" fontId="66" fillId="5" borderId="0" xfId="0" applyFont="1" applyFill="1" applyAlignment="1">
      <alignment vertical="center"/>
    </xf>
    <xf numFmtId="0" fontId="66" fillId="5" borderId="0" xfId="0" applyFont="1" applyFill="1" applyAlignment="1">
      <alignment vertical="center" wrapText="1"/>
    </xf>
    <xf numFmtId="0" fontId="9" fillId="8" borderId="20" xfId="0" applyFont="1" applyFill="1" applyBorder="1" applyAlignment="1">
      <alignment vertical="center"/>
    </xf>
    <xf numFmtId="2" fontId="11" fillId="5" borderId="0" xfId="0" applyNumberFormat="1" applyFont="1" applyFill="1" applyAlignment="1">
      <alignment horizontal="center" vertical="center"/>
    </xf>
    <xf numFmtId="0" fontId="0" fillId="0" borderId="3" xfId="0" applyBorder="1" applyAlignment="1">
      <alignment wrapText="1"/>
    </xf>
    <xf numFmtId="0" fontId="11" fillId="5" borderId="4" xfId="0" applyFont="1" applyFill="1" applyBorder="1" applyAlignment="1">
      <alignment wrapText="1"/>
    </xf>
    <xf numFmtId="2" fontId="11" fillId="0" borderId="0" xfId="0" applyNumberFormat="1" applyFont="1" applyAlignment="1">
      <alignment wrapText="1"/>
    </xf>
    <xf numFmtId="0" fontId="68" fillId="0" borderId="0" xfId="0" applyFont="1"/>
    <xf numFmtId="1" fontId="11" fillId="5" borderId="28" xfId="0" applyNumberFormat="1" applyFont="1" applyFill="1" applyBorder="1" applyAlignment="1">
      <alignment horizontal="center"/>
    </xf>
    <xf numFmtId="9" fontId="11" fillId="0" borderId="5" xfId="4" applyFont="1" applyBorder="1"/>
    <xf numFmtId="0" fontId="11" fillId="0" borderId="23" xfId="0" applyFont="1" applyBorder="1" applyAlignment="1">
      <alignment wrapText="1"/>
    </xf>
    <xf numFmtId="1" fontId="11" fillId="5" borderId="23" xfId="0" applyNumberFormat="1" applyFont="1" applyFill="1" applyBorder="1" applyAlignment="1">
      <alignment horizontal="center" vertical="center"/>
    </xf>
    <xf numFmtId="1" fontId="11" fillId="5" borderId="28" xfId="0" applyNumberFormat="1" applyFont="1" applyFill="1" applyBorder="1" applyAlignment="1">
      <alignment horizontal="center" vertical="center"/>
    </xf>
    <xf numFmtId="0" fontId="11" fillId="3" borderId="5" xfId="0" applyFont="1" applyFill="1" applyBorder="1" applyAlignment="1">
      <alignment wrapText="1"/>
    </xf>
    <xf numFmtId="10" fontId="6" fillId="0" borderId="5" xfId="4" applyNumberFormat="1" applyFont="1" applyBorder="1" applyAlignment="1">
      <alignment horizontal="center" vertical="center" wrapText="1"/>
    </xf>
    <xf numFmtId="0" fontId="6" fillId="5" borderId="0" xfId="0" applyFont="1" applyFill="1" applyAlignment="1">
      <alignment horizontal="right" wrapText="1"/>
    </xf>
    <xf numFmtId="167" fontId="68" fillId="0" borderId="0" xfId="0" applyNumberFormat="1" applyFont="1" applyAlignment="1">
      <alignment wrapText="1"/>
    </xf>
    <xf numFmtId="0" fontId="11" fillId="5" borderId="0" xfId="0" applyFont="1" applyFill="1" applyAlignment="1">
      <alignment horizontal="right" wrapText="1"/>
    </xf>
    <xf numFmtId="167" fontId="11" fillId="5" borderId="5" xfId="0" applyNumberFormat="1" applyFont="1" applyFill="1" applyBorder="1" applyAlignment="1">
      <alignment horizontal="center" vertical="center" wrapText="1"/>
    </xf>
    <xf numFmtId="2" fontId="11" fillId="6" borderId="23" xfId="0" applyNumberFormat="1" applyFont="1" applyFill="1" applyBorder="1" applyAlignment="1">
      <alignment horizontal="center"/>
    </xf>
    <xf numFmtId="2" fontId="11" fillId="6" borderId="21" xfId="0" applyNumberFormat="1" applyFont="1" applyFill="1" applyBorder="1" applyAlignment="1">
      <alignment horizontal="center"/>
    </xf>
    <xf numFmtId="0" fontId="11" fillId="0" borderId="5" xfId="0" applyFont="1" applyBorder="1" applyAlignment="1">
      <alignment horizontal="center" vertical="center" wrapText="1"/>
    </xf>
    <xf numFmtId="0" fontId="11" fillId="0" borderId="0" xfId="0" applyFont="1" applyAlignment="1">
      <alignment horizontal="center"/>
    </xf>
    <xf numFmtId="0" fontId="11" fillId="5" borderId="4" xfId="0" applyFont="1" applyFill="1" applyBorder="1" applyAlignment="1">
      <alignment vertical="center"/>
    </xf>
    <xf numFmtId="0" fontId="69" fillId="0" borderId="0" xfId="8" applyAlignment="1">
      <alignment horizontal="left" vertical="top"/>
    </xf>
    <xf numFmtId="0" fontId="70" fillId="0" borderId="0" xfId="8" applyFont="1" applyAlignment="1">
      <alignment horizontal="left" vertical="top"/>
    </xf>
    <xf numFmtId="0" fontId="71" fillId="0" borderId="0" xfId="8" applyFont="1" applyAlignment="1">
      <alignment horizontal="left" vertical="top"/>
    </xf>
    <xf numFmtId="0" fontId="27" fillId="0" borderId="5" xfId="8" applyFont="1" applyBorder="1" applyAlignment="1">
      <alignment horizontal="left" vertical="center" wrapText="1"/>
    </xf>
    <xf numFmtId="0" fontId="71" fillId="0" borderId="5" xfId="8" applyFont="1" applyBorder="1" applyAlignment="1">
      <alignment horizontal="left" vertical="center"/>
    </xf>
    <xf numFmtId="0" fontId="71" fillId="0" borderId="5" xfId="8" applyFont="1" applyBorder="1" applyAlignment="1">
      <alignment horizontal="left" vertical="center" wrapText="1"/>
    </xf>
    <xf numFmtId="164" fontId="71" fillId="0" borderId="5" xfId="1" applyNumberFormat="1" applyFont="1" applyBorder="1" applyAlignment="1">
      <alignment horizontal="left" vertical="center"/>
    </xf>
    <xf numFmtId="1" fontId="11" fillId="0" borderId="22" xfId="0" applyNumberFormat="1" applyFont="1" applyBorder="1" applyAlignment="1">
      <alignment horizontal="center" vertical="center" wrapText="1"/>
    </xf>
    <xf numFmtId="0" fontId="39" fillId="3" borderId="3" xfId="0" applyFont="1" applyFill="1" applyBorder="1" applyAlignment="1">
      <alignment horizontal="center" vertical="center" wrapText="1"/>
    </xf>
    <xf numFmtId="0" fontId="54" fillId="5" borderId="5" xfId="7" applyFill="1" applyBorder="1" applyAlignment="1">
      <alignment wrapText="1"/>
    </xf>
    <xf numFmtId="0" fontId="14" fillId="5" borderId="5" xfId="7" applyFont="1" applyFill="1" applyBorder="1" applyAlignment="1">
      <alignment wrapText="1"/>
    </xf>
    <xf numFmtId="167" fontId="11" fillId="5" borderId="14" xfId="0" applyNumberFormat="1" applyFont="1" applyFill="1" applyBorder="1" applyAlignment="1">
      <alignment horizontal="center" vertical="center" wrapText="1"/>
    </xf>
    <xf numFmtId="1" fontId="11" fillId="6" borderId="15" xfId="0" applyNumberFormat="1" applyFont="1" applyFill="1" applyBorder="1" applyAlignment="1">
      <alignment horizontal="center" vertical="center"/>
    </xf>
    <xf numFmtId="2" fontId="11" fillId="0" borderId="23" xfId="0" applyNumberFormat="1" applyFont="1" applyBorder="1" applyAlignment="1">
      <alignment horizontal="center"/>
    </xf>
    <xf numFmtId="1" fontId="11" fillId="5" borderId="23" xfId="0" applyNumberFormat="1" applyFont="1" applyFill="1" applyBorder="1" applyAlignment="1">
      <alignment horizontal="center"/>
    </xf>
    <xf numFmtId="0" fontId="7" fillId="3" borderId="3" xfId="0" applyFont="1" applyFill="1" applyBorder="1" applyAlignment="1">
      <alignment horizontal="center" vertical="center" wrapText="1"/>
    </xf>
    <xf numFmtId="0" fontId="11" fillId="0" borderId="4" xfId="0" applyFont="1" applyBorder="1"/>
    <xf numFmtId="9" fontId="11" fillId="0" borderId="3" xfId="4" applyFont="1" applyBorder="1" applyAlignment="1">
      <alignment wrapText="1"/>
    </xf>
    <xf numFmtId="0" fontId="9" fillId="5" borderId="8" xfId="0" applyFont="1" applyFill="1" applyBorder="1" applyAlignment="1">
      <alignment wrapText="1"/>
    </xf>
    <xf numFmtId="164" fontId="11" fillId="5" borderId="9" xfId="0" applyNumberFormat="1" applyFont="1" applyFill="1" applyBorder="1" applyAlignment="1">
      <alignment wrapText="1"/>
    </xf>
    <xf numFmtId="43" fontId="11" fillId="5" borderId="9" xfId="0" applyNumberFormat="1" applyFont="1" applyFill="1" applyBorder="1" applyAlignment="1">
      <alignment wrapText="1"/>
    </xf>
    <xf numFmtId="168" fontId="0" fillId="0" borderId="5" xfId="1" applyNumberFormat="1" applyFont="1" applyBorder="1" applyAlignment="1">
      <alignment horizontal="center" vertical="center"/>
    </xf>
    <xf numFmtId="43" fontId="0" fillId="0" borderId="5" xfId="1" applyFont="1" applyBorder="1" applyAlignment="1">
      <alignment horizontal="center" vertical="center"/>
    </xf>
    <xf numFmtId="0" fontId="6" fillId="0" borderId="4" xfId="0" applyFont="1" applyBorder="1"/>
    <xf numFmtId="9" fontId="6" fillId="0" borderId="3" xfId="4" applyFont="1" applyBorder="1" applyAlignment="1">
      <alignment wrapText="1"/>
    </xf>
    <xf numFmtId="0" fontId="5" fillId="5" borderId="8" xfId="0" applyFont="1" applyFill="1" applyBorder="1" applyAlignment="1">
      <alignment wrapText="1"/>
    </xf>
    <xf numFmtId="164" fontId="6" fillId="5" borderId="9" xfId="0" applyNumberFormat="1" applyFont="1" applyFill="1" applyBorder="1" applyAlignment="1">
      <alignment wrapText="1"/>
    </xf>
    <xf numFmtId="9" fontId="6" fillId="0" borderId="9" xfId="0" applyNumberFormat="1" applyFont="1" applyBorder="1" applyAlignment="1">
      <alignment horizontal="right" wrapText="1"/>
    </xf>
    <xf numFmtId="0" fontId="39" fillId="3" borderId="6" xfId="0" applyFont="1" applyFill="1" applyBorder="1" applyAlignment="1">
      <alignment vertical="center" wrapText="1"/>
    </xf>
    <xf numFmtId="0" fontId="39" fillId="3" borderId="7" xfId="0" applyFont="1" applyFill="1" applyBorder="1" applyAlignment="1">
      <alignment vertical="center" wrapText="1"/>
    </xf>
    <xf numFmtId="0" fontId="39" fillId="3" borderId="2" xfId="0" applyFont="1" applyFill="1" applyBorder="1" applyAlignment="1">
      <alignment vertical="center" wrapText="1"/>
    </xf>
    <xf numFmtId="0" fontId="6" fillId="0" borderId="4" xfId="0" applyFont="1" applyBorder="1" applyAlignment="1">
      <alignment vertical="center" wrapText="1"/>
    </xf>
    <xf numFmtId="0" fontId="6" fillId="0" borderId="26" xfId="0" applyFont="1" applyBorder="1"/>
    <xf numFmtId="0" fontId="6" fillId="3" borderId="37" xfId="0" applyFont="1" applyFill="1" applyBorder="1" applyAlignment="1">
      <alignment wrapText="1"/>
    </xf>
    <xf numFmtId="0" fontId="6" fillId="3" borderId="50" xfId="0" applyFont="1" applyFill="1" applyBorder="1" applyAlignment="1">
      <alignment wrapText="1"/>
    </xf>
    <xf numFmtId="164" fontId="50" fillId="3" borderId="50" xfId="1" applyNumberFormat="1" applyFont="1" applyFill="1" applyBorder="1" applyAlignment="1">
      <alignment wrapText="1"/>
    </xf>
    <xf numFmtId="168" fontId="50" fillId="3" borderId="50" xfId="1" applyNumberFormat="1" applyFont="1" applyFill="1" applyBorder="1" applyAlignment="1">
      <alignment wrapText="1"/>
    </xf>
    <xf numFmtId="0" fontId="50" fillId="3" borderId="10" xfId="0" applyFont="1" applyFill="1" applyBorder="1" applyAlignment="1">
      <alignment wrapText="1"/>
    </xf>
    <xf numFmtId="43" fontId="6" fillId="5" borderId="9" xfId="0" applyNumberFormat="1" applyFont="1" applyFill="1" applyBorder="1" applyAlignment="1">
      <alignment wrapText="1"/>
    </xf>
    <xf numFmtId="0" fontId="6" fillId="0" borderId="3" xfId="0" applyFont="1" applyBorder="1"/>
    <xf numFmtId="0" fontId="50" fillId="3" borderId="3" xfId="0" applyFont="1" applyFill="1" applyBorder="1" applyAlignment="1">
      <alignment wrapText="1"/>
    </xf>
    <xf numFmtId="0" fontId="49" fillId="3" borderId="49" xfId="0" applyFont="1" applyFill="1" applyBorder="1" applyAlignment="1">
      <alignment vertical="center" wrapText="1"/>
    </xf>
    <xf numFmtId="0" fontId="6" fillId="3" borderId="5" xfId="0" applyFont="1" applyFill="1" applyBorder="1" applyAlignment="1">
      <alignment wrapText="1"/>
    </xf>
    <xf numFmtId="164" fontId="50" fillId="3" borderId="5" xfId="1" applyNumberFormat="1" applyFont="1" applyFill="1" applyBorder="1" applyAlignment="1">
      <alignment wrapText="1"/>
    </xf>
    <xf numFmtId="43" fontId="50" fillId="3" borderId="5" xfId="1" applyFont="1" applyFill="1" applyBorder="1" applyAlignment="1">
      <alignment wrapText="1"/>
    </xf>
    <xf numFmtId="0" fontId="6" fillId="3" borderId="4" xfId="0" applyFont="1" applyFill="1" applyBorder="1" applyAlignment="1">
      <alignment wrapText="1"/>
    </xf>
    <xf numFmtId="0" fontId="6" fillId="3" borderId="8" xfId="0" applyFont="1" applyFill="1" applyBorder="1" applyAlignment="1">
      <alignment wrapText="1"/>
    </xf>
    <xf numFmtId="0" fontId="6" fillId="3" borderId="9" xfId="0" applyFont="1" applyFill="1" applyBorder="1" applyAlignment="1">
      <alignment wrapText="1"/>
    </xf>
    <xf numFmtId="164" fontId="50" fillId="3" borderId="9" xfId="1" applyNumberFormat="1" applyFont="1" applyFill="1" applyBorder="1" applyAlignment="1">
      <alignment wrapText="1"/>
    </xf>
    <xf numFmtId="43" fontId="50" fillId="3" borderId="9" xfId="1" applyFont="1" applyFill="1" applyBorder="1" applyAlignment="1">
      <alignment wrapText="1"/>
    </xf>
    <xf numFmtId="9" fontId="6" fillId="3" borderId="5" xfId="4" applyFont="1" applyFill="1" applyBorder="1" applyAlignment="1">
      <alignment wrapText="1"/>
    </xf>
    <xf numFmtId="9" fontId="11" fillId="3" borderId="5" xfId="4" applyFont="1" applyFill="1" applyBorder="1" applyAlignment="1">
      <alignment wrapText="1"/>
    </xf>
    <xf numFmtId="164" fontId="66" fillId="3" borderId="5" xfId="1" applyNumberFormat="1" applyFont="1" applyFill="1" applyBorder="1" applyAlignment="1">
      <alignment wrapText="1"/>
    </xf>
    <xf numFmtId="43" fontId="66" fillId="3" borderId="5" xfId="1" applyFont="1" applyFill="1" applyBorder="1" applyAlignment="1">
      <alignment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7" fillId="3" borderId="2" xfId="0" applyFont="1" applyFill="1" applyBorder="1" applyAlignment="1">
      <alignment vertical="center" wrapText="1"/>
    </xf>
    <xf numFmtId="0" fontId="11" fillId="0" borderId="3" xfId="0" applyFont="1" applyBorder="1"/>
    <xf numFmtId="0" fontId="66" fillId="3" borderId="3" xfId="0" applyFont="1" applyFill="1" applyBorder="1" applyAlignment="1">
      <alignment wrapText="1"/>
    </xf>
    <xf numFmtId="0" fontId="11" fillId="3" borderId="9" xfId="0" applyFont="1" applyFill="1" applyBorder="1" applyAlignment="1">
      <alignment wrapText="1"/>
    </xf>
    <xf numFmtId="9" fontId="11" fillId="3" borderId="9" xfId="4" applyFont="1" applyFill="1" applyBorder="1" applyAlignment="1">
      <alignment wrapText="1"/>
    </xf>
    <xf numFmtId="43" fontId="66" fillId="3" borderId="9" xfId="1" applyFont="1" applyFill="1" applyBorder="1" applyAlignment="1">
      <alignment wrapText="1"/>
    </xf>
    <xf numFmtId="0" fontId="66" fillId="3" borderId="10" xfId="0" applyFont="1" applyFill="1" applyBorder="1" applyAlignment="1">
      <alignment wrapText="1"/>
    </xf>
    <xf numFmtId="0" fontId="66" fillId="3" borderId="4" xfId="0" applyFont="1" applyFill="1" applyBorder="1" applyAlignment="1">
      <alignment wrapText="1"/>
    </xf>
    <xf numFmtId="0" fontId="66" fillId="3" borderId="8" xfId="0" applyFont="1" applyFill="1" applyBorder="1" applyAlignment="1">
      <alignment wrapText="1"/>
    </xf>
    <xf numFmtId="0" fontId="50" fillId="3" borderId="4" xfId="0" applyFont="1" applyFill="1" applyBorder="1" applyAlignment="1">
      <alignment wrapText="1"/>
    </xf>
    <xf numFmtId="0" fontId="50" fillId="3" borderId="8" xfId="0" applyFont="1" applyFill="1" applyBorder="1" applyAlignment="1">
      <alignment wrapText="1"/>
    </xf>
    <xf numFmtId="0" fontId="11" fillId="0" borderId="26" xfId="0" applyFont="1" applyBorder="1"/>
    <xf numFmtId="0" fontId="66" fillId="3" borderId="61" xfId="0" applyFont="1" applyFill="1" applyBorder="1" applyAlignment="1">
      <alignment wrapText="1"/>
    </xf>
    <xf numFmtId="0" fontId="66" fillId="3" borderId="49" xfId="0" applyFont="1" applyFill="1" applyBorder="1" applyAlignment="1">
      <alignment wrapText="1"/>
    </xf>
    <xf numFmtId="0" fontId="11" fillId="3" borderId="37" xfId="0" applyFont="1" applyFill="1" applyBorder="1" applyAlignment="1">
      <alignment wrapText="1"/>
    </xf>
    <xf numFmtId="9" fontId="11" fillId="3" borderId="50" xfId="4" applyFont="1" applyFill="1" applyBorder="1" applyAlignment="1">
      <alignment wrapText="1"/>
    </xf>
    <xf numFmtId="164" fontId="66" fillId="3" borderId="50" xfId="1" applyNumberFormat="1" applyFont="1" applyFill="1" applyBorder="1" applyAlignment="1">
      <alignment wrapText="1"/>
    </xf>
    <xf numFmtId="43" fontId="66" fillId="3" borderId="50" xfId="1" applyFont="1" applyFill="1" applyBorder="1" applyAlignment="1">
      <alignment wrapText="1"/>
    </xf>
    <xf numFmtId="164" fontId="66" fillId="3" borderId="9" xfId="1" applyNumberFormat="1" applyFont="1" applyFill="1" applyBorder="1" applyAlignment="1">
      <alignment wrapText="1"/>
    </xf>
    <xf numFmtId="0" fontId="11" fillId="0" borderId="4" xfId="0" applyFont="1" applyBorder="1" applyAlignment="1">
      <alignment wrapText="1"/>
    </xf>
    <xf numFmtId="0" fontId="11" fillId="3" borderId="50" xfId="0" applyFont="1" applyFill="1" applyBorder="1" applyAlignment="1">
      <alignment wrapText="1"/>
    </xf>
    <xf numFmtId="164" fontId="11" fillId="3" borderId="50" xfId="1" applyNumberFormat="1" applyFont="1" applyFill="1" applyBorder="1" applyAlignment="1">
      <alignment wrapText="1"/>
    </xf>
    <xf numFmtId="0" fontId="11" fillId="3" borderId="10" xfId="0" applyFont="1" applyFill="1" applyBorder="1" applyAlignment="1">
      <alignment wrapText="1"/>
    </xf>
    <xf numFmtId="0" fontId="0" fillId="0" borderId="3" xfId="0" applyBorder="1"/>
    <xf numFmtId="0" fontId="0" fillId="0" borderId="4" xfId="0" applyBorder="1" applyAlignment="1">
      <alignment wrapText="1"/>
    </xf>
    <xf numFmtId="0" fontId="11" fillId="0" borderId="3" xfId="0" applyFont="1" applyBorder="1" applyAlignment="1">
      <alignment wrapText="1"/>
    </xf>
    <xf numFmtId="0" fontId="0" fillId="0" borderId="48" xfId="0" applyBorder="1" applyAlignment="1">
      <alignment wrapText="1"/>
    </xf>
    <xf numFmtId="0" fontId="17" fillId="3" borderId="49" xfId="0" applyFont="1" applyFill="1" applyBorder="1" applyAlignment="1">
      <alignment wrapText="1"/>
    </xf>
    <xf numFmtId="0" fontId="0" fillId="3" borderId="37" xfId="0" applyFill="1" applyBorder="1" applyAlignment="1">
      <alignment wrapText="1"/>
    </xf>
    <xf numFmtId="0" fontId="0" fillId="3" borderId="50" xfId="0" applyFill="1" applyBorder="1" applyAlignment="1">
      <alignment wrapText="1"/>
    </xf>
    <xf numFmtId="164" fontId="17" fillId="3" borderId="50" xfId="1" applyNumberFormat="1" applyFont="1" applyFill="1" applyBorder="1" applyAlignment="1">
      <alignment wrapText="1"/>
    </xf>
    <xf numFmtId="164" fontId="17" fillId="3" borderId="9" xfId="1" applyNumberFormat="1" applyFont="1" applyFill="1" applyBorder="1" applyAlignment="1">
      <alignment wrapText="1"/>
    </xf>
    <xf numFmtId="0" fontId="17" fillId="3" borderId="10" xfId="0" applyFont="1" applyFill="1" applyBorder="1" applyAlignment="1">
      <alignment wrapText="1"/>
    </xf>
    <xf numFmtId="0" fontId="12" fillId="0" borderId="0" xfId="0" applyFont="1"/>
    <xf numFmtId="0" fontId="36" fillId="5" borderId="0" xfId="0" applyFont="1" applyFill="1" applyAlignment="1">
      <alignment wrapText="1"/>
    </xf>
    <xf numFmtId="2" fontId="11" fillId="0" borderId="0" xfId="0" applyNumberFormat="1" applyFont="1" applyAlignment="1">
      <alignment horizontal="center"/>
    </xf>
    <xf numFmtId="0" fontId="66" fillId="0" borderId="0" xfId="0" applyFont="1" applyAlignment="1">
      <alignment wrapText="1"/>
    </xf>
    <xf numFmtId="0" fontId="66" fillId="0" borderId="0" xfId="0" applyFont="1"/>
    <xf numFmtId="164" fontId="11" fillId="5" borderId="5" xfId="1" applyNumberFormat="1" applyFont="1" applyFill="1" applyBorder="1" applyAlignment="1">
      <alignment vertical="center" wrapText="1"/>
    </xf>
    <xf numFmtId="0" fontId="11" fillId="0" borderId="4" xfId="0" applyFont="1" applyBorder="1" applyAlignment="1">
      <alignment vertical="center" wrapText="1"/>
    </xf>
    <xf numFmtId="0" fontId="11" fillId="5" borderId="26" xfId="0" applyFont="1" applyFill="1" applyBorder="1"/>
    <xf numFmtId="0" fontId="66" fillId="3" borderId="37" xfId="0" applyFont="1" applyFill="1" applyBorder="1" applyAlignment="1">
      <alignment wrapText="1"/>
    </xf>
    <xf numFmtId="0" fontId="66" fillId="3" borderId="50" xfId="0" applyFont="1" applyFill="1" applyBorder="1" applyAlignment="1">
      <alignment wrapText="1"/>
    </xf>
    <xf numFmtId="171" fontId="66" fillId="3" borderId="50" xfId="1" applyNumberFormat="1" applyFont="1" applyFill="1" applyBorder="1" applyAlignment="1">
      <alignment wrapText="1"/>
    </xf>
    <xf numFmtId="0" fontId="38" fillId="4" borderId="13" xfId="0" applyFont="1" applyFill="1" applyBorder="1" applyAlignment="1">
      <alignment vertical="center"/>
    </xf>
    <xf numFmtId="0" fontId="34" fillId="4" borderId="12" xfId="0" applyFont="1" applyFill="1" applyBorder="1" applyAlignment="1">
      <alignment vertical="center" wrapText="1"/>
    </xf>
    <xf numFmtId="43" fontId="6" fillId="0" borderId="31" xfId="1" applyFont="1" applyBorder="1" applyAlignment="1">
      <alignment horizontal="right" vertical="center"/>
    </xf>
    <xf numFmtId="43" fontId="11" fillId="5" borderId="3" xfId="0" applyNumberFormat="1" applyFont="1" applyFill="1" applyBorder="1" applyAlignment="1">
      <alignment wrapText="1"/>
    </xf>
    <xf numFmtId="0" fontId="11" fillId="5" borderId="9" xfId="0" applyFont="1" applyFill="1" applyBorder="1" applyAlignment="1">
      <alignment horizontal="right" wrapText="1"/>
    </xf>
    <xf numFmtId="0" fontId="6" fillId="0" borderId="8" xfId="0" applyFont="1" applyBorder="1"/>
    <xf numFmtId="0" fontId="6" fillId="0" borderId="9" xfId="0" applyFont="1" applyBorder="1"/>
    <xf numFmtId="43" fontId="0" fillId="5" borderId="0" xfId="0" applyNumberFormat="1" applyFill="1"/>
    <xf numFmtId="10" fontId="11" fillId="5" borderId="0" xfId="4" applyNumberFormat="1" applyFont="1" applyFill="1" applyBorder="1" applyAlignment="1">
      <alignment horizontal="right" wrapText="1"/>
    </xf>
    <xf numFmtId="9" fontId="11" fillId="0" borderId="0" xfId="4" applyFont="1" applyAlignment="1">
      <alignment wrapText="1"/>
    </xf>
    <xf numFmtId="10" fontId="11" fillId="0" borderId="0" xfId="0" applyNumberFormat="1" applyFont="1" applyAlignment="1">
      <alignment wrapText="1"/>
    </xf>
    <xf numFmtId="2" fontId="73" fillId="0" borderId="0" xfId="0" applyNumberFormat="1" applyFont="1" applyAlignment="1">
      <alignment horizontal="center" vertical="center"/>
    </xf>
    <xf numFmtId="43" fontId="8" fillId="5" borderId="0" xfId="0" applyNumberFormat="1" applyFont="1" applyFill="1" applyAlignment="1">
      <alignment vertical="center"/>
    </xf>
    <xf numFmtId="2" fontId="6" fillId="0" borderId="5" xfId="0" applyNumberFormat="1" applyFont="1" applyBorder="1" applyAlignment="1">
      <alignment horizontal="center" vertical="center"/>
    </xf>
    <xf numFmtId="9" fontId="11" fillId="0" borderId="9" xfId="0" applyNumberFormat="1" applyFont="1" applyBorder="1" applyAlignment="1">
      <alignment horizontal="right" wrapText="1"/>
    </xf>
    <xf numFmtId="9" fontId="11" fillId="0" borderId="10" xfId="0" applyNumberFormat="1" applyFont="1" applyBorder="1" applyAlignment="1">
      <alignment horizontal="right" wrapText="1"/>
    </xf>
    <xf numFmtId="0" fontId="11" fillId="11" borderId="0" xfId="0" applyFont="1" applyFill="1" applyAlignment="1">
      <alignment wrapText="1"/>
    </xf>
    <xf numFmtId="1" fontId="0" fillId="0" borderId="5" xfId="0" applyNumberFormat="1" applyBorder="1" applyAlignment="1">
      <alignment wrapText="1"/>
    </xf>
    <xf numFmtId="43" fontId="10" fillId="5" borderId="0" xfId="0" applyNumberFormat="1" applyFont="1" applyFill="1" applyAlignment="1">
      <alignment vertical="center"/>
    </xf>
    <xf numFmtId="0" fontId="17" fillId="3" borderId="9" xfId="0" applyFont="1" applyFill="1" applyBorder="1" applyAlignment="1">
      <alignment vertical="center"/>
    </xf>
    <xf numFmtId="173" fontId="12" fillId="5" borderId="26" xfId="4" applyNumberFormat="1" applyFont="1" applyFill="1" applyBorder="1" applyAlignment="1">
      <alignment horizontal="center" vertical="center" wrapText="1"/>
    </xf>
    <xf numFmtId="9" fontId="6" fillId="0" borderId="0" xfId="4" applyFont="1"/>
    <xf numFmtId="164" fontId="6" fillId="0" borderId="5" xfId="1" applyNumberFormat="1" applyFont="1" applyBorder="1" applyAlignment="1">
      <alignment horizontal="center" vertical="center"/>
    </xf>
    <xf numFmtId="173" fontId="6" fillId="0" borderId="0" xfId="4" applyNumberFormat="1" applyFont="1"/>
    <xf numFmtId="164" fontId="5" fillId="0" borderId="9" xfId="1" applyNumberFormat="1" applyFont="1" applyBorder="1" applyAlignment="1">
      <alignment horizontal="center" vertical="center"/>
    </xf>
    <xf numFmtId="164" fontId="0" fillId="0" borderId="5" xfId="0" applyNumberFormat="1" applyBorder="1"/>
    <xf numFmtId="164" fontId="0" fillId="0" borderId="31" xfId="0" applyNumberFormat="1" applyBorder="1"/>
    <xf numFmtId="164" fontId="5" fillId="0" borderId="10" xfId="1" applyNumberFormat="1" applyFont="1" applyBorder="1" applyAlignment="1">
      <alignment horizontal="center" vertical="center"/>
    </xf>
    <xf numFmtId="170" fontId="12" fillId="5" borderId="5" xfId="0" applyNumberFormat="1" applyFont="1" applyFill="1" applyBorder="1" applyAlignment="1">
      <alignment horizontal="center" vertical="center" wrapText="1"/>
    </xf>
    <xf numFmtId="170" fontId="12" fillId="5" borderId="15" xfId="0" applyNumberFormat="1" applyFont="1" applyFill="1" applyBorder="1" applyAlignment="1">
      <alignment horizontal="center" vertical="center" wrapText="1"/>
    </xf>
    <xf numFmtId="170" fontId="11" fillId="6" borderId="23" xfId="0" applyNumberFormat="1" applyFont="1" applyFill="1" applyBorder="1" applyAlignment="1">
      <alignment horizontal="center"/>
    </xf>
    <xf numFmtId="170" fontId="11" fillId="6" borderId="21" xfId="0" applyNumberFormat="1" applyFont="1" applyFill="1" applyBorder="1" applyAlignment="1">
      <alignment horizontal="center" vertical="center"/>
    </xf>
    <xf numFmtId="10" fontId="12" fillId="5" borderId="5" xfId="4" applyNumberFormat="1" applyFont="1" applyFill="1" applyBorder="1" applyAlignment="1">
      <alignment horizontal="center" vertical="center" wrapText="1"/>
    </xf>
    <xf numFmtId="0" fontId="11" fillId="8" borderId="5" xfId="0" applyFont="1" applyFill="1" applyBorder="1" applyAlignment="1">
      <alignment horizontal="left" vertical="center"/>
    </xf>
    <xf numFmtId="0" fontId="12" fillId="8" borderId="5" xfId="0" applyFont="1" applyFill="1" applyBorder="1" applyAlignment="1">
      <alignment horizontal="left" vertical="center"/>
    </xf>
    <xf numFmtId="0" fontId="11" fillId="8" borderId="9" xfId="0" applyFont="1" applyFill="1" applyBorder="1" applyAlignment="1">
      <alignment horizontal="left" vertical="center"/>
    </xf>
    <xf numFmtId="164" fontId="6" fillId="5" borderId="5" xfId="1" applyNumberFormat="1" applyFont="1" applyFill="1" applyBorder="1" applyAlignment="1">
      <alignment horizontal="center" vertical="center"/>
    </xf>
    <xf numFmtId="171" fontId="11" fillId="5" borderId="5" xfId="0" applyNumberFormat="1" applyFont="1" applyFill="1" applyBorder="1" applyAlignment="1">
      <alignment wrapText="1"/>
    </xf>
    <xf numFmtId="2" fontId="11" fillId="5" borderId="5" xfId="0" applyNumberFormat="1" applyFont="1" applyFill="1" applyBorder="1" applyAlignment="1">
      <alignment wrapText="1"/>
    </xf>
    <xf numFmtId="2" fontId="11" fillId="5" borderId="9" xfId="0" applyNumberFormat="1" applyFont="1" applyFill="1" applyBorder="1" applyAlignment="1">
      <alignment wrapText="1"/>
    </xf>
    <xf numFmtId="172" fontId="11" fillId="5" borderId="3" xfId="0" applyNumberFormat="1" applyFont="1" applyFill="1" applyBorder="1" applyAlignment="1">
      <alignment wrapText="1"/>
    </xf>
    <xf numFmtId="43" fontId="11" fillId="5" borderId="10" xfId="0" applyNumberFormat="1" applyFont="1" applyFill="1" applyBorder="1" applyAlignment="1">
      <alignment wrapText="1"/>
    </xf>
    <xf numFmtId="0" fontId="38" fillId="4" borderId="2" xfId="0" applyFont="1" applyFill="1" applyBorder="1" applyAlignment="1">
      <alignment vertical="center" wrapText="1"/>
    </xf>
    <xf numFmtId="173" fontId="6" fillId="0" borderId="3" xfId="4" applyNumberFormat="1" applyFont="1" applyBorder="1" applyAlignment="1">
      <alignment horizontal="right" vertical="center"/>
    </xf>
    <xf numFmtId="173" fontId="6" fillId="0" borderId="10" xfId="4" applyNumberFormat="1" applyFont="1" applyBorder="1" applyAlignment="1">
      <alignment horizontal="right" vertical="center"/>
    </xf>
    <xf numFmtId="0" fontId="6" fillId="0" borderId="28" xfId="0" applyFont="1" applyBorder="1"/>
    <xf numFmtId="0" fontId="6" fillId="0" borderId="64" xfId="0" applyFont="1" applyBorder="1"/>
    <xf numFmtId="0" fontId="38" fillId="4" borderId="68" xfId="0" applyFont="1" applyFill="1" applyBorder="1" applyAlignment="1">
      <alignment vertical="center"/>
    </xf>
    <xf numFmtId="0" fontId="38" fillId="4" borderId="68" xfId="0" applyFont="1" applyFill="1" applyBorder="1" applyAlignment="1">
      <alignment vertical="center" wrapText="1"/>
    </xf>
    <xf numFmtId="0" fontId="0" fillId="0" borderId="39" xfId="0" applyBorder="1"/>
    <xf numFmtId="43" fontId="5" fillId="0" borderId="31" xfId="1" applyFont="1" applyBorder="1" applyAlignment="1">
      <alignment horizontal="center" vertical="center"/>
    </xf>
    <xf numFmtId="0" fontId="0" fillId="0" borderId="69" xfId="0" applyBorder="1"/>
    <xf numFmtId="0" fontId="10" fillId="4" borderId="70" xfId="0" applyFont="1" applyFill="1" applyBorder="1" applyAlignment="1">
      <alignment vertical="center" wrapText="1"/>
    </xf>
    <xf numFmtId="9" fontId="5" fillId="0" borderId="10" xfId="4" applyFont="1" applyBorder="1" applyAlignment="1">
      <alignment horizontal="right" vertical="center"/>
    </xf>
    <xf numFmtId="9" fontId="12" fillId="5" borderId="3" xfId="4" applyFont="1" applyFill="1" applyBorder="1" applyAlignment="1">
      <alignment horizontal="center" vertical="center" wrapText="1"/>
    </xf>
    <xf numFmtId="0" fontId="71" fillId="0" borderId="5" xfId="8" applyFont="1" applyBorder="1" applyAlignment="1">
      <alignment horizontal="left" vertical="top"/>
    </xf>
    <xf numFmtId="0" fontId="71" fillId="0" borderId="5" xfId="8" applyFont="1" applyBorder="1" applyAlignment="1">
      <alignment horizontal="center" vertical="center" wrapText="1"/>
    </xf>
    <xf numFmtId="0" fontId="70" fillId="5" borderId="5" xfId="8" applyFont="1" applyFill="1" applyBorder="1" applyAlignment="1">
      <alignment horizontal="left" vertical="top"/>
    </xf>
    <xf numFmtId="0" fontId="71" fillId="5" borderId="5" xfId="8" applyFont="1" applyFill="1" applyBorder="1" applyAlignment="1">
      <alignment horizontal="left" vertical="center"/>
    </xf>
    <xf numFmtId="0" fontId="71" fillId="0" borderId="5" xfId="8" applyFont="1" applyBorder="1" applyAlignment="1">
      <alignment horizontal="center" vertical="center"/>
    </xf>
    <xf numFmtId="164" fontId="71" fillId="0" borderId="5" xfId="1" applyNumberFormat="1" applyFont="1" applyBorder="1" applyAlignment="1">
      <alignment horizontal="center" vertical="center"/>
    </xf>
    <xf numFmtId="169" fontId="0" fillId="0" borderId="0" xfId="0" applyNumberFormat="1"/>
    <xf numFmtId="0" fontId="11" fillId="5" borderId="15" xfId="0" applyFont="1" applyFill="1" applyBorder="1" applyAlignment="1">
      <alignment horizontal="center" vertical="center" wrapText="1"/>
    </xf>
    <xf numFmtId="1" fontId="11" fillId="5" borderId="17" xfId="0" applyNumberFormat="1" applyFont="1" applyFill="1" applyBorder="1" applyAlignment="1">
      <alignment horizontal="center" vertical="center" wrapText="1"/>
    </xf>
    <xf numFmtId="0" fontId="70" fillId="5" borderId="5" xfId="8" applyFont="1" applyFill="1" applyBorder="1" applyAlignment="1">
      <alignment horizontal="left" vertical="center"/>
    </xf>
    <xf numFmtId="0" fontId="27" fillId="5" borderId="5" xfId="8"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41" fillId="3" borderId="0" xfId="0" applyFont="1" applyFill="1" applyAlignment="1">
      <alignment horizontal="left" vertical="center"/>
    </xf>
    <xf numFmtId="0" fontId="10" fillId="5" borderId="6" xfId="0" applyFont="1" applyFill="1" applyBorder="1" applyAlignment="1">
      <alignment horizontal="left" vertical="center"/>
    </xf>
    <xf numFmtId="0" fontId="19" fillId="0" borderId="0" xfId="0" applyFont="1" applyAlignment="1">
      <alignment horizontal="left" vertical="center"/>
    </xf>
    <xf numFmtId="0" fontId="6" fillId="0" borderId="0" xfId="0" applyFont="1" applyAlignment="1">
      <alignment horizontal="left" vertical="center"/>
    </xf>
    <xf numFmtId="0" fontId="74" fillId="9" borderId="4" xfId="2" applyFont="1" applyFill="1" applyBorder="1" applyAlignment="1">
      <alignment horizontal="left" vertical="center" wrapText="1"/>
    </xf>
    <xf numFmtId="0" fontId="75" fillId="3" borderId="4" xfId="2" applyFont="1" applyFill="1" applyBorder="1" applyAlignment="1">
      <alignment horizontal="left" vertical="center" wrapText="1"/>
    </xf>
    <xf numFmtId="0" fontId="75" fillId="11" borderId="4" xfId="2" applyFont="1" applyFill="1" applyBorder="1" applyAlignment="1">
      <alignment horizontal="left" vertical="center" wrapText="1"/>
    </xf>
    <xf numFmtId="0" fontId="76" fillId="5" borderId="4" xfId="2" applyFont="1" applyFill="1" applyBorder="1" applyAlignment="1">
      <alignment horizontal="left" vertical="center" wrapText="1"/>
    </xf>
    <xf numFmtId="0" fontId="76" fillId="5" borderId="8" xfId="2" applyFont="1" applyFill="1" applyBorder="1" applyAlignment="1">
      <alignment horizontal="left" vertical="center" wrapText="1"/>
    </xf>
    <xf numFmtId="0" fontId="38" fillId="4" borderId="6" xfId="0" applyFont="1" applyFill="1" applyBorder="1" applyAlignment="1">
      <alignment vertical="center" wrapText="1"/>
    </xf>
    <xf numFmtId="9" fontId="3" fillId="0" borderId="10" xfId="0" applyNumberFormat="1" applyFont="1" applyBorder="1"/>
    <xf numFmtId="0" fontId="6" fillId="0" borderId="16" xfId="0" applyFont="1" applyBorder="1"/>
    <xf numFmtId="173" fontId="5" fillId="0" borderId="59" xfId="4" applyNumberFormat="1" applyFont="1" applyBorder="1" applyAlignment="1">
      <alignment horizontal="right" vertical="center"/>
    </xf>
    <xf numFmtId="0" fontId="34" fillId="4" borderId="7" xfId="0" applyFont="1" applyFill="1" applyBorder="1" applyAlignment="1">
      <alignment vertical="center" wrapText="1"/>
    </xf>
    <xf numFmtId="0" fontId="34" fillId="4" borderId="9" xfId="0" applyFont="1" applyFill="1" applyBorder="1" applyAlignment="1">
      <alignment vertical="center" wrapText="1"/>
    </xf>
    <xf numFmtId="0" fontId="6" fillId="0" borderId="39" xfId="0" applyFont="1" applyBorder="1"/>
    <xf numFmtId="173" fontId="6" fillId="0" borderId="26" xfId="4" applyNumberFormat="1" applyFont="1" applyBorder="1" applyAlignment="1">
      <alignment horizontal="right" vertical="center"/>
    </xf>
    <xf numFmtId="164" fontId="6" fillId="0" borderId="30" xfId="1" applyNumberFormat="1" applyFont="1" applyBorder="1" applyAlignment="1">
      <alignment horizontal="center" vertical="center"/>
    </xf>
    <xf numFmtId="173" fontId="6" fillId="0" borderId="72" xfId="4" applyNumberFormat="1" applyFont="1" applyBorder="1" applyAlignment="1">
      <alignment horizontal="center" vertical="center"/>
    </xf>
    <xf numFmtId="173" fontId="6" fillId="0" borderId="59" xfId="4" applyNumberFormat="1" applyFont="1" applyBorder="1" applyAlignment="1">
      <alignment horizontal="center" vertical="center"/>
    </xf>
    <xf numFmtId="0" fontId="34" fillId="4" borderId="31" xfId="0" applyFont="1" applyFill="1" applyBorder="1" applyAlignment="1">
      <alignment vertical="center" wrapText="1"/>
    </xf>
    <xf numFmtId="173" fontId="5" fillId="0" borderId="71" xfId="0" applyNumberFormat="1" applyFont="1" applyBorder="1" applyAlignment="1">
      <alignment horizontal="right" vertical="center"/>
    </xf>
    <xf numFmtId="9" fontId="34" fillId="6" borderId="10" xfId="4" applyFont="1" applyFill="1" applyBorder="1" applyAlignment="1">
      <alignment horizontal="center" vertical="center" wrapText="1"/>
    </xf>
    <xf numFmtId="0" fontId="55" fillId="15" borderId="5" xfId="0" applyFont="1" applyFill="1" applyBorder="1" applyAlignment="1">
      <alignment horizontal="center" vertical="center" wrapText="1"/>
    </xf>
    <xf numFmtId="1" fontId="11" fillId="0" borderId="5" xfId="0" applyNumberFormat="1" applyFont="1" applyBorder="1" applyAlignment="1">
      <alignment horizontal="center" vertical="center"/>
    </xf>
    <xf numFmtId="1" fontId="11" fillId="0" borderId="5"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15" xfId="0" applyNumberFormat="1" applyFont="1" applyBorder="1" applyAlignment="1">
      <alignment horizontal="center" vertical="center"/>
    </xf>
    <xf numFmtId="1" fontId="11" fillId="0" borderId="47" xfId="0" applyNumberFormat="1" applyFont="1" applyBorder="1" applyAlignment="1">
      <alignment horizontal="center" vertical="center" wrapText="1"/>
    </xf>
    <xf numFmtId="174" fontId="0" fillId="0" borderId="0" xfId="4" applyNumberFormat="1" applyFont="1"/>
    <xf numFmtId="169" fontId="11" fillId="5" borderId="9" xfId="0" applyNumberFormat="1" applyFont="1" applyFill="1" applyBorder="1" applyAlignment="1">
      <alignment horizontal="center" vertical="center"/>
    </xf>
    <xf numFmtId="0" fontId="0" fillId="5" borderId="5" xfId="0" applyFill="1" applyBorder="1" applyAlignment="1">
      <alignment horizontal="center" vertical="center" wrapText="1"/>
    </xf>
    <xf numFmtId="0" fontId="0" fillId="5" borderId="5" xfId="0" applyFill="1" applyBorder="1"/>
    <xf numFmtId="0" fontId="3" fillId="4" borderId="5" xfId="0" applyFont="1" applyFill="1" applyBorder="1" applyAlignment="1">
      <alignment horizontal="center" vertical="center"/>
    </xf>
    <xf numFmtId="2" fontId="12" fillId="5" borderId="5" xfId="0" applyNumberFormat="1" applyFont="1" applyFill="1" applyBorder="1" applyAlignment="1">
      <alignment vertical="center" wrapText="1"/>
    </xf>
    <xf numFmtId="164" fontId="6" fillId="0" borderId="9" xfId="1" applyNumberFormat="1" applyFont="1" applyBorder="1" applyAlignment="1">
      <alignment horizontal="center" vertical="center"/>
    </xf>
    <xf numFmtId="0" fontId="0" fillId="5" borderId="5" xfId="0" applyFill="1" applyBorder="1" applyAlignment="1">
      <alignment horizontal="center" vertical="center"/>
    </xf>
    <xf numFmtId="0" fontId="0" fillId="5" borderId="31" xfId="0" applyFill="1" applyBorder="1"/>
    <xf numFmtId="0" fontId="0" fillId="5" borderId="31" xfId="0" applyFill="1" applyBorder="1" applyAlignment="1">
      <alignment horizontal="center" vertical="center"/>
    </xf>
    <xf numFmtId="0" fontId="55" fillId="5" borderId="5" xfId="7" applyFont="1" applyFill="1" applyBorder="1" applyAlignment="1">
      <alignment wrapText="1"/>
    </xf>
    <xf numFmtId="0" fontId="55" fillId="5" borderId="5" xfId="7" applyFont="1" applyFill="1" applyBorder="1"/>
    <xf numFmtId="164" fontId="3" fillId="5" borderId="5" xfId="1" applyNumberFormat="1" applyFont="1" applyFill="1" applyBorder="1" applyAlignment="1">
      <alignment horizontal="center" vertical="center"/>
    </xf>
    <xf numFmtId="9" fontId="34" fillId="6" borderId="10" xfId="4" applyFont="1" applyFill="1" applyBorder="1" applyAlignment="1">
      <alignment horizontal="right" vertical="center" wrapText="1"/>
    </xf>
    <xf numFmtId="173" fontId="0" fillId="0" borderId="2" xfId="4" applyNumberFormat="1" applyFont="1" applyFill="1" applyBorder="1" applyAlignment="1">
      <alignment horizontal="center" vertical="center"/>
    </xf>
    <xf numFmtId="173" fontId="0" fillId="0" borderId="3" xfId="4" applyNumberFormat="1" applyFont="1" applyFill="1" applyBorder="1" applyAlignment="1">
      <alignment horizontal="center" vertical="center"/>
    </xf>
    <xf numFmtId="173" fontId="0" fillId="0" borderId="10" xfId="4" applyNumberFormat="1" applyFont="1" applyFill="1" applyBorder="1" applyAlignment="1">
      <alignment horizontal="center" vertical="center"/>
    </xf>
    <xf numFmtId="0" fontId="0" fillId="0" borderId="64" xfId="0" applyBorder="1" applyAlignment="1">
      <alignment vertical="center"/>
    </xf>
    <xf numFmtId="0" fontId="11" fillId="0" borderId="12" xfId="0" applyFont="1" applyBorder="1" applyAlignment="1">
      <alignment vertical="center"/>
    </xf>
    <xf numFmtId="0" fontId="11" fillId="5" borderId="12" xfId="0" applyFont="1" applyFill="1" applyBorder="1" applyAlignment="1">
      <alignment vertical="center"/>
    </xf>
    <xf numFmtId="0" fontId="11" fillId="6" borderId="12" xfId="0" applyFont="1" applyFill="1" applyBorder="1" applyAlignment="1">
      <alignment vertical="center"/>
    </xf>
    <xf numFmtId="0" fontId="11" fillId="6" borderId="12" xfId="0" applyFont="1" applyFill="1" applyBorder="1" applyAlignment="1">
      <alignment vertical="center" wrapText="1"/>
    </xf>
    <xf numFmtId="0" fontId="14" fillId="0" borderId="16" xfId="0" applyFont="1" applyBorder="1"/>
    <xf numFmtId="0" fontId="10" fillId="4" borderId="46" xfId="0" applyFont="1" applyFill="1" applyBorder="1" applyAlignment="1">
      <alignment vertical="center" wrapText="1"/>
    </xf>
    <xf numFmtId="0" fontId="0" fillId="0" borderId="73" xfId="0" applyBorder="1"/>
    <xf numFmtId="9" fontId="12" fillId="5" borderId="30" xfId="4" applyFont="1" applyFill="1" applyBorder="1" applyAlignment="1">
      <alignment horizontal="center" vertical="center" wrapText="1"/>
    </xf>
    <xf numFmtId="173" fontId="12" fillId="5" borderId="10" xfId="4" applyNumberFormat="1" applyFont="1" applyFill="1" applyBorder="1" applyAlignment="1">
      <alignment horizontal="center" vertical="center" wrapText="1"/>
    </xf>
    <xf numFmtId="164" fontId="10" fillId="6" borderId="30" xfId="1" applyNumberFormat="1" applyFont="1" applyFill="1" applyBorder="1" applyAlignment="1">
      <alignment horizontal="center" vertical="center" wrapText="1"/>
    </xf>
    <xf numFmtId="0" fontId="0" fillId="0" borderId="74" xfId="0" applyBorder="1"/>
    <xf numFmtId="164" fontId="10" fillId="6" borderId="75" xfId="1" applyNumberFormat="1" applyFont="1" applyFill="1" applyBorder="1" applyAlignment="1">
      <alignment horizontal="center" vertical="center" wrapText="1"/>
    </xf>
    <xf numFmtId="0" fontId="11" fillId="6" borderId="4" xfId="0" applyFont="1" applyFill="1" applyBorder="1" applyAlignment="1">
      <alignment vertical="center" wrapText="1"/>
    </xf>
    <xf numFmtId="164" fontId="10" fillId="6" borderId="76" xfId="1" applyNumberFormat="1" applyFont="1" applyFill="1" applyBorder="1" applyAlignment="1">
      <alignment horizontal="center" vertical="center" wrapText="1"/>
    </xf>
    <xf numFmtId="9" fontId="12" fillId="5" borderId="10" xfId="4" applyFont="1" applyFill="1" applyBorder="1" applyAlignment="1">
      <alignment horizontal="center" vertical="center" wrapText="1"/>
    </xf>
    <xf numFmtId="164" fontId="40" fillId="8" borderId="9" xfId="1" applyNumberFormat="1" applyFont="1" applyFill="1" applyBorder="1" applyAlignment="1">
      <alignment horizontal="center" vertical="center" wrapText="1"/>
    </xf>
    <xf numFmtId="164" fontId="40" fillId="8" borderId="10" xfId="0" applyNumberFormat="1" applyFont="1" applyFill="1" applyBorder="1" applyAlignment="1">
      <alignment horizontal="center" vertical="center"/>
    </xf>
    <xf numFmtId="0" fontId="20" fillId="2" borderId="1" xfId="0" applyFont="1" applyFill="1" applyBorder="1" applyAlignment="1">
      <alignment vertical="center"/>
    </xf>
    <xf numFmtId="0" fontId="29" fillId="2" borderId="11" xfId="0" applyFont="1" applyFill="1" applyBorder="1" applyAlignment="1">
      <alignment vertical="center"/>
    </xf>
    <xf numFmtId="0" fontId="29" fillId="2" borderId="24" xfId="0" applyFont="1" applyFill="1" applyBorder="1" applyAlignment="1">
      <alignment vertical="center"/>
    </xf>
    <xf numFmtId="0" fontId="5" fillId="9" borderId="77" xfId="0" applyFont="1" applyFill="1" applyBorder="1" applyAlignment="1">
      <alignment vertical="center"/>
    </xf>
    <xf numFmtId="0" fontId="5" fillId="9" borderId="38" xfId="0" applyFont="1" applyFill="1" applyBorder="1" applyAlignment="1">
      <alignment vertical="center"/>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8" fillId="0" borderId="4" xfId="0" applyFont="1" applyBorder="1" applyAlignment="1">
      <alignment vertical="center" wrapText="1"/>
    </xf>
    <xf numFmtId="0" fontId="0" fillId="5" borderId="3" xfId="0" applyFill="1" applyBorder="1" applyAlignment="1">
      <alignment wrapText="1"/>
    </xf>
    <xf numFmtId="0" fontId="0" fillId="0" borderId="3" xfId="0" applyBorder="1" applyAlignment="1">
      <alignment horizontal="left" vertical="center" wrapText="1"/>
    </xf>
    <xf numFmtId="0" fontId="8" fillId="0" borderId="48" xfId="0" applyFont="1" applyBorder="1" applyAlignment="1">
      <alignment vertical="center" wrapText="1"/>
    </xf>
    <xf numFmtId="0" fontId="0" fillId="5" borderId="59" xfId="0" applyFill="1" applyBorder="1" applyAlignment="1">
      <alignment wrapText="1"/>
    </xf>
    <xf numFmtId="0" fontId="3" fillId="4" borderId="49" xfId="0" applyFont="1" applyFill="1" applyBorder="1" applyAlignment="1">
      <alignment vertical="center"/>
    </xf>
    <xf numFmtId="0" fontId="3" fillId="4" borderId="37" xfId="0" applyFont="1" applyFill="1" applyBorder="1" applyAlignment="1">
      <alignment vertical="center"/>
    </xf>
    <xf numFmtId="164" fontId="26" fillId="4" borderId="9" xfId="1" applyNumberFormat="1" applyFont="1" applyFill="1" applyBorder="1" applyAlignment="1">
      <alignment horizontal="center"/>
    </xf>
    <xf numFmtId="43" fontId="26" fillId="4" borderId="9" xfId="1" applyFont="1" applyFill="1" applyBorder="1" applyAlignment="1">
      <alignment horizontal="center"/>
    </xf>
    <xf numFmtId="0" fontId="3" fillId="4" borderId="71" xfId="0" applyFont="1" applyFill="1" applyBorder="1" applyAlignment="1">
      <alignment vertical="center"/>
    </xf>
    <xf numFmtId="1" fontId="0" fillId="0" borderId="3" xfId="0" applyNumberFormat="1" applyBorder="1" applyAlignment="1">
      <alignment horizontal="center" vertical="center"/>
    </xf>
    <xf numFmtId="1" fontId="0" fillId="0" borderId="10" xfId="0" applyNumberFormat="1" applyBorder="1" applyAlignment="1">
      <alignment horizontal="center" vertical="center"/>
    </xf>
    <xf numFmtId="0" fontId="70" fillId="15" borderId="5" xfId="8" applyFont="1" applyFill="1" applyBorder="1" applyAlignment="1">
      <alignment horizontal="center" vertical="center"/>
    </xf>
    <xf numFmtId="0" fontId="70" fillId="15" borderId="5" xfId="8" applyFont="1" applyFill="1" applyBorder="1" applyAlignment="1">
      <alignment horizontal="center" vertical="top" wrapText="1"/>
    </xf>
    <xf numFmtId="0" fontId="70" fillId="15" borderId="5" xfId="8" applyFont="1" applyFill="1" applyBorder="1" applyAlignment="1">
      <alignment horizontal="center" vertical="center" wrapText="1"/>
    </xf>
    <xf numFmtId="0" fontId="70" fillId="15" borderId="5" xfId="8" applyFont="1" applyFill="1" applyBorder="1" applyAlignment="1">
      <alignment horizontal="left" vertical="top"/>
    </xf>
    <xf numFmtId="0" fontId="70" fillId="15" borderId="5" xfId="8" applyFont="1" applyFill="1" applyBorder="1" applyAlignment="1">
      <alignment horizontal="left" vertical="top" wrapText="1"/>
    </xf>
    <xf numFmtId="0" fontId="70" fillId="15" borderId="5" xfId="8" applyFont="1" applyFill="1" applyBorder="1" applyAlignment="1">
      <alignment vertical="center"/>
    </xf>
    <xf numFmtId="0" fontId="77" fillId="5" borderId="0" xfId="0" applyFont="1" applyFill="1" applyAlignment="1">
      <alignment horizontal="left" vertical="center"/>
    </xf>
    <xf numFmtId="0" fontId="6" fillId="5" borderId="0" xfId="0" applyFont="1" applyFill="1" applyAlignment="1">
      <alignment vertical="center"/>
    </xf>
    <xf numFmtId="0" fontId="19" fillId="5" borderId="51" xfId="0" applyFont="1" applyFill="1" applyBorder="1" applyAlignment="1">
      <alignment vertical="center" wrapText="1"/>
    </xf>
    <xf numFmtId="0" fontId="19" fillId="5" borderId="0" xfId="0" applyFont="1" applyFill="1" applyAlignment="1">
      <alignment vertical="center" wrapText="1"/>
    </xf>
    <xf numFmtId="0" fontId="6" fillId="5" borderId="52" xfId="0" applyFont="1" applyFill="1" applyBorder="1" applyAlignment="1">
      <alignment vertical="center" wrapText="1"/>
    </xf>
    <xf numFmtId="0" fontId="34" fillId="5" borderId="0" xfId="0" applyFont="1" applyFill="1" applyAlignment="1">
      <alignment vertical="center" wrapText="1"/>
    </xf>
    <xf numFmtId="0" fontId="33" fillId="5" borderId="0" xfId="0" applyFont="1" applyFill="1" applyAlignment="1">
      <alignment vertical="center" wrapText="1"/>
    </xf>
    <xf numFmtId="0" fontId="36" fillId="5" borderId="0" xfId="0" applyFont="1" applyFill="1"/>
    <xf numFmtId="0" fontId="6" fillId="5" borderId="16" xfId="0" applyFont="1" applyFill="1" applyBorder="1" applyAlignment="1">
      <alignment vertical="center" wrapText="1"/>
    </xf>
    <xf numFmtId="0" fontId="77" fillId="5" borderId="0" xfId="0" applyFont="1" applyFill="1" applyAlignment="1">
      <alignment horizontal="center" vertical="center"/>
    </xf>
    <xf numFmtId="167" fontId="34" fillId="5" borderId="53" xfId="0" applyNumberFormat="1" applyFont="1" applyFill="1" applyBorder="1" applyAlignment="1">
      <alignment horizontal="left" vertical="center" wrapText="1"/>
    </xf>
    <xf numFmtId="0" fontId="34" fillId="5" borderId="53" xfId="0" applyFont="1" applyFill="1" applyBorder="1" applyAlignment="1">
      <alignment vertical="center" wrapText="1"/>
    </xf>
    <xf numFmtId="0" fontId="6" fillId="5" borderId="53" xfId="0" applyFont="1" applyFill="1" applyBorder="1" applyAlignment="1">
      <alignment vertical="center"/>
    </xf>
    <xf numFmtId="0" fontId="6" fillId="5" borderId="54" xfId="0" applyFont="1" applyFill="1" applyBorder="1" applyAlignment="1">
      <alignment vertical="center"/>
    </xf>
    <xf numFmtId="0" fontId="18" fillId="0" borderId="5" xfId="2" applyFont="1" applyFill="1" applyBorder="1" applyAlignment="1">
      <alignment vertical="center"/>
    </xf>
    <xf numFmtId="0" fontId="11" fillId="0" borderId="5" xfId="0" applyFont="1" applyBorder="1" applyAlignment="1">
      <alignment horizontal="center" vertical="center"/>
    </xf>
    <xf numFmtId="164" fontId="11" fillId="0" borderId="5" xfId="1" applyNumberFormat="1" applyFont="1" applyFill="1" applyBorder="1" applyAlignment="1">
      <alignment vertical="center"/>
    </xf>
    <xf numFmtId="2" fontId="12" fillId="0" borderId="5" xfId="0" applyNumberFormat="1" applyFont="1" applyBorder="1" applyAlignment="1">
      <alignment vertical="center" wrapText="1"/>
    </xf>
    <xf numFmtId="1" fontId="12" fillId="0" borderId="3" xfId="0" applyNumberFormat="1" applyFont="1" applyBorder="1" applyAlignment="1">
      <alignment horizontal="center" vertical="center" wrapText="1"/>
    </xf>
    <xf numFmtId="0" fontId="11" fillId="0" borderId="4" xfId="3" applyFont="1" applyFill="1" applyBorder="1" applyAlignment="1">
      <alignment vertical="center"/>
    </xf>
    <xf numFmtId="0" fontId="15" fillId="0" borderId="5" xfId="2" applyFill="1" applyBorder="1" applyAlignment="1">
      <alignment vertical="center"/>
    </xf>
    <xf numFmtId="164" fontId="12" fillId="0" borderId="5" xfId="1" applyNumberFormat="1" applyFont="1" applyFill="1" applyBorder="1" applyAlignment="1">
      <alignment wrapText="1"/>
    </xf>
    <xf numFmtId="0" fontId="12" fillId="5" borderId="4" xfId="0" applyFont="1" applyFill="1" applyBorder="1" applyAlignment="1">
      <alignment vertical="center" wrapText="1"/>
    </xf>
    <xf numFmtId="0" fontId="12" fillId="5" borderId="5" xfId="0" applyFont="1" applyFill="1" applyBorder="1" applyAlignment="1">
      <alignment vertical="center" wrapText="1"/>
    </xf>
    <xf numFmtId="1" fontId="12" fillId="5" borderId="5" xfId="0" applyNumberFormat="1" applyFont="1" applyFill="1" applyBorder="1" applyAlignment="1">
      <alignment vertical="center" wrapText="1"/>
    </xf>
    <xf numFmtId="164" fontId="11" fillId="0" borderId="0" xfId="0" applyNumberFormat="1" applyFont="1" applyAlignment="1">
      <alignment wrapText="1"/>
    </xf>
    <xf numFmtId="0" fontId="19" fillId="5" borderId="0" xfId="0" applyFont="1" applyFill="1" applyAlignment="1">
      <alignment horizontal="left" vertical="center" wrapText="1"/>
    </xf>
    <xf numFmtId="0" fontId="6" fillId="5" borderId="0" xfId="0" applyFont="1" applyFill="1" applyAlignment="1">
      <alignment horizontal="left" vertical="center"/>
    </xf>
    <xf numFmtId="0" fontId="6" fillId="5" borderId="0" xfId="0" applyFont="1" applyFill="1" applyAlignment="1">
      <alignment horizontal="left" vertical="top" wrapText="1"/>
    </xf>
    <xf numFmtId="0" fontId="52" fillId="5" borderId="0" xfId="0" applyFont="1" applyFill="1" applyAlignment="1">
      <alignment horizontal="left" vertical="center" wrapText="1"/>
    </xf>
    <xf numFmtId="0" fontId="77" fillId="5" borderId="0" xfId="0" applyFont="1" applyFill="1" applyAlignment="1">
      <alignment horizontal="left" vertical="center"/>
    </xf>
    <xf numFmtId="0" fontId="6" fillId="0" borderId="3" xfId="0" applyFont="1" applyBorder="1" applyAlignment="1">
      <alignment horizontal="left" vertical="center" wrapText="1"/>
    </xf>
    <xf numFmtId="0" fontId="28" fillId="0" borderId="39" xfId="0" applyFont="1" applyBorder="1" applyAlignment="1">
      <alignment horizontal="left" wrapText="1"/>
    </xf>
    <xf numFmtId="0" fontId="28" fillId="0" borderId="0" xfId="0" applyFont="1" applyAlignment="1">
      <alignment horizontal="left" wrapText="1"/>
    </xf>
    <xf numFmtId="0" fontId="2" fillId="5" borderId="0" xfId="0" applyFont="1" applyFill="1" applyAlignment="1">
      <alignment horizontal="left" vertical="center"/>
    </xf>
    <xf numFmtId="0" fontId="7" fillId="5" borderId="0" xfId="0" applyFont="1" applyFill="1" applyAlignment="1">
      <alignment horizontal="left" vertical="center"/>
    </xf>
    <xf numFmtId="0" fontId="10" fillId="5" borderId="0" xfId="0" applyFont="1" applyFill="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1" fillId="5" borderId="0" xfId="0" applyFont="1" applyFill="1" applyAlignment="1">
      <alignment horizontal="left" vertical="center" wrapText="1"/>
    </xf>
    <xf numFmtId="0" fontId="7" fillId="2" borderId="2" xfId="0" applyFont="1" applyFill="1" applyBorder="1" applyAlignment="1">
      <alignment horizontal="center" vertical="center"/>
    </xf>
    <xf numFmtId="0" fontId="49" fillId="3" borderId="0" xfId="0" applyFont="1" applyFill="1" applyAlignment="1">
      <alignment horizontal="left" vertical="center" wrapText="1"/>
    </xf>
    <xf numFmtId="0" fontId="49" fillId="3" borderId="0" xfId="0" applyFont="1" applyFill="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48" xfId="0" applyFont="1" applyBorder="1" applyAlignment="1">
      <alignment horizontal="left" vertical="center"/>
    </xf>
    <xf numFmtId="0" fontId="3" fillId="0" borderId="8" xfId="0" applyFont="1" applyBorder="1" applyAlignment="1">
      <alignment horizontal="left" vertical="center"/>
    </xf>
    <xf numFmtId="0" fontId="29" fillId="11" borderId="6" xfId="0" applyFont="1" applyFill="1" applyBorder="1" applyAlignment="1">
      <alignment horizontal="center" vertical="center"/>
    </xf>
    <xf numFmtId="0" fontId="29" fillId="11" borderId="4" xfId="0" applyFont="1" applyFill="1" applyBorder="1" applyAlignment="1">
      <alignment horizontal="center" vertical="center"/>
    </xf>
    <xf numFmtId="0" fontId="5" fillId="6" borderId="48" xfId="0" applyFont="1" applyFill="1" applyBorder="1" applyAlignment="1">
      <alignment horizontal="center" vertical="center"/>
    </xf>
    <xf numFmtId="0" fontId="5" fillId="6" borderId="31" xfId="0" applyFont="1" applyFill="1" applyBorder="1" applyAlignment="1">
      <alignment horizontal="center" vertical="center"/>
    </xf>
    <xf numFmtId="0" fontId="72" fillId="3" borderId="4" xfId="0" applyFont="1" applyFill="1" applyBorder="1" applyAlignment="1">
      <alignment horizontal="center" vertical="center" wrapText="1"/>
    </xf>
    <xf numFmtId="0" fontId="38" fillId="9" borderId="63" xfId="0" applyFont="1" applyFill="1" applyBorder="1" applyAlignment="1">
      <alignment horizontal="center" vertical="center" wrapText="1"/>
    </xf>
    <xf numFmtId="0" fontId="38" fillId="9" borderId="60" xfId="0" applyFont="1" applyFill="1" applyBorder="1" applyAlignment="1">
      <alignment horizontal="center" vertical="center" wrapText="1"/>
    </xf>
    <xf numFmtId="0" fontId="38" fillId="9" borderId="18" xfId="0" applyFont="1" applyFill="1" applyBorder="1" applyAlignment="1">
      <alignment horizontal="center" vertical="center" wrapText="1"/>
    </xf>
    <xf numFmtId="0" fontId="33" fillId="4" borderId="32"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41"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0" fontId="41" fillId="2" borderId="7" xfId="0" applyFont="1" applyFill="1" applyBorder="1" applyAlignment="1">
      <alignment horizontal="center" vertical="center" wrapText="1"/>
    </xf>
    <xf numFmtId="0" fontId="46" fillId="2" borderId="1"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5" fillId="6" borderId="49" xfId="0" applyFont="1" applyFill="1" applyBorder="1" applyAlignment="1">
      <alignment horizontal="left" vertical="center"/>
    </xf>
    <xf numFmtId="0" fontId="5" fillId="6" borderId="37" xfId="0" applyFont="1" applyFill="1" applyBorder="1" applyAlignment="1">
      <alignment horizontal="left" vertical="center"/>
    </xf>
    <xf numFmtId="0" fontId="5" fillId="6" borderId="50" xfId="0" applyFont="1" applyFill="1" applyBorder="1" applyAlignment="1">
      <alignment horizontal="left" vertical="center"/>
    </xf>
    <xf numFmtId="0" fontId="38" fillId="3" borderId="4" xfId="0" applyFont="1" applyFill="1" applyBorder="1" applyAlignment="1">
      <alignment horizontal="center" vertical="center" wrapText="1"/>
    </xf>
    <xf numFmtId="0" fontId="29" fillId="11" borderId="65" xfId="0" applyFont="1" applyFill="1" applyBorder="1" applyAlignment="1">
      <alignment horizontal="center" vertical="center"/>
    </xf>
    <xf numFmtId="0" fontId="29" fillId="11" borderId="66" xfId="0" applyFont="1" applyFill="1" applyBorder="1" applyAlignment="1">
      <alignment horizontal="center" vertical="center"/>
    </xf>
    <xf numFmtId="0" fontId="29" fillId="11" borderId="67"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39" fillId="3" borderId="34" xfId="0" applyFont="1" applyFill="1" applyBorder="1" applyAlignment="1">
      <alignment horizontal="center" vertical="center" wrapText="1"/>
    </xf>
    <xf numFmtId="0" fontId="39" fillId="3" borderId="24" xfId="0" applyFont="1" applyFill="1" applyBorder="1" applyAlignment="1">
      <alignment horizontal="center" vertical="center" wrapText="1"/>
    </xf>
    <xf numFmtId="0" fontId="7" fillId="5" borderId="0" xfId="0" applyFont="1" applyFill="1" applyAlignment="1">
      <alignment horizontal="left" vertical="center" wrapText="1"/>
    </xf>
    <xf numFmtId="0" fontId="10" fillId="5" borderId="0" xfId="0" applyFont="1" applyFill="1" applyAlignment="1">
      <alignment horizontal="left"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8" borderId="4" xfId="0" applyFont="1" applyFill="1" applyBorder="1" applyAlignment="1">
      <alignment horizontal="left" vertical="center" wrapText="1"/>
    </xf>
    <xf numFmtId="0" fontId="9" fillId="8" borderId="5" xfId="0" applyFont="1" applyFill="1" applyBorder="1" applyAlignment="1">
      <alignment horizontal="left" vertical="center" wrapText="1"/>
    </xf>
    <xf numFmtId="0" fontId="9" fillId="8" borderId="48" xfId="0" applyFont="1" applyFill="1" applyBorder="1" applyAlignment="1">
      <alignment horizontal="left" vertical="center" wrapText="1"/>
    </xf>
    <xf numFmtId="0" fontId="9" fillId="8" borderId="60" xfId="0" applyFont="1" applyFill="1" applyBorder="1" applyAlignment="1">
      <alignment horizontal="left" vertical="center" wrapText="1"/>
    </xf>
    <xf numFmtId="0" fontId="9" fillId="8" borderId="18" xfId="0" applyFont="1" applyFill="1" applyBorder="1" applyAlignment="1">
      <alignment horizontal="left" vertical="center" wrapText="1"/>
    </xf>
    <xf numFmtId="0" fontId="9" fillId="8" borderId="20"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3" xfId="0" applyFont="1" applyFill="1" applyBorder="1" applyAlignment="1">
      <alignment horizontal="center" vertical="center"/>
    </xf>
    <xf numFmtId="0" fontId="39" fillId="3" borderId="6"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4" fillId="0" borderId="4" xfId="0" applyFont="1" applyBorder="1" applyAlignment="1">
      <alignment horizontal="left" vertical="center"/>
    </xf>
    <xf numFmtId="0" fontId="7" fillId="2" borderId="1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9" fillId="8" borderId="48" xfId="0" applyFont="1" applyFill="1" applyBorder="1" applyAlignment="1">
      <alignment horizontal="left" vertical="center"/>
    </xf>
    <xf numFmtId="0" fontId="9" fillId="8" borderId="60" xfId="0" applyFont="1" applyFill="1" applyBorder="1" applyAlignment="1">
      <alignment horizontal="left" vertical="center"/>
    </xf>
    <xf numFmtId="0" fontId="9" fillId="8" borderId="20" xfId="0" applyFont="1" applyFill="1" applyBorder="1" applyAlignment="1">
      <alignment horizontal="left" vertical="center"/>
    </xf>
    <xf numFmtId="0" fontId="9" fillId="8" borderId="4" xfId="0" applyFont="1" applyFill="1" applyBorder="1" applyAlignment="1">
      <alignment horizontal="left" vertical="center"/>
    </xf>
    <xf numFmtId="0" fontId="9" fillId="8" borderId="5" xfId="0" applyFont="1" applyFill="1" applyBorder="1" applyAlignment="1">
      <alignment horizontal="left" vertical="center"/>
    </xf>
    <xf numFmtId="0" fontId="64" fillId="0" borderId="4" xfId="0" applyFont="1" applyBorder="1" applyAlignment="1">
      <alignment horizontal="left" vertical="center" wrapText="1"/>
    </xf>
    <xf numFmtId="0" fontId="49" fillId="5" borderId="0" xfId="0" applyFont="1" applyFill="1" applyAlignment="1">
      <alignment horizontal="left" vertical="center" wrapText="1"/>
    </xf>
    <xf numFmtId="0" fontId="9" fillId="8" borderId="8" xfId="0" applyFont="1" applyFill="1" applyBorder="1" applyAlignment="1">
      <alignment horizontal="left" vertical="center" wrapText="1"/>
    </xf>
    <xf numFmtId="0" fontId="7" fillId="3" borderId="3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9" fillId="0" borderId="4" xfId="0" applyFont="1" applyBorder="1" applyAlignment="1">
      <alignment horizontal="left" vertical="center" wrapText="1"/>
    </xf>
    <xf numFmtId="0" fontId="64" fillId="0" borderId="48" xfId="0" applyFont="1" applyBorder="1" applyAlignment="1">
      <alignment horizontal="left" vertical="center" wrapText="1"/>
    </xf>
    <xf numFmtId="0" fontId="64" fillId="0" borderId="60" xfId="0" applyFont="1" applyBorder="1" applyAlignment="1">
      <alignment horizontal="left" vertical="center" wrapText="1"/>
    </xf>
    <xf numFmtId="0" fontId="7" fillId="2" borderId="26" xfId="0" applyFont="1" applyFill="1" applyBorder="1" applyAlignment="1">
      <alignment horizontal="center" vertical="center" wrapText="1"/>
    </xf>
    <xf numFmtId="0" fontId="10" fillId="8" borderId="5" xfId="0" applyFont="1" applyFill="1" applyBorder="1" applyAlignment="1">
      <alignment horizontal="center" vertical="center"/>
    </xf>
    <xf numFmtId="1" fontId="12" fillId="0" borderId="15" xfId="0" applyNumberFormat="1" applyFont="1" applyBorder="1" applyAlignment="1">
      <alignment horizontal="center"/>
    </xf>
    <xf numFmtId="1" fontId="9" fillId="5" borderId="40" xfId="0" applyNumberFormat="1" applyFont="1" applyFill="1" applyBorder="1" applyAlignment="1">
      <alignment horizontal="center" vertical="center" wrapText="1"/>
    </xf>
    <xf numFmtId="1" fontId="9" fillId="5" borderId="41" xfId="0" applyNumberFormat="1" applyFont="1" applyFill="1" applyBorder="1" applyAlignment="1">
      <alignment horizontal="center" vertical="center" wrapText="1"/>
    </xf>
    <xf numFmtId="1" fontId="9" fillId="5" borderId="42" xfId="0" applyNumberFormat="1" applyFont="1" applyFill="1" applyBorder="1" applyAlignment="1">
      <alignment horizontal="center" vertical="center" wrapText="1"/>
    </xf>
    <xf numFmtId="167" fontId="11" fillId="0" borderId="62" xfId="0" applyNumberFormat="1" applyFont="1" applyBorder="1" applyAlignment="1">
      <alignment horizontal="center" vertical="center" wrapText="1"/>
    </xf>
    <xf numFmtId="167" fontId="11" fillId="0" borderId="47" xfId="0" applyNumberFormat="1" applyFont="1" applyBorder="1" applyAlignment="1">
      <alignment horizontal="center" vertical="center" wrapText="1"/>
    </xf>
    <xf numFmtId="167" fontId="11" fillId="0" borderId="30" xfId="0" applyNumberFormat="1" applyFont="1" applyBorder="1" applyAlignment="1">
      <alignment horizontal="center" vertical="center" wrapText="1"/>
    </xf>
    <xf numFmtId="167" fontId="11" fillId="0" borderId="12" xfId="0" applyNumberFormat="1" applyFont="1" applyBorder="1" applyAlignment="1">
      <alignment horizontal="center" vertical="center" wrapText="1"/>
    </xf>
    <xf numFmtId="0" fontId="12" fillId="0" borderId="30" xfId="0" applyFont="1" applyBorder="1" applyAlignment="1">
      <alignment horizontal="center"/>
    </xf>
    <xf numFmtId="0" fontId="12" fillId="0" borderId="12" xfId="0" applyFont="1" applyBorder="1" applyAlignment="1">
      <alignment horizontal="center"/>
    </xf>
    <xf numFmtId="0" fontId="10" fillId="8" borderId="30" xfId="0" applyFont="1" applyFill="1" applyBorder="1" applyAlignment="1">
      <alignment horizontal="center" vertical="center"/>
    </xf>
    <xf numFmtId="0" fontId="10" fillId="8" borderId="12"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3" xfId="0" applyFont="1" applyFill="1" applyBorder="1" applyAlignment="1">
      <alignment horizontal="left" vertical="center"/>
    </xf>
    <xf numFmtId="0" fontId="9" fillId="8" borderId="61" xfId="0" applyFont="1" applyFill="1" applyBorder="1" applyAlignment="1">
      <alignment horizontal="left" vertical="center" wrapText="1"/>
    </xf>
    <xf numFmtId="0" fontId="9" fillId="8" borderId="12" xfId="0" applyFont="1" applyFill="1" applyBorder="1" applyAlignment="1">
      <alignment horizontal="left" vertical="center" wrapText="1"/>
    </xf>
    <xf numFmtId="0" fontId="39" fillId="3" borderId="2" xfId="0" applyFont="1" applyFill="1" applyBorder="1" applyAlignment="1">
      <alignment horizontal="center" vertical="center" wrapText="1"/>
    </xf>
    <xf numFmtId="1" fontId="9" fillId="5" borderId="22" xfId="0" applyNumberFormat="1" applyFont="1" applyFill="1" applyBorder="1" applyAlignment="1">
      <alignment horizontal="center" vertical="center" wrapText="1"/>
    </xf>
    <xf numFmtId="1" fontId="9" fillId="5" borderId="16" xfId="0" applyNumberFormat="1" applyFont="1" applyFill="1" applyBorder="1" applyAlignment="1">
      <alignment horizontal="center" vertical="center" wrapText="1"/>
    </xf>
    <xf numFmtId="1" fontId="9" fillId="5" borderId="35" xfId="0" applyNumberFormat="1" applyFont="1" applyFill="1" applyBorder="1" applyAlignment="1">
      <alignment horizontal="center" vertical="center" wrapText="1"/>
    </xf>
    <xf numFmtId="0" fontId="12" fillId="0" borderId="15" xfId="0" applyFont="1" applyBorder="1" applyAlignment="1">
      <alignment horizontal="center"/>
    </xf>
    <xf numFmtId="0" fontId="70" fillId="15" borderId="5" xfId="8" applyFont="1" applyFill="1" applyBorder="1" applyAlignment="1">
      <alignment horizontal="center" vertical="center"/>
    </xf>
    <xf numFmtId="0" fontId="70" fillId="0" borderId="5" xfId="8" applyFont="1" applyBorder="1" applyAlignment="1">
      <alignment horizontal="left" vertical="center"/>
    </xf>
    <xf numFmtId="0" fontId="70" fillId="15" borderId="5" xfId="8" applyFont="1" applyFill="1" applyBorder="1" applyAlignment="1">
      <alignment horizontal="left" vertical="center"/>
    </xf>
    <xf numFmtId="0" fontId="70" fillId="5" borderId="5" xfId="8" applyFont="1" applyFill="1" applyBorder="1" applyAlignment="1">
      <alignment horizontal="left" vertical="center"/>
    </xf>
  </cellXfs>
  <cellStyles count="9">
    <cellStyle name="Bad" xfId="6" builtinId="27"/>
    <cellStyle name="Comma" xfId="1" builtinId="3"/>
    <cellStyle name="Comma 2" xfId="5" xr:uid="{3E561D64-78B1-44F1-ADF2-B48EC6AEAE98}"/>
    <cellStyle name="Hyperlink" xfId="2" builtinId="8"/>
    <cellStyle name="Neutral" xfId="3" builtinId="28"/>
    <cellStyle name="Normal" xfId="0" builtinId="0"/>
    <cellStyle name="Normal 2" xfId="7" xr:uid="{B3EA756F-1C0F-4210-933E-66866ADB7978}"/>
    <cellStyle name="Normal 3" xfId="8" xr:uid="{E0B7668A-B2A7-4A0F-819D-EC6445D69E21}"/>
    <cellStyle name="Percent" xfId="4" builtinId="5"/>
  </cellStyles>
  <dxfs count="7">
    <dxf>
      <font>
        <color rgb="FF7030A0"/>
      </font>
      <fill>
        <patternFill>
          <bgColor rgb="FFCCCCFF"/>
        </patternFill>
      </fill>
    </dxf>
    <dxf>
      <font>
        <color theme="9" tint="-0.499984740745262"/>
      </font>
      <fill>
        <patternFill>
          <bgColor theme="9" tint="0.39994506668294322"/>
        </patternFill>
      </fill>
    </dxf>
    <dxf>
      <font>
        <color theme="2" tint="-0.749961851863155"/>
      </font>
      <fill>
        <patternFill>
          <bgColor theme="0" tint="-0.14996795556505021"/>
        </patternFill>
      </fill>
    </dxf>
    <dxf>
      <font>
        <color rgb="FF7030A0"/>
      </font>
      <fill>
        <patternFill>
          <bgColor rgb="FFCCCCFF"/>
        </patternFill>
      </fill>
    </dxf>
    <dxf>
      <font>
        <color theme="9" tint="-0.499984740745262"/>
      </font>
      <fill>
        <patternFill>
          <bgColor theme="9" tint="0.39994506668294322"/>
        </patternFill>
      </fill>
    </dxf>
    <dxf>
      <font>
        <color rgb="FF7030A0"/>
      </font>
      <fill>
        <patternFill>
          <bgColor rgb="FFCCCCFF"/>
        </patternFill>
      </fill>
    </dxf>
    <dxf>
      <font>
        <color theme="9" tint="-0.499984740745262"/>
      </font>
      <fill>
        <patternFill>
          <bgColor theme="9" tint="0.59996337778862885"/>
        </patternFill>
      </fill>
    </dxf>
  </dxfs>
  <tableStyles count="0" defaultTableStyle="TableStyleMedium2" defaultPivotStyle="PivotStyleLight16"/>
  <colors>
    <mruColors>
      <color rgb="FF008768"/>
      <color rgb="FF00353E"/>
      <color rgb="FFC4DED5"/>
      <color rgb="FFC9A6E4"/>
      <color rgb="FF59A089"/>
      <color rgb="FF33CCCC"/>
      <color rgb="FFFF61A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1.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5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6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6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6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6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7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7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72.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26222664727977E-2"/>
          <c:y val="5.1305108044329396E-2"/>
          <c:w val="0.92454480954299267"/>
          <c:h val="0.77053278644570755"/>
        </c:manualLayout>
      </c:layout>
      <c:barChart>
        <c:barDir val="bar"/>
        <c:grouping val="clustered"/>
        <c:varyColors val="0"/>
        <c:ser>
          <c:idx val="0"/>
          <c:order val="0"/>
          <c:tx>
            <c:v>Carbon Benchmark per Structure (A1-A5)</c:v>
          </c:tx>
          <c:spPr>
            <a:solidFill>
              <a:srgbClr val="008768"/>
            </a:solidFill>
            <a:ln>
              <a:solidFill>
                <a:srgbClr val="008768"/>
              </a:solidFill>
            </a:ln>
            <a:effectLst/>
          </c:spPr>
          <c:invertIfNegative val="0"/>
          <c:cat>
            <c:strRef>
              <c:f>'Benchmark summary'!$B$31:$B$42</c:f>
              <c:strCache>
                <c:ptCount val="12"/>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strCache>
            </c:strRef>
          </c:cat>
          <c:val>
            <c:numRef>
              <c:f>'Benchmark summary'!$F$31:$F$42</c:f>
              <c:numCache>
                <c:formatCode>_-* #,##0_-;\-* #,##0_-;_-* "-"??_-;_-@_-</c:formatCode>
                <c:ptCount val="12"/>
                <c:pt idx="0">
                  <c:v>593.13259999999991</c:v>
                </c:pt>
                <c:pt idx="1">
                  <c:v>249.15172500000003</c:v>
                </c:pt>
                <c:pt idx="2">
                  <c:v>664.07190000000003</c:v>
                </c:pt>
                <c:pt idx="3">
                  <c:v>1170.4831500000003</c:v>
                </c:pt>
                <c:pt idx="4">
                  <c:v>2508.0189999999993</c:v>
                </c:pt>
                <c:pt idx="5">
                  <c:v>1438.09665</c:v>
                </c:pt>
                <c:pt idx="6">
                  <c:v>221.76874999999998</c:v>
                </c:pt>
                <c:pt idx="7">
                  <c:v>4811.3369499999999</c:v>
                </c:pt>
                <c:pt idx="8">
                  <c:v>3378.9415333333332</c:v>
                </c:pt>
                <c:pt idx="9">
                  <c:v>2338.5736871285708</c:v>
                </c:pt>
                <c:pt idx="10">
                  <c:v>1605.4286999999999</c:v>
                </c:pt>
                <c:pt idx="11">
                  <c:v>457.45605999999998</c:v>
                </c:pt>
              </c:numCache>
            </c:numRef>
          </c:val>
          <c:extLst>
            <c:ext xmlns:c16="http://schemas.microsoft.com/office/drawing/2014/chart" uri="{C3380CC4-5D6E-409C-BE32-E72D297353CC}">
              <c16:uniqueId val="{00000000-FEAD-4A03-8770-D7C2069011C8}"/>
            </c:ext>
          </c:extLst>
        </c:ser>
        <c:ser>
          <c:idx val="1"/>
          <c:order val="1"/>
          <c:tx>
            <c:v>Carbon Benchmark per Structure (A1-A5,B2-B5,B6)</c:v>
          </c:tx>
          <c:spPr>
            <a:solidFill>
              <a:srgbClr val="C4DED5"/>
            </a:solidFill>
            <a:ln>
              <a:noFill/>
            </a:ln>
            <a:effectLst/>
          </c:spPr>
          <c:invertIfNegative val="0"/>
          <c:cat>
            <c:strRef>
              <c:f>'Benchmark summary'!$B$31:$B$42</c:f>
              <c:strCache>
                <c:ptCount val="12"/>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strCache>
            </c:strRef>
          </c:cat>
          <c:val>
            <c:numRef>
              <c:f>'Benchmark summary'!$G$31:$G$42</c:f>
              <c:numCache>
                <c:formatCode>0</c:formatCode>
                <c:ptCount val="12"/>
                <c:pt idx="0">
                  <c:v>593.24729999999988</c:v>
                </c:pt>
                <c:pt idx="1">
                  <c:v>249.26262500000001</c:v>
                </c:pt>
                <c:pt idx="2">
                  <c:v>664.1545666666666</c:v>
                </c:pt>
                <c:pt idx="3">
                  <c:v>1170.5563500000003</c:v>
                </c:pt>
                <c:pt idx="4">
                  <c:v>2508.1196499999987</c:v>
                </c:pt>
                <c:pt idx="5">
                  <c:v>1438.229425</c:v>
                </c:pt>
                <c:pt idx="6">
                  <c:v>221.85244999999998</c:v>
                </c:pt>
                <c:pt idx="7">
                  <c:v>4811.5767749999995</c:v>
                </c:pt>
                <c:pt idx="8">
                  <c:v>3379.1070333333337</c:v>
                </c:pt>
                <c:pt idx="9">
                  <c:v>2338.9657871285708</c:v>
                </c:pt>
                <c:pt idx="10">
                  <c:v>2362.8717999999999</c:v>
                </c:pt>
                <c:pt idx="11">
                  <c:v>1029.4499599999999</c:v>
                </c:pt>
              </c:numCache>
            </c:numRef>
          </c:val>
          <c:extLst>
            <c:ext xmlns:c16="http://schemas.microsoft.com/office/drawing/2014/chart" uri="{C3380CC4-5D6E-409C-BE32-E72D297353CC}">
              <c16:uniqueId val="{00000000-A0AF-4A32-921F-0C91EC511162}"/>
            </c:ext>
          </c:extLst>
        </c:ser>
        <c:dLbls>
          <c:showLegendKey val="0"/>
          <c:showVal val="0"/>
          <c:showCatName val="0"/>
          <c:showSerName val="0"/>
          <c:showPercent val="0"/>
          <c:showBubbleSize val="0"/>
        </c:dLbls>
        <c:gapWidth val="219"/>
        <c:axId val="1705075632"/>
        <c:axId val="1584838848"/>
      </c:barChart>
      <c:catAx>
        <c:axId val="1705075632"/>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panose="020B0604020202020204" pitchFamily="34" charset="0"/>
                    <a:cs typeface="Arial" panose="020B0604020202020204" pitchFamily="34" charset="0"/>
                  </a:rPr>
                  <a:t>Structure</a:t>
                </a:r>
                <a:r>
                  <a:rPr lang="en-GB" baseline="0">
                    <a:solidFill>
                      <a:sysClr val="windowText" lastClr="000000"/>
                    </a:solidFill>
                    <a:latin typeface="Arial" panose="020B0604020202020204" pitchFamily="34" charset="0"/>
                    <a:cs typeface="Arial" panose="020B0604020202020204" pitchFamily="34" charset="0"/>
                  </a:rPr>
                  <a:t> Type</a:t>
                </a:r>
                <a:endParaRPr lang="en-GB">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1924260104355116E-2"/>
              <c:y val="0.399147692868588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GB"/>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84838848"/>
        <c:crosses val="autoZero"/>
        <c:auto val="1"/>
        <c:lblAlgn val="ctr"/>
        <c:lblOffset val="100"/>
        <c:noMultiLvlLbl val="0"/>
      </c:catAx>
      <c:valAx>
        <c:axId val="15848388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layout>
            <c:manualLayout>
              <c:xMode val="edge"/>
              <c:yMode val="edge"/>
              <c:x val="0.53913598501336457"/>
              <c:y val="0.891175410605999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05075632"/>
        <c:crosses val="autoZero"/>
        <c:crossBetween val="between"/>
      </c:valAx>
      <c:spPr>
        <a:noFill/>
        <a:ln>
          <a:noFill/>
        </a:ln>
        <a:effectLst/>
      </c:spPr>
    </c:plotArea>
    <c:legend>
      <c:legendPos val="r"/>
      <c:layout>
        <c:manualLayout>
          <c:xMode val="edge"/>
          <c:yMode val="edge"/>
          <c:x val="0.65687077745049172"/>
          <c:y val="0.13626461038754098"/>
          <c:w val="0.29284489936487823"/>
          <c:h val="7.892718785448679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N22 Mainline</a:t>
            </a:r>
            <a:r>
              <a:rPr lang="en-GB" sz="1100" b="1" baseline="0">
                <a:solidFill>
                  <a:schemeClr val="tx1"/>
                </a:solidFill>
                <a:latin typeface="Arial" panose="020B0604020202020204" pitchFamily="34" charset="0"/>
                <a:cs typeface="Arial" panose="020B0604020202020204" pitchFamily="34" charset="0"/>
              </a:rPr>
              <a:t> (with earthworks) Carbon Breakdown</a:t>
            </a:r>
            <a:endParaRPr lang="en-GB" sz="1100" b="1">
              <a:solidFill>
                <a:schemeClr val="tx1"/>
              </a:solidFill>
              <a:latin typeface="Arial" panose="020B0604020202020204" pitchFamily="34" charset="0"/>
              <a:cs typeface="Arial" panose="020B0604020202020204" pitchFamily="34" charset="0"/>
            </a:endParaRPr>
          </a:p>
        </c:rich>
      </c:tx>
      <c:overlay val="0"/>
      <c:spPr>
        <a:noFill/>
        <a:ln>
          <a:noFill/>
        </a:ln>
        <a:effectLst/>
      </c:spPr>
    </c:title>
    <c:autoTitleDeleted val="0"/>
    <c:plotArea>
      <c:layout/>
      <c:pieChart>
        <c:varyColors val="1"/>
        <c:ser>
          <c:idx val="1"/>
          <c:order val="0"/>
          <c:spPr>
            <a:ln>
              <a:solidFill>
                <a:schemeClr val="tx1">
                  <a:lumMod val="65000"/>
                  <a:lumOff val="35000"/>
                </a:schemeClr>
              </a:solidFill>
            </a:ln>
          </c:spPr>
          <c:dPt>
            <c:idx val="0"/>
            <c:bubble3D val="0"/>
            <c:spPr>
              <a:solidFill>
                <a:schemeClr val="accent6">
                  <a:lumMod val="60000"/>
                  <a:lumOff val="40000"/>
                </a:schemeClr>
              </a:solidFill>
              <a:ln>
                <a:solidFill>
                  <a:schemeClr val="tx1">
                    <a:lumMod val="65000"/>
                    <a:lumOff val="35000"/>
                  </a:schemeClr>
                </a:solidFill>
              </a:ln>
            </c:spPr>
            <c:extLst>
              <c:ext xmlns:c16="http://schemas.microsoft.com/office/drawing/2014/chart" uri="{C3380CC4-5D6E-409C-BE32-E72D297353CC}">
                <c16:uniqueId val="{0000000B-3138-471F-BF3A-92DE25955312}"/>
              </c:ext>
            </c:extLst>
          </c:dPt>
          <c:dPt>
            <c:idx val="1"/>
            <c:bubble3D val="0"/>
            <c:spPr>
              <a:solidFill>
                <a:schemeClr val="accent6">
                  <a:lumMod val="20000"/>
                  <a:lumOff val="80000"/>
                </a:schemeClr>
              </a:solidFill>
              <a:ln>
                <a:solidFill>
                  <a:schemeClr val="tx1">
                    <a:lumMod val="65000"/>
                    <a:lumOff val="35000"/>
                  </a:schemeClr>
                </a:solidFill>
              </a:ln>
            </c:spPr>
            <c:extLst>
              <c:ext xmlns:c16="http://schemas.microsoft.com/office/drawing/2014/chart" uri="{C3380CC4-5D6E-409C-BE32-E72D297353CC}">
                <c16:uniqueId val="{0000000C-3138-471F-BF3A-92DE25955312}"/>
              </c:ext>
            </c:extLst>
          </c:dPt>
          <c:dPt>
            <c:idx val="2"/>
            <c:bubble3D val="0"/>
            <c:spPr>
              <a:solidFill>
                <a:srgbClr val="00353E"/>
              </a:solidFill>
              <a:ln>
                <a:solidFill>
                  <a:schemeClr val="tx1">
                    <a:lumMod val="65000"/>
                    <a:lumOff val="35000"/>
                  </a:schemeClr>
                </a:solidFill>
              </a:ln>
            </c:spPr>
            <c:extLst>
              <c:ext xmlns:c16="http://schemas.microsoft.com/office/drawing/2014/chart" uri="{C3380CC4-5D6E-409C-BE32-E72D297353CC}">
                <c16:uniqueId val="{00000008-EDB5-4DA7-A9B2-9C73CFE79671}"/>
              </c:ext>
            </c:extLst>
          </c:dPt>
          <c:dPt>
            <c:idx val="3"/>
            <c:bubble3D val="0"/>
            <c:spPr>
              <a:solidFill>
                <a:srgbClr val="008768"/>
              </a:solidFill>
              <a:ln>
                <a:solidFill>
                  <a:schemeClr val="tx1">
                    <a:lumMod val="65000"/>
                    <a:lumOff val="35000"/>
                  </a:schemeClr>
                </a:solidFill>
              </a:ln>
            </c:spPr>
            <c:extLst>
              <c:ext xmlns:c16="http://schemas.microsoft.com/office/drawing/2014/chart" uri="{C3380CC4-5D6E-409C-BE32-E72D297353CC}">
                <c16:uniqueId val="{00000009-EDB5-4DA7-A9B2-9C73CFE79671}"/>
              </c:ext>
            </c:extLst>
          </c:dPt>
          <c:dLbls>
            <c:dLbl>
              <c:idx val="0"/>
              <c:layout>
                <c:manualLayout>
                  <c:x val="1.2803991383396709E-3"/>
                  <c:y val="-8.0865241262028362E-2"/>
                </c:manualLayout>
              </c:layout>
              <c:spPr/>
              <c:txPr>
                <a:bodyPr lIns="38100" tIns="19050" rIns="38100" bIns="19050">
                  <a:spAutoFit/>
                </a:bodyPr>
                <a:lstStyle/>
                <a:p>
                  <a:pPr>
                    <a:defRPr sz="900" b="1">
                      <a:latin typeface="Calibri (Body)"/>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138-471F-BF3A-92DE25955312}"/>
                </c:ext>
              </c:extLst>
            </c:dLbl>
            <c:dLbl>
              <c:idx val="1"/>
              <c:layout>
                <c:manualLayout>
                  <c:x val="-5.5952233221012039E-2"/>
                  <c:y val="-2.6744660452075297E-2"/>
                </c:manualLayout>
              </c:layout>
              <c:spPr/>
              <c:txPr>
                <a:bodyPr lIns="38100" tIns="19050" rIns="38100" bIns="19050">
                  <a:noAutofit/>
                </a:bodyPr>
                <a:lstStyle/>
                <a:p>
                  <a:pPr>
                    <a:defRPr sz="900" b="1">
                      <a:latin typeface="Calibri (Body)"/>
                    </a:defRPr>
                  </a:pPr>
                  <a:endParaRPr lang="en-US"/>
                </a:p>
              </c:txPr>
              <c:showLegendKey val="0"/>
              <c:showVal val="0"/>
              <c:showCatName val="0"/>
              <c:showSerName val="0"/>
              <c:showPercent val="1"/>
              <c:showBubbleSize val="0"/>
              <c:extLst>
                <c:ext xmlns:c15="http://schemas.microsoft.com/office/drawing/2012/chart" uri="{CE6537A1-D6FC-4f65-9D91-7224C49458BB}">
                  <c15:layout>
                    <c:manualLayout>
                      <c:w val="8.7892209738542754E-2"/>
                      <c:h val="8.2053196145162668E-2"/>
                    </c:manualLayout>
                  </c15:layout>
                </c:ext>
                <c:ext xmlns:c16="http://schemas.microsoft.com/office/drawing/2014/chart" uri="{C3380CC4-5D6E-409C-BE32-E72D297353CC}">
                  <c16:uniqueId val="{0000000C-3138-471F-BF3A-92DE25955312}"/>
                </c:ext>
              </c:extLst>
            </c:dLbl>
            <c:dLbl>
              <c:idx val="2"/>
              <c:layout>
                <c:manualLayout>
                  <c:x val="-3.1634513502419841E-3"/>
                  <c:y val="-5.505094775837065E-3"/>
                </c:manualLayout>
              </c:layout>
              <c:spPr>
                <a:noFill/>
                <a:ln>
                  <a:noFill/>
                </a:ln>
                <a:effectLst/>
              </c:spPr>
              <c:txPr>
                <a:bodyPr wrap="square" lIns="38100" tIns="19050" rIns="38100" bIns="19050" anchor="ctr">
                  <a:spAutoFit/>
                </a:bodyPr>
                <a:lstStyle/>
                <a:p>
                  <a:pPr>
                    <a:defRPr sz="900" b="1">
                      <a:solidFill>
                        <a:sysClr val="windowText" lastClr="000000"/>
                      </a:solidFill>
                      <a:latin typeface="Calibri (Body)"/>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DB5-4DA7-A9B2-9C73CFE79671}"/>
                </c:ext>
              </c:extLst>
            </c:dLbl>
            <c:dLbl>
              <c:idx val="3"/>
              <c:layout>
                <c:manualLayout>
                  <c:x val="-1.2826264728249283E-3"/>
                  <c:y val="-2.5960881374401099E-2"/>
                </c:manualLayout>
              </c:layout>
              <c:spPr>
                <a:noFill/>
                <a:ln>
                  <a:noFill/>
                </a:ln>
                <a:effectLst/>
              </c:spPr>
              <c:txPr>
                <a:bodyPr wrap="square" lIns="38100" tIns="19050" rIns="38100" bIns="19050" anchor="ctr">
                  <a:spAutoFit/>
                </a:bodyPr>
                <a:lstStyle/>
                <a:p>
                  <a:pPr>
                    <a:defRPr sz="900" b="1">
                      <a:solidFill>
                        <a:sysClr val="windowText" lastClr="000000"/>
                      </a:solidFill>
                      <a:latin typeface="Calibri (Body)"/>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DB5-4DA7-A9B2-9C73CFE79671}"/>
                </c:ext>
              </c:extLst>
            </c:dLbl>
            <c:spPr>
              <a:noFill/>
              <a:ln>
                <a:noFill/>
              </a:ln>
              <a:effectLst/>
            </c:spPr>
            <c:txPr>
              <a:bodyPr wrap="square" lIns="38100" tIns="19050" rIns="38100" bIns="19050" anchor="ctr">
                <a:spAutoFit/>
              </a:bodyPr>
              <a:lstStyle/>
              <a:p>
                <a:pPr>
                  <a:defRPr sz="900" b="1">
                    <a:latin typeface="Calibri (Body)"/>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'Benchmark summary'!$L$9:$L$12</c:f>
              <c:strCache>
                <c:ptCount val="4"/>
                <c:pt idx="0">
                  <c:v>Embodied Carbon</c:v>
                </c:pt>
                <c:pt idx="1">
                  <c:v>Construction Activities</c:v>
                </c:pt>
                <c:pt idx="2">
                  <c:v>Maintenance</c:v>
                </c:pt>
                <c:pt idx="3">
                  <c:v>Operational Energy</c:v>
                </c:pt>
              </c:strCache>
            </c:strRef>
          </c:cat>
          <c:val>
            <c:numRef>
              <c:f>'Benchmark summary'!$N$9:$N$12</c:f>
              <c:numCache>
                <c:formatCode>0%</c:formatCode>
                <c:ptCount val="4"/>
                <c:pt idx="0">
                  <c:v>0.3910012079538705</c:v>
                </c:pt>
                <c:pt idx="1">
                  <c:v>0.39192050406004925</c:v>
                </c:pt>
                <c:pt idx="2">
                  <c:v>0.21634689317043612</c:v>
                </c:pt>
                <c:pt idx="3" formatCode="0.0%">
                  <c:v>7.3139481564420616E-4</c:v>
                </c:pt>
              </c:numCache>
            </c:numRef>
          </c:val>
          <c:extLst>
            <c:ext xmlns:c16="http://schemas.microsoft.com/office/drawing/2014/chart" uri="{C3380CC4-5D6E-409C-BE32-E72D297353CC}">
              <c16:uniqueId val="{0000000A-3138-471F-BF3A-92DE25955312}"/>
            </c:ext>
          </c:extLst>
        </c:ser>
        <c:ser>
          <c:idx val="0"/>
          <c:order val="1"/>
          <c:spPr>
            <a:ln>
              <a:solidFill>
                <a:schemeClr val="tx1">
                  <a:lumMod val="65000"/>
                  <a:lumOff val="35000"/>
                </a:schemeClr>
              </a:solidFill>
            </a:ln>
          </c:spPr>
          <c:dPt>
            <c:idx val="0"/>
            <c:bubble3D val="0"/>
            <c:spPr>
              <a:solidFill>
                <a:schemeClr val="accent6">
                  <a:lumMod val="60000"/>
                  <a:lumOff val="40000"/>
                </a:schemeClr>
              </a:solidFill>
              <a:ln>
                <a:solidFill>
                  <a:schemeClr val="tx1">
                    <a:lumMod val="65000"/>
                    <a:lumOff val="35000"/>
                  </a:schemeClr>
                </a:solidFill>
              </a:ln>
              <a:effectLst/>
            </c:spPr>
            <c:extLst>
              <c:ext xmlns:c16="http://schemas.microsoft.com/office/drawing/2014/chart" uri="{C3380CC4-5D6E-409C-BE32-E72D297353CC}">
                <c16:uniqueId val="{00000006-3138-471F-BF3A-92DE25955312}"/>
              </c:ext>
            </c:extLst>
          </c:dPt>
          <c:dPt>
            <c:idx val="1"/>
            <c:bubble3D val="0"/>
            <c:spPr>
              <a:solidFill>
                <a:schemeClr val="accent6">
                  <a:lumMod val="20000"/>
                  <a:lumOff val="80000"/>
                </a:schemeClr>
              </a:solidFill>
              <a:ln>
                <a:solidFill>
                  <a:schemeClr val="tx1">
                    <a:lumMod val="65000"/>
                    <a:lumOff val="35000"/>
                  </a:schemeClr>
                </a:solidFill>
              </a:ln>
              <a:effectLst/>
            </c:spPr>
            <c:extLst>
              <c:ext xmlns:c16="http://schemas.microsoft.com/office/drawing/2014/chart" uri="{C3380CC4-5D6E-409C-BE32-E72D297353CC}">
                <c16:uniqueId val="{00000008-3138-471F-BF3A-92DE2595531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3138-471F-BF3A-92DE25955312}"/>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3138-471F-BF3A-92DE2595531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'Benchmark summary'!$L$9:$L$12</c:f>
              <c:strCache>
                <c:ptCount val="4"/>
                <c:pt idx="0">
                  <c:v>Embodied Carbon</c:v>
                </c:pt>
                <c:pt idx="1">
                  <c:v>Construction Activities</c:v>
                </c:pt>
                <c:pt idx="2">
                  <c:v>Maintenance</c:v>
                </c:pt>
                <c:pt idx="3">
                  <c:v>Operational Energy</c:v>
                </c:pt>
              </c:strCache>
            </c:strRef>
          </c:cat>
          <c:val>
            <c:numRef>
              <c:f>'Benchmark summary'!$N$9:$N$10</c:f>
              <c:numCache>
                <c:formatCode>0%</c:formatCode>
                <c:ptCount val="2"/>
                <c:pt idx="0">
                  <c:v>0.3910012079538705</c:v>
                </c:pt>
                <c:pt idx="1">
                  <c:v>0.39192050406004925</c:v>
                </c:pt>
              </c:numCache>
            </c:numRef>
          </c:val>
          <c:extLst>
            <c:ext xmlns:c16="http://schemas.microsoft.com/office/drawing/2014/chart" uri="{C3380CC4-5D6E-409C-BE32-E72D297353CC}">
              <c16:uniqueId val="{00000009-3138-471F-BF3A-92DE25955312}"/>
            </c:ext>
          </c:extLst>
        </c:ser>
        <c:dLbls>
          <c:showLegendKey val="0"/>
          <c:showVal val="0"/>
          <c:showCatName val="0"/>
          <c:showSerName val="0"/>
          <c:showPercent val="1"/>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N22 Carbon Emissions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6">
                <a:lumMod val="20000"/>
                <a:lumOff val="80000"/>
              </a:schemeClr>
            </a:solidFill>
            <a:ln w="3175">
              <a:solidFill>
                <a:schemeClr val="tx1"/>
              </a:solidFill>
            </a:ln>
          </c:spPr>
          <c:dPt>
            <c:idx val="0"/>
            <c:bubble3D val="0"/>
            <c:spPr>
              <a:solidFill>
                <a:schemeClr val="accent6">
                  <a:lumMod val="60000"/>
                  <a:lumOff val="40000"/>
                </a:schemeClr>
              </a:solidFill>
              <a:ln w="3175">
                <a:solidFill>
                  <a:schemeClr val="tx1">
                    <a:lumMod val="65000"/>
                    <a:lumOff val="35000"/>
                  </a:schemeClr>
                </a:solidFill>
              </a:ln>
              <a:effectLst/>
            </c:spPr>
            <c:extLst>
              <c:ext xmlns:c16="http://schemas.microsoft.com/office/drawing/2014/chart" uri="{C3380CC4-5D6E-409C-BE32-E72D297353CC}">
                <c16:uniqueId val="{00000002-67BE-4F3A-9B41-014BFBB0D962}"/>
              </c:ext>
            </c:extLst>
          </c:dPt>
          <c:dPt>
            <c:idx val="1"/>
            <c:bubble3D val="0"/>
            <c:spPr>
              <a:solidFill>
                <a:schemeClr val="accent6">
                  <a:lumMod val="20000"/>
                  <a:lumOff val="80000"/>
                </a:schemeClr>
              </a:solidFill>
              <a:ln w="3175">
                <a:solidFill>
                  <a:schemeClr val="tx1">
                    <a:lumMod val="65000"/>
                    <a:lumOff val="35000"/>
                  </a:schemeClr>
                </a:solidFill>
              </a:ln>
              <a:effectLst/>
            </c:spPr>
            <c:extLst>
              <c:ext xmlns:c16="http://schemas.microsoft.com/office/drawing/2014/chart" uri="{C3380CC4-5D6E-409C-BE32-E72D297353CC}">
                <c16:uniqueId val="{00000003-67BE-4F3A-9B41-014BFBB0D962}"/>
              </c:ext>
            </c:extLst>
          </c:dPt>
          <c:dPt>
            <c:idx val="2"/>
            <c:bubble3D val="0"/>
            <c:spPr>
              <a:solidFill>
                <a:srgbClr val="00353E"/>
              </a:solidFill>
              <a:ln w="3175">
                <a:solidFill>
                  <a:schemeClr val="tx1">
                    <a:lumMod val="65000"/>
                    <a:lumOff val="35000"/>
                  </a:schemeClr>
                </a:solidFill>
              </a:ln>
              <a:effectLst/>
            </c:spPr>
            <c:extLst>
              <c:ext xmlns:c16="http://schemas.microsoft.com/office/drawing/2014/chart" uri="{C3380CC4-5D6E-409C-BE32-E72D297353CC}">
                <c16:uniqueId val="{00000004-B8A3-4D87-A7CA-5D509EBFACC1}"/>
              </c:ext>
            </c:extLst>
          </c:dPt>
          <c:dPt>
            <c:idx val="3"/>
            <c:bubble3D val="0"/>
            <c:spPr>
              <a:solidFill>
                <a:srgbClr val="008768"/>
              </a:solidFill>
              <a:ln w="3175">
                <a:solidFill>
                  <a:schemeClr val="tx1">
                    <a:lumMod val="65000"/>
                    <a:lumOff val="35000"/>
                  </a:schemeClr>
                </a:solidFill>
              </a:ln>
              <a:effectLst/>
            </c:spPr>
            <c:extLst>
              <c:ext xmlns:c16="http://schemas.microsoft.com/office/drawing/2014/chart" uri="{C3380CC4-5D6E-409C-BE32-E72D297353CC}">
                <c16:uniqueId val="{00000005-B8A3-4D87-A7CA-5D509EBFACC1}"/>
              </c:ext>
            </c:extLst>
          </c:dPt>
          <c:dLbls>
            <c:dLbl>
              <c:idx val="2"/>
              <c:layout>
                <c:manualLayout>
                  <c:x val="-1.3517529685751026E-3"/>
                  <c:y val="-3.66241963942318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8A3-4D87-A7CA-5D509EBFAC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'Benchmark summary'!$B$9:$B$12</c:f>
              <c:strCache>
                <c:ptCount val="4"/>
                <c:pt idx="0">
                  <c:v>Embodied Carbon</c:v>
                </c:pt>
                <c:pt idx="1">
                  <c:v>Construction Activities</c:v>
                </c:pt>
                <c:pt idx="2">
                  <c:v>Maintenance</c:v>
                </c:pt>
                <c:pt idx="3">
                  <c:v>Operational Energy</c:v>
                </c:pt>
              </c:strCache>
            </c:strRef>
          </c:cat>
          <c:val>
            <c:numRef>
              <c:f>'Benchmark summary'!$D$9:$D$12</c:f>
              <c:numCache>
                <c:formatCode>0%</c:formatCode>
                <c:ptCount val="4"/>
                <c:pt idx="0">
                  <c:v>0.58185197540422906</c:v>
                </c:pt>
                <c:pt idx="1">
                  <c:v>0.26851069450771325</c:v>
                </c:pt>
                <c:pt idx="2">
                  <c:v>0.13711198920246584</c:v>
                </c:pt>
                <c:pt idx="3">
                  <c:v>1.2525340885591896E-2</c:v>
                </c:pt>
              </c:numCache>
            </c:numRef>
          </c:val>
          <c:extLst>
            <c:ext xmlns:c16="http://schemas.microsoft.com/office/drawing/2014/chart" uri="{C3380CC4-5D6E-409C-BE32-E72D297353CC}">
              <c16:uniqueId val="{00000000-67BE-4F3A-9B41-014BFBB0D962}"/>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N22 Structures</a:t>
            </a:r>
            <a:r>
              <a:rPr lang="en-GB" sz="1100" b="1" baseline="0">
                <a:solidFill>
                  <a:schemeClr val="tx1"/>
                </a:solidFill>
                <a:latin typeface="Arial" panose="020B0604020202020204" pitchFamily="34" charset="0"/>
                <a:cs typeface="Arial" panose="020B0604020202020204" pitchFamily="34" charset="0"/>
              </a:rPr>
              <a:t> Carbon Breakdown</a:t>
            </a:r>
            <a:endParaRPr lang="en-GB" sz="11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pieChart>
        <c:varyColors val="1"/>
        <c:ser>
          <c:idx val="0"/>
          <c:order val="0"/>
          <c:spPr>
            <a:solidFill>
              <a:schemeClr val="accent6">
                <a:lumMod val="60000"/>
                <a:lumOff val="40000"/>
              </a:schemeClr>
            </a:solidFill>
            <a:ln>
              <a:solidFill>
                <a:schemeClr val="tx1">
                  <a:lumMod val="65000"/>
                  <a:lumOff val="35000"/>
                </a:schemeClr>
              </a:solidFill>
            </a:ln>
          </c:spPr>
          <c:dPt>
            <c:idx val="0"/>
            <c:bubble3D val="0"/>
            <c:spPr>
              <a:solidFill>
                <a:schemeClr val="accent6">
                  <a:lumMod val="60000"/>
                  <a:lumOff val="40000"/>
                </a:schemeClr>
              </a:solidFill>
              <a:ln>
                <a:solidFill>
                  <a:schemeClr val="tx1">
                    <a:lumMod val="65000"/>
                    <a:lumOff val="35000"/>
                  </a:schemeClr>
                </a:solidFill>
              </a:ln>
              <a:effectLst/>
            </c:spPr>
            <c:extLst>
              <c:ext xmlns:c16="http://schemas.microsoft.com/office/drawing/2014/chart" uri="{C3380CC4-5D6E-409C-BE32-E72D297353CC}">
                <c16:uniqueId val="{00000001-CF49-4DD1-B6AE-2EC54794642C}"/>
              </c:ext>
            </c:extLst>
          </c:dPt>
          <c:dPt>
            <c:idx val="1"/>
            <c:bubble3D val="0"/>
            <c:spPr>
              <a:solidFill>
                <a:schemeClr val="accent6">
                  <a:lumMod val="20000"/>
                  <a:lumOff val="80000"/>
                </a:schemeClr>
              </a:solidFill>
              <a:ln>
                <a:solidFill>
                  <a:schemeClr val="tx1">
                    <a:lumMod val="65000"/>
                    <a:lumOff val="35000"/>
                  </a:schemeClr>
                </a:solidFill>
              </a:ln>
              <a:effectLst/>
            </c:spPr>
            <c:extLst>
              <c:ext xmlns:c16="http://schemas.microsoft.com/office/drawing/2014/chart" uri="{C3380CC4-5D6E-409C-BE32-E72D297353CC}">
                <c16:uniqueId val="{00000003-CF49-4DD1-B6AE-2EC54794642C}"/>
              </c:ext>
            </c:extLst>
          </c:dPt>
          <c:dPt>
            <c:idx val="2"/>
            <c:bubble3D val="0"/>
            <c:spPr>
              <a:solidFill>
                <a:srgbClr val="00353E"/>
              </a:solidFill>
              <a:ln>
                <a:solidFill>
                  <a:schemeClr val="tx1">
                    <a:lumMod val="65000"/>
                    <a:lumOff val="35000"/>
                  </a:schemeClr>
                </a:solidFill>
              </a:ln>
              <a:effectLst/>
            </c:spPr>
            <c:extLst>
              <c:ext xmlns:c16="http://schemas.microsoft.com/office/drawing/2014/chart" uri="{C3380CC4-5D6E-409C-BE32-E72D297353CC}">
                <c16:uniqueId val="{00000004-DDB0-4124-8734-7B84918B3E1B}"/>
              </c:ext>
            </c:extLst>
          </c:dPt>
          <c:dPt>
            <c:idx val="3"/>
            <c:bubble3D val="0"/>
            <c:spPr>
              <a:solidFill>
                <a:srgbClr val="008768"/>
              </a:solidFill>
              <a:ln>
                <a:solidFill>
                  <a:schemeClr val="tx1">
                    <a:lumMod val="65000"/>
                    <a:lumOff val="35000"/>
                  </a:schemeClr>
                </a:solidFill>
              </a:ln>
              <a:effectLst/>
            </c:spPr>
            <c:extLst>
              <c:ext xmlns:c16="http://schemas.microsoft.com/office/drawing/2014/chart" uri="{C3380CC4-5D6E-409C-BE32-E72D297353CC}">
                <c16:uniqueId val="{00000005-DDB0-4124-8734-7B84918B3E1B}"/>
              </c:ext>
            </c:extLst>
          </c:dPt>
          <c:dLbls>
            <c:dLbl>
              <c:idx val="0"/>
              <c:layout>
                <c:manualLayout>
                  <c:x val="0.1324368926779782"/>
                  <c:y val="-5.34958006660461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F49-4DD1-B6AE-2EC54794642C}"/>
                </c:ext>
              </c:extLst>
            </c:dLbl>
            <c:dLbl>
              <c:idx val="1"/>
              <c:layout>
                <c:manualLayout>
                  <c:x val="-5.5855613749899419E-2"/>
                  <c:y val="1.45219032394510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49-4DD1-B6AE-2EC54794642C}"/>
                </c:ext>
              </c:extLst>
            </c:dLbl>
            <c:dLbl>
              <c:idx val="2"/>
              <c:layout>
                <c:manualLayout>
                  <c:x val="-5.2351243739754711E-3"/>
                  <c:y val="-2.89348870862137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DB0-4124-8734-7B84918B3E1B}"/>
                </c:ext>
              </c:extLst>
            </c:dLbl>
            <c:dLbl>
              <c:idx val="3"/>
              <c:layout>
                <c:manualLayout>
                  <c:x val="0.11157291440417814"/>
                  <c:y val="-6.833668212694187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DB0-4124-8734-7B84918B3E1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'Benchmark summary'!$B$19:$B$22</c:f>
              <c:strCache>
                <c:ptCount val="4"/>
                <c:pt idx="0">
                  <c:v>Embodied Carbon</c:v>
                </c:pt>
                <c:pt idx="1">
                  <c:v>Construction Activities</c:v>
                </c:pt>
                <c:pt idx="2">
                  <c:v>Maintenance</c:v>
                </c:pt>
                <c:pt idx="3">
                  <c:v>Operational Energy</c:v>
                </c:pt>
              </c:strCache>
            </c:strRef>
          </c:cat>
          <c:val>
            <c:numRef>
              <c:f>'Benchmark summary'!$D$19:$D$22</c:f>
              <c:numCache>
                <c:formatCode>0%</c:formatCode>
                <c:ptCount val="4"/>
                <c:pt idx="0">
                  <c:v>0.94298243266015536</c:v>
                </c:pt>
                <c:pt idx="1">
                  <c:v>5.6943139287935929E-2</c:v>
                </c:pt>
                <c:pt idx="2">
                  <c:v>7.4428051908769668E-5</c:v>
                </c:pt>
                <c:pt idx="3">
                  <c:v>0</c:v>
                </c:pt>
              </c:numCache>
            </c:numRef>
          </c:val>
          <c:extLst>
            <c:ext xmlns:c16="http://schemas.microsoft.com/office/drawing/2014/chart" uri="{C3380CC4-5D6E-409C-BE32-E72D297353CC}">
              <c16:uniqueId val="{00000004-CF49-4DD1-B6AE-2EC54794642C}"/>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N22 Mainline (without earthworks)</a:t>
            </a:r>
            <a:r>
              <a:rPr lang="en-GB" sz="1100" b="1" baseline="0">
                <a:solidFill>
                  <a:schemeClr val="tx1"/>
                </a:solidFill>
                <a:latin typeface="Arial" panose="020B0604020202020204" pitchFamily="34" charset="0"/>
                <a:cs typeface="Arial" panose="020B0604020202020204" pitchFamily="34" charset="0"/>
              </a:rPr>
              <a:t> Carbon Breakdown</a:t>
            </a:r>
            <a:endParaRPr lang="en-GB" sz="1100" b="1">
              <a:solidFill>
                <a:schemeClr val="tx1"/>
              </a:solidFill>
              <a:latin typeface="Arial" panose="020B0604020202020204" pitchFamily="34" charset="0"/>
              <a:cs typeface="Arial" panose="020B0604020202020204" pitchFamily="34" charset="0"/>
            </a:endParaRPr>
          </a:p>
        </c:rich>
      </c:tx>
      <c:overlay val="0"/>
      <c:spPr>
        <a:noFill/>
        <a:ln>
          <a:noFill/>
        </a:ln>
        <a:effectLst/>
      </c:spPr>
    </c:title>
    <c:autoTitleDeleted val="0"/>
    <c:plotArea>
      <c:layout/>
      <c:pieChart>
        <c:varyColors val="1"/>
        <c:ser>
          <c:idx val="1"/>
          <c:order val="0"/>
          <c:spPr>
            <a:solidFill>
              <a:schemeClr val="accent6">
                <a:lumMod val="20000"/>
                <a:lumOff val="80000"/>
              </a:schemeClr>
            </a:solidFill>
            <a:ln>
              <a:solidFill>
                <a:schemeClr val="tx1">
                  <a:lumMod val="65000"/>
                  <a:lumOff val="35000"/>
                </a:schemeClr>
              </a:solidFill>
            </a:ln>
          </c:spPr>
          <c:dPt>
            <c:idx val="0"/>
            <c:bubble3D val="0"/>
            <c:spPr>
              <a:solidFill>
                <a:schemeClr val="accent6">
                  <a:lumMod val="60000"/>
                  <a:lumOff val="40000"/>
                </a:schemeClr>
              </a:solidFill>
              <a:ln>
                <a:solidFill>
                  <a:schemeClr val="tx1">
                    <a:lumMod val="65000"/>
                    <a:lumOff val="35000"/>
                  </a:schemeClr>
                </a:solidFill>
              </a:ln>
            </c:spPr>
            <c:extLst>
              <c:ext xmlns:c16="http://schemas.microsoft.com/office/drawing/2014/chart" uri="{C3380CC4-5D6E-409C-BE32-E72D297353CC}">
                <c16:uniqueId val="{00000001-B7EC-4EE0-9055-596EE7411BF3}"/>
              </c:ext>
            </c:extLst>
          </c:dPt>
          <c:dPt>
            <c:idx val="2"/>
            <c:bubble3D val="0"/>
            <c:spPr>
              <a:solidFill>
                <a:srgbClr val="00353E"/>
              </a:solidFill>
              <a:ln>
                <a:solidFill>
                  <a:schemeClr val="tx1">
                    <a:lumMod val="65000"/>
                    <a:lumOff val="35000"/>
                  </a:schemeClr>
                </a:solidFill>
              </a:ln>
            </c:spPr>
            <c:extLst>
              <c:ext xmlns:c16="http://schemas.microsoft.com/office/drawing/2014/chart" uri="{C3380CC4-5D6E-409C-BE32-E72D297353CC}">
                <c16:uniqueId val="{00000006-CD34-4156-A245-AD9743E33532}"/>
              </c:ext>
            </c:extLst>
          </c:dPt>
          <c:dPt>
            <c:idx val="3"/>
            <c:bubble3D val="0"/>
            <c:spPr>
              <a:solidFill>
                <a:srgbClr val="008768"/>
              </a:solidFill>
              <a:ln>
                <a:solidFill>
                  <a:schemeClr val="tx1">
                    <a:lumMod val="65000"/>
                    <a:lumOff val="35000"/>
                  </a:schemeClr>
                </a:solidFill>
              </a:ln>
            </c:spPr>
            <c:extLst>
              <c:ext xmlns:c16="http://schemas.microsoft.com/office/drawing/2014/chart" uri="{C3380CC4-5D6E-409C-BE32-E72D297353CC}">
                <c16:uniqueId val="{00000007-CD34-4156-A245-AD9743E33532}"/>
              </c:ext>
            </c:extLst>
          </c:dPt>
          <c:dLbls>
            <c:dLbl>
              <c:idx val="0"/>
              <c:layout>
                <c:manualLayout>
                  <c:x val="9.2825755623223358E-3"/>
                  <c:y val="0.2408700121351715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EC-4EE0-9055-596EE7411BF3}"/>
                </c:ext>
              </c:extLst>
            </c:dLbl>
            <c:dLbl>
              <c:idx val="1"/>
              <c:layout>
                <c:manualLayout>
                  <c:x val="1.2677351508382732E-2"/>
                  <c:y val="1.60143017909183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84E-4303-BE8C-957655C4BDAE}"/>
                </c:ext>
              </c:extLst>
            </c:dLbl>
            <c:dLbl>
              <c:idx val="2"/>
              <c:layout>
                <c:manualLayout>
                  <c:x val="3.4817056291106256E-2"/>
                  <c:y val="-6.3792748577928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D34-4156-A245-AD9743E33532}"/>
                </c:ext>
              </c:extLst>
            </c:dLbl>
            <c:dLbl>
              <c:idx val="3"/>
              <c:layout>
                <c:manualLayout>
                  <c:x val="3.0616303452050261E-3"/>
                  <c:y val="-1.123221121749211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D34-4156-A245-AD9743E33532}"/>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'Benchmark summary'!$L$19:$L$22</c:f>
              <c:strCache>
                <c:ptCount val="4"/>
                <c:pt idx="0">
                  <c:v>Embodied Carbon</c:v>
                </c:pt>
                <c:pt idx="1">
                  <c:v>Construction Activities</c:v>
                </c:pt>
                <c:pt idx="2">
                  <c:v>Maintenance</c:v>
                </c:pt>
                <c:pt idx="3">
                  <c:v>Operational Energy</c:v>
                </c:pt>
              </c:strCache>
            </c:strRef>
          </c:cat>
          <c:val>
            <c:numRef>
              <c:f>'Benchmark summary'!$N$19:$N$22</c:f>
              <c:numCache>
                <c:formatCode>0%</c:formatCode>
                <c:ptCount val="4"/>
                <c:pt idx="0">
                  <c:v>0.50663923641395792</c:v>
                </c:pt>
                <c:pt idx="1">
                  <c:v>0.21208189326528259</c:v>
                </c:pt>
                <c:pt idx="2">
                  <c:v>0.28033116657105939</c:v>
                </c:pt>
                <c:pt idx="3">
                  <c:v>9.4770374969998887E-4</c:v>
                </c:pt>
              </c:numCache>
            </c:numRef>
          </c:val>
          <c:extLst>
            <c:ext xmlns:c16="http://schemas.microsoft.com/office/drawing/2014/chart" uri="{C3380CC4-5D6E-409C-BE32-E72D297353CC}">
              <c16:uniqueId val="{00000004-B7EC-4EE0-9055-596EE7411BF3}"/>
            </c:ext>
          </c:extLst>
        </c:ser>
        <c:ser>
          <c:idx val="0"/>
          <c:order val="1"/>
          <c:spPr>
            <a:ln>
              <a:solidFill>
                <a:schemeClr val="tx1">
                  <a:lumMod val="65000"/>
                  <a:lumOff val="35000"/>
                </a:schemeClr>
              </a:solidFill>
            </a:ln>
          </c:spPr>
          <c:dPt>
            <c:idx val="0"/>
            <c:bubble3D val="0"/>
            <c:spPr>
              <a:solidFill>
                <a:schemeClr val="accent6">
                  <a:lumMod val="60000"/>
                  <a:lumOff val="40000"/>
                </a:schemeClr>
              </a:solidFill>
              <a:ln>
                <a:solidFill>
                  <a:schemeClr val="tx1">
                    <a:lumMod val="65000"/>
                    <a:lumOff val="35000"/>
                  </a:schemeClr>
                </a:solidFill>
              </a:ln>
            </c:spPr>
            <c:extLst>
              <c:ext xmlns:c16="http://schemas.microsoft.com/office/drawing/2014/chart" uri="{C3380CC4-5D6E-409C-BE32-E72D297353CC}">
                <c16:uniqueId val="{00000006-B7EC-4EE0-9055-596EE7411BF3}"/>
              </c:ext>
            </c:extLst>
          </c:dPt>
          <c:dPt>
            <c:idx val="1"/>
            <c:bubble3D val="0"/>
            <c:spPr>
              <a:solidFill>
                <a:schemeClr val="accent6">
                  <a:lumMod val="20000"/>
                  <a:lumOff val="80000"/>
                </a:schemeClr>
              </a:solidFill>
              <a:ln>
                <a:solidFill>
                  <a:schemeClr val="tx1">
                    <a:lumMod val="65000"/>
                    <a:lumOff val="35000"/>
                  </a:schemeClr>
                </a:solidFill>
              </a:ln>
            </c:spPr>
            <c:extLst>
              <c:ext xmlns:c16="http://schemas.microsoft.com/office/drawing/2014/chart" uri="{C3380CC4-5D6E-409C-BE32-E72D297353CC}">
                <c16:uniqueId val="{00000008-B7EC-4EE0-9055-596EE7411BF3}"/>
              </c:ext>
            </c:extLst>
          </c:dPt>
          <c:dLbls>
            <c:dLbl>
              <c:idx val="0"/>
              <c:spPr/>
              <c:txPr>
                <a:bodyPr lIns="38100" tIns="19050" rIns="38100" bIns="19050">
                  <a:spAutoFit/>
                </a:bodyPr>
                <a:lstStyle/>
                <a:p>
                  <a:pPr>
                    <a:defRPr sz="1200" b="1"/>
                  </a:pPr>
                  <a:endParaRPr lang="en-US"/>
                </a:p>
              </c:txPr>
              <c:showLegendKey val="0"/>
              <c:showVal val="0"/>
              <c:showCatName val="0"/>
              <c:showSerName val="0"/>
              <c:showPercent val="1"/>
              <c:showBubbleSize val="0"/>
              <c:extLst>
                <c:ext xmlns:c16="http://schemas.microsoft.com/office/drawing/2014/chart" uri="{C3380CC4-5D6E-409C-BE32-E72D297353CC}">
                  <c16:uniqueId val="{00000006-B7EC-4EE0-9055-596EE7411BF3}"/>
                </c:ext>
              </c:extLst>
            </c:dLbl>
            <c:dLbl>
              <c:idx val="1"/>
              <c:spPr/>
              <c:txPr>
                <a:bodyPr lIns="38100" tIns="19050" rIns="38100" bIns="19050">
                  <a:spAutoFit/>
                </a:bodyPr>
                <a:lstStyle/>
                <a:p>
                  <a:pPr>
                    <a:defRPr sz="1200" b="1"/>
                  </a:pPr>
                  <a:endParaRPr lang="en-US"/>
                </a:p>
              </c:txPr>
              <c:showLegendKey val="0"/>
              <c:showVal val="0"/>
              <c:showCatName val="0"/>
              <c:showSerName val="0"/>
              <c:showPercent val="1"/>
              <c:showBubbleSize val="0"/>
              <c:extLst>
                <c:ext xmlns:c16="http://schemas.microsoft.com/office/drawing/2014/chart" uri="{C3380CC4-5D6E-409C-BE32-E72D297353CC}">
                  <c16:uniqueId val="{00000008-B7EC-4EE0-9055-596EE7411BF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'Benchmark summary'!$L$19:$L$22</c:f>
              <c:strCache>
                <c:ptCount val="4"/>
                <c:pt idx="0">
                  <c:v>Embodied Carbon</c:v>
                </c:pt>
                <c:pt idx="1">
                  <c:v>Construction Activities</c:v>
                </c:pt>
                <c:pt idx="2">
                  <c:v>Maintenance</c:v>
                </c:pt>
                <c:pt idx="3">
                  <c:v>Operational Energy</c:v>
                </c:pt>
              </c:strCache>
            </c:strRef>
          </c:cat>
          <c:val>
            <c:numRef>
              <c:f>'Benchmark summary'!$N$9:$N$10</c:f>
              <c:numCache>
                <c:formatCode>0%</c:formatCode>
                <c:ptCount val="2"/>
                <c:pt idx="0">
                  <c:v>0.3910012079538705</c:v>
                </c:pt>
                <c:pt idx="1">
                  <c:v>0.39192050406004925</c:v>
                </c:pt>
              </c:numCache>
            </c:numRef>
          </c:val>
          <c:extLst>
            <c:ext xmlns:c16="http://schemas.microsoft.com/office/drawing/2014/chart" uri="{C3380CC4-5D6E-409C-BE32-E72D297353CC}">
              <c16:uniqueId val="{00000009-B7EC-4EE0-9055-596EE7411BF3}"/>
            </c:ext>
          </c:extLst>
        </c:ser>
        <c:dLbls>
          <c:showLegendKey val="0"/>
          <c:showVal val="0"/>
          <c:showCatName val="0"/>
          <c:showSerName val="0"/>
          <c:showPercent val="1"/>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26222664727977E-2"/>
          <c:y val="5.1305108044329396E-2"/>
          <c:w val="0.92454480954299267"/>
          <c:h val="0.77053278644570755"/>
        </c:manualLayout>
      </c:layout>
      <c:barChart>
        <c:barDir val="bar"/>
        <c:grouping val="clustered"/>
        <c:varyColors val="0"/>
        <c:ser>
          <c:idx val="0"/>
          <c:order val="0"/>
          <c:tx>
            <c:strRef>
              <c:f>'Benchmark summary'!$H$30</c:f>
              <c:strCache>
                <c:ptCount val="1"/>
                <c:pt idx="0">
                  <c:v>Carbon Benchmark per unit (A1-A5)</c:v>
                </c:pt>
              </c:strCache>
            </c:strRef>
          </c:tx>
          <c:spPr>
            <a:solidFill>
              <a:srgbClr val="008768"/>
            </a:solidFill>
            <a:ln>
              <a:noFill/>
            </a:ln>
            <a:effectLst/>
          </c:spPr>
          <c:invertIfNegative val="0"/>
          <c:cat>
            <c:strRef>
              <c:f>'Benchmark summary'!$B$31:$B$42</c:f>
              <c:strCache>
                <c:ptCount val="12"/>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strCache>
            </c:strRef>
          </c:cat>
          <c:val>
            <c:numRef>
              <c:f>'Benchmark summary'!$H$31:$H$42</c:f>
              <c:numCache>
                <c:formatCode>0.00</c:formatCode>
                <c:ptCount val="12"/>
                <c:pt idx="0">
                  <c:v>0.79963950117964266</c:v>
                </c:pt>
                <c:pt idx="1">
                  <c:v>1.8639860637632273</c:v>
                </c:pt>
                <c:pt idx="2">
                  <c:v>3.1457787424309771</c:v>
                </c:pt>
                <c:pt idx="3">
                  <c:v>3.8557822596684095</c:v>
                </c:pt>
                <c:pt idx="4">
                  <c:v>6.7791837690855248</c:v>
                </c:pt>
                <c:pt idx="5">
                  <c:v>3.061629119259099</c:v>
                </c:pt>
                <c:pt idx="6">
                  <c:v>2.705872971446742</c:v>
                </c:pt>
                <c:pt idx="7">
                  <c:v>3.2226978235720343</c:v>
                </c:pt>
                <c:pt idx="8">
                  <c:v>4.1959556462733136</c:v>
                </c:pt>
                <c:pt idx="9">
                  <c:v>2.2789784019184043</c:v>
                </c:pt>
                <c:pt idx="10">
                  <c:v>0.42697571808510637</c:v>
                </c:pt>
                <c:pt idx="11">
                  <c:v>0.48710355034259145</c:v>
                </c:pt>
              </c:numCache>
            </c:numRef>
          </c:val>
          <c:extLst>
            <c:ext xmlns:c16="http://schemas.microsoft.com/office/drawing/2014/chart" uri="{C3380CC4-5D6E-409C-BE32-E72D297353CC}">
              <c16:uniqueId val="{00000000-7AD0-4AB3-938A-4BECBF8B956E}"/>
            </c:ext>
          </c:extLst>
        </c:ser>
        <c:ser>
          <c:idx val="1"/>
          <c:order val="1"/>
          <c:tx>
            <c:strRef>
              <c:f>'Benchmark summary'!$I$30</c:f>
              <c:strCache>
                <c:ptCount val="1"/>
                <c:pt idx="0">
                  <c:v>Carbon Benchmark per unit (A1-A5, B2-B5, B6)</c:v>
                </c:pt>
              </c:strCache>
            </c:strRef>
          </c:tx>
          <c:spPr>
            <a:solidFill>
              <a:srgbClr val="00353E"/>
            </a:solidFill>
            <a:ln>
              <a:noFill/>
            </a:ln>
            <a:effectLst/>
          </c:spPr>
          <c:invertIfNegative val="0"/>
          <c:cat>
            <c:strRef>
              <c:f>'Benchmark summary'!$B$31:$B$42</c:f>
              <c:strCache>
                <c:ptCount val="12"/>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strCache>
            </c:strRef>
          </c:cat>
          <c:val>
            <c:numRef>
              <c:f>'Benchmark summary'!$I$31:$I$42</c:f>
              <c:numCache>
                <c:formatCode>0.00</c:formatCode>
                <c:ptCount val="12"/>
                <c:pt idx="0">
                  <c:v>0.79979413549039413</c:v>
                </c:pt>
                <c:pt idx="1">
                  <c:v>1.8648154184714496</c:v>
                </c:pt>
                <c:pt idx="2">
                  <c:v>3.1461805219316701</c:v>
                </c:pt>
                <c:pt idx="3">
                  <c:v>3.8560264988519064</c:v>
                </c:pt>
                <c:pt idx="4">
                  <c:v>6.7794561143312313</c:v>
                </c:pt>
                <c:pt idx="5">
                  <c:v>3.0619034974683377</c:v>
                </c:pt>
                <c:pt idx="6">
                  <c:v>2.7068318090335648</c:v>
                </c:pt>
                <c:pt idx="7">
                  <c:v>3.2228951005766189</c:v>
                </c:pt>
                <c:pt idx="8">
                  <c:v>4.1963111515627665</c:v>
                </c:pt>
                <c:pt idx="9">
                  <c:v>2.2793605097973693</c:v>
                </c:pt>
                <c:pt idx="10">
                  <c:v>0.62842335106382974</c:v>
                </c:pt>
                <c:pt idx="11">
                  <c:v>1.0979275217767062</c:v>
                </c:pt>
              </c:numCache>
            </c:numRef>
          </c:val>
          <c:extLst>
            <c:ext xmlns:c16="http://schemas.microsoft.com/office/drawing/2014/chart" uri="{C3380CC4-5D6E-409C-BE32-E72D297353CC}">
              <c16:uniqueId val="{00000001-7AD0-4AB3-938A-4BECBF8B956E}"/>
            </c:ext>
          </c:extLst>
        </c:ser>
        <c:dLbls>
          <c:showLegendKey val="0"/>
          <c:showVal val="0"/>
          <c:showCatName val="0"/>
          <c:showSerName val="0"/>
          <c:showPercent val="0"/>
          <c:showBubbleSize val="0"/>
        </c:dLbls>
        <c:gapWidth val="219"/>
        <c:axId val="1705075632"/>
        <c:axId val="1584838848"/>
      </c:barChart>
      <c:catAx>
        <c:axId val="1705075632"/>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panose="020B0604020202020204" pitchFamily="34" charset="0"/>
                    <a:cs typeface="Arial" panose="020B0604020202020204" pitchFamily="34" charset="0"/>
                  </a:rPr>
                  <a:t>Structure</a:t>
                </a:r>
                <a:r>
                  <a:rPr lang="en-GB" baseline="0">
                    <a:solidFill>
                      <a:sysClr val="windowText" lastClr="000000"/>
                    </a:solidFill>
                    <a:latin typeface="Arial" panose="020B0604020202020204" pitchFamily="34" charset="0"/>
                    <a:cs typeface="Arial" panose="020B0604020202020204" pitchFamily="34" charset="0"/>
                  </a:rPr>
                  <a:t> Type</a:t>
                </a:r>
                <a:endParaRPr lang="en-GB">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1924260104355116E-2"/>
              <c:y val="0.399147692868588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GB"/>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84838848"/>
        <c:crosses val="autoZero"/>
        <c:auto val="1"/>
        <c:lblAlgn val="ctr"/>
        <c:lblOffset val="100"/>
        <c:noMultiLvlLbl val="0"/>
      </c:catAx>
      <c:valAx>
        <c:axId val="15848388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per area (tCO₂e/m2) </a:t>
                </a:r>
              </a:p>
            </c:rich>
          </c:tx>
          <c:layout>
            <c:manualLayout>
              <c:xMode val="edge"/>
              <c:yMode val="edge"/>
              <c:x val="0.53913598501336457"/>
              <c:y val="0.891175410605999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05075632"/>
        <c:crosses val="autoZero"/>
        <c:crossBetween val="between"/>
      </c:valAx>
      <c:spPr>
        <a:noFill/>
        <a:ln>
          <a:noFill/>
        </a:ln>
        <a:effectLst/>
      </c:spPr>
    </c:plotArea>
    <c:legend>
      <c:legendPos val="r"/>
      <c:layout>
        <c:manualLayout>
          <c:xMode val="edge"/>
          <c:yMode val="edge"/>
          <c:x val="0.65687077745049172"/>
          <c:y val="0.13626461038754098"/>
          <c:w val="0.29284489936487823"/>
          <c:h val="7.892718785448679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N22 Carbon Emissions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'Task 1 - Emission summary'!$B$8:$B$11</c:f>
              <c:strCache>
                <c:ptCount val="4"/>
                <c:pt idx="0">
                  <c:v>Embodied Carbon (A1-A4)</c:v>
                </c:pt>
                <c:pt idx="1">
                  <c:v>Construction Activities (A5)</c:v>
                </c:pt>
                <c:pt idx="2">
                  <c:v>Maintenance (B2-B5)</c:v>
                </c:pt>
                <c:pt idx="3">
                  <c:v>Operational energy (B6)</c:v>
                </c:pt>
              </c:strCache>
            </c:strRef>
          </c:tx>
          <c:spPr>
            <a:solidFill>
              <a:schemeClr val="accent6">
                <a:lumMod val="20000"/>
                <a:lumOff val="80000"/>
              </a:schemeClr>
            </a:solidFill>
            <a:ln w="3175">
              <a:solidFill>
                <a:schemeClr val="tx1"/>
              </a:solidFill>
            </a:ln>
          </c:spPr>
          <c:dPt>
            <c:idx val="0"/>
            <c:bubble3D val="0"/>
            <c:spPr>
              <a:solidFill>
                <a:schemeClr val="accent6">
                  <a:lumMod val="60000"/>
                  <a:lumOff val="40000"/>
                </a:schemeClr>
              </a:solidFill>
              <a:ln w="3175">
                <a:solidFill>
                  <a:schemeClr val="tx1"/>
                </a:solidFill>
              </a:ln>
              <a:effectLst/>
            </c:spPr>
            <c:extLst>
              <c:ext xmlns:c16="http://schemas.microsoft.com/office/drawing/2014/chart" uri="{C3380CC4-5D6E-409C-BE32-E72D297353CC}">
                <c16:uniqueId val="{00000001-5DB5-4439-8FAC-06332CAE5747}"/>
              </c:ext>
            </c:extLst>
          </c:dPt>
          <c:dPt>
            <c:idx val="1"/>
            <c:bubble3D val="0"/>
            <c:spPr>
              <a:solidFill>
                <a:schemeClr val="accent6">
                  <a:lumMod val="20000"/>
                  <a:lumOff val="80000"/>
                </a:schemeClr>
              </a:solidFill>
              <a:ln w="3175">
                <a:solidFill>
                  <a:schemeClr val="tx1"/>
                </a:solidFill>
              </a:ln>
              <a:effectLst/>
            </c:spPr>
            <c:extLst>
              <c:ext xmlns:c16="http://schemas.microsoft.com/office/drawing/2014/chart" uri="{C3380CC4-5D6E-409C-BE32-E72D297353CC}">
                <c16:uniqueId val="{00000003-5DB5-4439-8FAC-06332CAE5747}"/>
              </c:ext>
            </c:extLst>
          </c:dPt>
          <c:dPt>
            <c:idx val="2"/>
            <c:bubble3D val="0"/>
            <c:spPr>
              <a:solidFill>
                <a:srgbClr val="00353E"/>
              </a:solidFill>
              <a:ln w="3175">
                <a:solidFill>
                  <a:schemeClr val="tx1"/>
                </a:solidFill>
              </a:ln>
              <a:effectLst/>
            </c:spPr>
            <c:extLst>
              <c:ext xmlns:c16="http://schemas.microsoft.com/office/drawing/2014/chart" uri="{C3380CC4-5D6E-409C-BE32-E72D297353CC}">
                <c16:uniqueId val="{00000004-B422-406D-BF42-CF4AC3258F02}"/>
              </c:ext>
            </c:extLst>
          </c:dPt>
          <c:dPt>
            <c:idx val="3"/>
            <c:bubble3D val="0"/>
            <c:spPr>
              <a:solidFill>
                <a:srgbClr val="008768"/>
              </a:solidFill>
              <a:ln w="3175">
                <a:solidFill>
                  <a:schemeClr val="tx1"/>
                </a:solidFill>
              </a:ln>
              <a:effectLst/>
            </c:spPr>
            <c:extLst>
              <c:ext xmlns:c16="http://schemas.microsoft.com/office/drawing/2014/chart" uri="{C3380CC4-5D6E-409C-BE32-E72D297353CC}">
                <c16:uniqueId val="{00000006-8F03-49A8-ACFD-F6C501AC2EC1}"/>
              </c:ext>
            </c:extLst>
          </c:dPt>
          <c:dLbls>
            <c:dLbl>
              <c:idx val="0"/>
              <c:layout>
                <c:manualLayout>
                  <c:x val="-5.5803534298593929E-2"/>
                  <c:y val="0.1577803417361546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DB5-4439-8FAC-06332CAE5747}"/>
                </c:ext>
              </c:extLst>
            </c:dLbl>
            <c:dLbl>
              <c:idx val="1"/>
              <c:layout>
                <c:manualLayout>
                  <c:x val="4.6193107963281126E-2"/>
                  <c:y val="0.1818512164409312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B5-4439-8FAC-06332CAE5747}"/>
                </c:ext>
              </c:extLst>
            </c:dLbl>
            <c:dLbl>
              <c:idx val="2"/>
              <c:layout>
                <c:manualLayout>
                  <c:x val="-8.8244589716719238E-3"/>
                  <c:y val="-3.174103484841182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422-406D-BF42-CF4AC3258F02}"/>
                </c:ext>
              </c:extLst>
            </c:dLbl>
            <c:dLbl>
              <c:idx val="3"/>
              <c:layout>
                <c:manualLayout>
                  <c:x val="-8.3166693994330097E-3"/>
                  <c:y val="-4.925071998361208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F03-49A8-ACFD-F6C501AC2E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'Task 1 - Emission summary'!$B$8:$B$11</c:f>
              <c:strCache>
                <c:ptCount val="4"/>
                <c:pt idx="0">
                  <c:v>Embodied Carbon (A1-A4)</c:v>
                </c:pt>
                <c:pt idx="1">
                  <c:v>Construction Activities (A5)</c:v>
                </c:pt>
                <c:pt idx="2">
                  <c:v>Maintenance (B2-B5)</c:v>
                </c:pt>
                <c:pt idx="3">
                  <c:v>Operational energy (B6)</c:v>
                </c:pt>
              </c:strCache>
            </c:strRef>
          </c:cat>
          <c:val>
            <c:numRef>
              <c:f>'Task 1 - Emission summary'!$D$8:$D$11</c:f>
              <c:numCache>
                <c:formatCode>0%</c:formatCode>
                <c:ptCount val="4"/>
                <c:pt idx="0">
                  <c:v>0.60424391568897484</c:v>
                </c:pt>
                <c:pt idx="1">
                  <c:v>0.2549721658067739</c:v>
                </c:pt>
                <c:pt idx="2">
                  <c:v>0.12837114790710255</c:v>
                </c:pt>
                <c:pt idx="3">
                  <c:v>1.2412770597148756E-2</c:v>
                </c:pt>
              </c:numCache>
            </c:numRef>
          </c:val>
          <c:extLst>
            <c:ext xmlns:c16="http://schemas.microsoft.com/office/drawing/2014/chart" uri="{C3380CC4-5D6E-409C-BE32-E72D297353CC}">
              <c16:uniqueId val="{00000004-5DB5-4439-8FAC-06332CAE5747}"/>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882160198407498E-2"/>
          <c:w val="0.54688595964339415"/>
          <c:h val="0.88442182536795066"/>
        </c:manualLayout>
      </c:layout>
      <c:pieChart>
        <c:varyColors val="1"/>
        <c:ser>
          <c:idx val="0"/>
          <c:order val="0"/>
          <c:dPt>
            <c:idx val="0"/>
            <c:bubble3D val="0"/>
            <c:spPr>
              <a:solidFill>
                <a:srgbClr val="FF0000"/>
              </a:solidFill>
              <a:ln w="19050">
                <a:noFill/>
              </a:ln>
              <a:effectLst/>
            </c:spPr>
            <c:extLst>
              <c:ext xmlns:c16="http://schemas.microsoft.com/office/drawing/2014/chart" uri="{C3380CC4-5D6E-409C-BE32-E72D297353CC}">
                <c16:uniqueId val="{00000001-EAD3-4750-A531-36C34668B62B}"/>
              </c:ext>
            </c:extLst>
          </c:dPt>
          <c:dPt>
            <c:idx val="1"/>
            <c:bubble3D val="0"/>
            <c:spPr>
              <a:solidFill>
                <a:schemeClr val="accent2"/>
              </a:solidFill>
              <a:ln w="19050">
                <a:noFill/>
              </a:ln>
              <a:effectLst/>
            </c:spPr>
            <c:extLst>
              <c:ext xmlns:c16="http://schemas.microsoft.com/office/drawing/2014/chart" uri="{C3380CC4-5D6E-409C-BE32-E72D297353CC}">
                <c16:uniqueId val="{00000003-EAD3-4750-A531-36C34668B62B}"/>
              </c:ext>
            </c:extLst>
          </c:dPt>
          <c:dPt>
            <c:idx val="2"/>
            <c:bubble3D val="0"/>
            <c:spPr>
              <a:solidFill>
                <a:schemeClr val="tx1">
                  <a:lumMod val="50000"/>
                  <a:lumOff val="50000"/>
                </a:schemeClr>
              </a:solidFill>
              <a:ln w="19050">
                <a:noFill/>
              </a:ln>
              <a:effectLst/>
            </c:spPr>
            <c:extLst>
              <c:ext xmlns:c16="http://schemas.microsoft.com/office/drawing/2014/chart" uri="{C3380CC4-5D6E-409C-BE32-E72D297353CC}">
                <c16:uniqueId val="{00000005-EAD3-4750-A531-36C34668B62B}"/>
              </c:ext>
            </c:extLst>
          </c:dPt>
          <c:dPt>
            <c:idx val="3"/>
            <c:bubble3D val="0"/>
            <c:spPr>
              <a:solidFill>
                <a:srgbClr val="FFC000"/>
              </a:solidFill>
              <a:ln w="19050">
                <a:noFill/>
              </a:ln>
              <a:effectLst/>
            </c:spPr>
            <c:extLst>
              <c:ext xmlns:c16="http://schemas.microsoft.com/office/drawing/2014/chart" uri="{C3380CC4-5D6E-409C-BE32-E72D297353CC}">
                <c16:uniqueId val="{00000007-EAD3-4750-A531-36C34668B62B}"/>
              </c:ext>
            </c:extLst>
          </c:dPt>
          <c:dPt>
            <c:idx val="4"/>
            <c:bubble3D val="0"/>
            <c:spPr>
              <a:solidFill>
                <a:schemeClr val="accent5"/>
              </a:solidFill>
              <a:ln w="19050">
                <a:noFill/>
              </a:ln>
              <a:effectLst/>
            </c:spPr>
            <c:extLst>
              <c:ext xmlns:c16="http://schemas.microsoft.com/office/drawing/2014/chart" uri="{C3380CC4-5D6E-409C-BE32-E72D297353CC}">
                <c16:uniqueId val="{00000009-EAD3-4750-A531-36C34668B62B}"/>
              </c:ext>
            </c:extLst>
          </c:dPt>
          <c:dPt>
            <c:idx val="5"/>
            <c:bubble3D val="0"/>
            <c:spPr>
              <a:solidFill>
                <a:schemeClr val="accent6"/>
              </a:solidFill>
              <a:ln w="19050">
                <a:noFill/>
              </a:ln>
              <a:effectLst/>
            </c:spPr>
            <c:extLst>
              <c:ext xmlns:c16="http://schemas.microsoft.com/office/drawing/2014/chart" uri="{C3380CC4-5D6E-409C-BE32-E72D297353CC}">
                <c16:uniqueId val="{0000000B-EAD3-4750-A531-36C34668B62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AD3-4750-A531-36C34668B62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AD3-4750-A531-36C34668B62B}"/>
              </c:ext>
            </c:extLst>
          </c:dPt>
          <c:dPt>
            <c:idx val="8"/>
            <c:bubble3D val="0"/>
            <c:spPr>
              <a:solidFill>
                <a:schemeClr val="tx1"/>
              </a:solidFill>
              <a:ln w="19050">
                <a:noFill/>
              </a:ln>
              <a:effectLst/>
            </c:spPr>
            <c:extLst>
              <c:ext xmlns:c16="http://schemas.microsoft.com/office/drawing/2014/chart" uri="{C3380CC4-5D6E-409C-BE32-E72D297353CC}">
                <c16:uniqueId val="{00000011-EAD3-4750-A531-36C34668B62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EAD3-4750-A531-36C34668B62B}"/>
              </c:ext>
            </c:extLst>
          </c:dPt>
          <c:dPt>
            <c:idx val="10"/>
            <c:bubble3D val="0"/>
            <c:spPr>
              <a:solidFill>
                <a:srgbClr val="33CCCC"/>
              </a:solidFill>
              <a:ln w="19050">
                <a:noFill/>
              </a:ln>
              <a:effectLst/>
            </c:spPr>
            <c:extLst>
              <c:ext xmlns:c16="http://schemas.microsoft.com/office/drawing/2014/chart" uri="{C3380CC4-5D6E-409C-BE32-E72D297353CC}">
                <c16:uniqueId val="{00000015-EAD3-4750-A531-36C34668B62B}"/>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01-01E9-4830-961A-17753D7ACD59}"/>
              </c:ext>
            </c:extLst>
          </c:dPt>
          <c:dPt>
            <c:idx val="12"/>
            <c:bubble3D val="0"/>
            <c:spPr>
              <a:solidFill>
                <a:srgbClr val="7030A0"/>
              </a:solidFill>
              <a:ln w="19050">
                <a:noFill/>
              </a:ln>
              <a:effectLst/>
            </c:spPr>
            <c:extLst>
              <c:ext xmlns:c16="http://schemas.microsoft.com/office/drawing/2014/chart" uri="{C3380CC4-5D6E-409C-BE32-E72D297353CC}">
                <c16:uniqueId val="{00000019-EAD3-4750-A531-36C34668B62B}"/>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EAD3-4750-A531-36C34668B62B}"/>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EAD3-4750-A531-36C34668B62B}"/>
              </c:ext>
            </c:extLst>
          </c:dPt>
          <c:dPt>
            <c:idx val="15"/>
            <c:bubble3D val="0"/>
            <c:spPr>
              <a:solidFill>
                <a:srgbClr val="FF61A1"/>
              </a:solidFill>
              <a:ln w="19050">
                <a:noFill/>
              </a:ln>
              <a:effectLst/>
            </c:spPr>
            <c:extLst>
              <c:ext xmlns:c16="http://schemas.microsoft.com/office/drawing/2014/chart" uri="{C3380CC4-5D6E-409C-BE32-E72D297353CC}">
                <c16:uniqueId val="{0000001F-EAD3-4750-A531-36C34668B62B}"/>
              </c:ext>
            </c:extLst>
          </c:dPt>
          <c:dPt>
            <c:idx val="16"/>
            <c:bubble3D val="0"/>
            <c:spPr>
              <a:solidFill>
                <a:srgbClr val="FFFF00"/>
              </a:solidFill>
              <a:ln w="19050">
                <a:noFill/>
              </a:ln>
              <a:effectLst/>
            </c:spPr>
            <c:extLst>
              <c:ext xmlns:c16="http://schemas.microsoft.com/office/drawing/2014/chart" uri="{C3380CC4-5D6E-409C-BE32-E72D297353CC}">
                <c16:uniqueId val="{00000021-EAD3-4750-A531-36C34668B62B}"/>
              </c:ext>
            </c:extLst>
          </c:dPt>
          <c:dLbls>
            <c:delete val="1"/>
          </c:dLbls>
          <c:cat>
            <c:strRef>
              <c:f>'Task 2 - Series summary'!$B$7:$B$23</c:f>
              <c:strCache>
                <c:ptCount val="17"/>
                <c:pt idx="0">
                  <c:v>Series 300 - Fencing and Environmental Noise Barriers</c:v>
                </c:pt>
                <c:pt idx="1">
                  <c:v>Series 400 - Road Restraint System</c:v>
                </c:pt>
                <c:pt idx="2">
                  <c:v>Series 500 - Drainage and surface ducts</c:v>
                </c:pt>
                <c:pt idx="3">
                  <c:v>Series 600 - Earthworks</c:v>
                </c:pt>
                <c:pt idx="4">
                  <c:v>Series 800 - Road Pavements - Unbound and Cement Bound Mixtures</c:v>
                </c:pt>
                <c:pt idx="5">
                  <c:v> Series 900 - Road Pavements - Bituminous Materials </c:v>
                </c:pt>
                <c:pt idx="6">
                  <c:v>Series 1000 - Road Pavements - Concrete Materials</c:v>
                </c:pt>
                <c:pt idx="7">
                  <c:v>Series 1100 - Kerbs, Footways and Paved Areas</c:v>
                </c:pt>
                <c:pt idx="8">
                  <c:v>Series 1200 - Traffic Signs and Road Markings</c:v>
                </c:pt>
                <c:pt idx="9">
                  <c:v>Series 1500 - Traffic Control and Communications</c:v>
                </c:pt>
                <c:pt idx="10">
                  <c:v>Series 1600 - Piling and Embedded Retaining Walls</c:v>
                </c:pt>
                <c:pt idx="11">
                  <c:v>Series 1700 - Structural Concrete</c:v>
                </c:pt>
                <c:pt idx="12">
                  <c:v>Series 1800 - Structural Steelwork</c:v>
                </c:pt>
                <c:pt idx="13">
                  <c:v>Series 2400 - Brickwork, Blockwork and Stonework</c:v>
                </c:pt>
                <c:pt idx="14">
                  <c:v>Other-Street Furniture and Electrical Equipment</c:v>
                </c:pt>
                <c:pt idx="15">
                  <c:v>Other-Timber</c:v>
                </c:pt>
                <c:pt idx="16">
                  <c:v>Other-Tunnels</c:v>
                </c:pt>
              </c:strCache>
            </c:strRef>
          </c:cat>
          <c:val>
            <c:numRef>
              <c:f>'Task 2 - Series summary'!$C$7:$C$23</c:f>
              <c:numCache>
                <c:formatCode>_-* #,##0_-;\-* #,##0_-;_-* "-"??_-;_-@_-</c:formatCode>
                <c:ptCount val="17"/>
                <c:pt idx="0">
                  <c:v>828.71332510742513</c:v>
                </c:pt>
                <c:pt idx="1">
                  <c:v>5001.4551048926423</c:v>
                </c:pt>
                <c:pt idx="2">
                  <c:v>6088.166825293124</c:v>
                </c:pt>
                <c:pt idx="3">
                  <c:v>809.40624334127392</c:v>
                </c:pt>
                <c:pt idx="4">
                  <c:v>10304.867099999998</c:v>
                </c:pt>
                <c:pt idx="5">
                  <c:v>8330.3282093626276</c:v>
                </c:pt>
                <c:pt idx="6">
                  <c:v>33.115502943083577</c:v>
                </c:pt>
                <c:pt idx="7">
                  <c:v>0</c:v>
                </c:pt>
                <c:pt idx="8">
                  <c:v>198.33859999999999</c:v>
                </c:pt>
                <c:pt idx="9">
                  <c:v>1790.1380305726027</c:v>
                </c:pt>
                <c:pt idx="10">
                  <c:v>612.99349999999993</c:v>
                </c:pt>
                <c:pt idx="11">
                  <c:v>52195.660369401579</c:v>
                </c:pt>
                <c:pt idx="12">
                  <c:v>1049.2394999999999</c:v>
                </c:pt>
                <c:pt idx="13">
                  <c:v>541.08534915912014</c:v>
                </c:pt>
                <c:pt idx="14">
                  <c:v>0</c:v>
                </c:pt>
                <c:pt idx="15">
                  <c:v>61.333700600941462</c:v>
                </c:pt>
                <c:pt idx="16">
                  <c:v>0</c:v>
                </c:pt>
              </c:numCache>
            </c:numRef>
          </c:val>
          <c:extLst>
            <c:ext xmlns:c16="http://schemas.microsoft.com/office/drawing/2014/chart" uri="{C3380CC4-5D6E-409C-BE32-E72D297353CC}">
              <c16:uniqueId val="{00000000-01E9-4830-961A-17753D7ACD59}"/>
            </c:ext>
          </c:extLst>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4667592846752677"/>
          <c:y val="6.136489840901882E-2"/>
          <c:w val="0.45035413317199874"/>
          <c:h val="0.8968982546692613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6265219371428"/>
          <c:y val="2.8924256041605027E-2"/>
          <c:w val="0.86640186006527153"/>
          <c:h val="0.70405936531984703"/>
        </c:manualLayout>
      </c:layout>
      <c:barChart>
        <c:barDir val="bar"/>
        <c:grouping val="stacked"/>
        <c:varyColors val="0"/>
        <c:ser>
          <c:idx val="0"/>
          <c:order val="0"/>
          <c:tx>
            <c:strRef>
              <c:f>'Task 2 - Series summary'!$C$29</c:f>
              <c:strCache>
                <c:ptCount val="1"/>
                <c:pt idx="0">
                  <c:v>AOB</c:v>
                </c:pt>
              </c:strCache>
            </c:strRef>
          </c:tx>
          <c:spPr>
            <a:solidFill>
              <a:schemeClr val="accent1">
                <a:lumMod val="75000"/>
              </a:schemeClr>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summary'!$D$29:$T$29</c:f>
              <c:numCache>
                <c:formatCode>_-* #,##0_-;\-* #,##0_-;_-* "-"??_-;_-@_-</c:formatCode>
                <c:ptCount val="17"/>
                <c:pt idx="0">
                  <c:v>0</c:v>
                </c:pt>
                <c:pt idx="1">
                  <c:v>9.4125999999999994</c:v>
                </c:pt>
                <c:pt idx="2">
                  <c:v>21.250499999999999</c:v>
                </c:pt>
                <c:pt idx="3">
                  <c:v>2.0343</c:v>
                </c:pt>
                <c:pt idx="4">
                  <c:v>0</c:v>
                </c:pt>
                <c:pt idx="5">
                  <c:v>0.2298</c:v>
                </c:pt>
                <c:pt idx="6">
                  <c:v>0.79039999999999999</c:v>
                </c:pt>
                <c:pt idx="7">
                  <c:v>0</c:v>
                </c:pt>
                <c:pt idx="8">
                  <c:v>0</c:v>
                </c:pt>
                <c:pt idx="9">
                  <c:v>3.3687</c:v>
                </c:pt>
                <c:pt idx="10">
                  <c:v>0</c:v>
                </c:pt>
                <c:pt idx="11">
                  <c:v>432.5351</c:v>
                </c:pt>
                <c:pt idx="12">
                  <c:v>0</c:v>
                </c:pt>
                <c:pt idx="13">
                  <c:v>0</c:v>
                </c:pt>
                <c:pt idx="14">
                  <c:v>0</c:v>
                </c:pt>
                <c:pt idx="15">
                  <c:v>1.3111999999999999</c:v>
                </c:pt>
                <c:pt idx="16">
                  <c:v>0</c:v>
                </c:pt>
              </c:numCache>
            </c:numRef>
          </c:val>
          <c:extLst>
            <c:ext xmlns:c16="http://schemas.microsoft.com/office/drawing/2014/chart" uri="{C3380CC4-5D6E-409C-BE32-E72D297353CC}">
              <c16:uniqueId val="{00000000-2E45-49AF-89BC-591D1858BD2D}"/>
            </c:ext>
          </c:extLst>
        </c:ser>
        <c:ser>
          <c:idx val="1"/>
          <c:order val="1"/>
          <c:tx>
            <c:strRef>
              <c:f>'Task 2 - Series summary'!$C$30</c:f>
              <c:strCache>
                <c:ptCount val="1"/>
                <c:pt idx="0">
                  <c:v>AUB</c:v>
                </c:pt>
              </c:strCache>
            </c:strRef>
          </c:tx>
          <c:spPr>
            <a:solidFill>
              <a:schemeClr val="accent2">
                <a:lumMod val="75000"/>
              </a:schemeClr>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summary'!$D$30:$T$30</c:f>
              <c:numCache>
                <c:formatCode>_-* #,##0_-;\-* #,##0_-;_-* "-"??_-;_-@_-</c:formatCode>
                <c:ptCount val="17"/>
                <c:pt idx="0">
                  <c:v>5.0973251074251245</c:v>
                </c:pt>
                <c:pt idx="1">
                  <c:v>0</c:v>
                </c:pt>
                <c:pt idx="2">
                  <c:v>111.66464393840795</c:v>
                </c:pt>
                <c:pt idx="3">
                  <c:v>155.43728028279094</c:v>
                </c:pt>
                <c:pt idx="4">
                  <c:v>0</c:v>
                </c:pt>
                <c:pt idx="5">
                  <c:v>2.2966777819174751</c:v>
                </c:pt>
                <c:pt idx="6">
                  <c:v>5.5730599797320464</c:v>
                </c:pt>
                <c:pt idx="7">
                  <c:v>0</c:v>
                </c:pt>
                <c:pt idx="8">
                  <c:v>0</c:v>
                </c:pt>
                <c:pt idx="9">
                  <c:v>0</c:v>
                </c:pt>
                <c:pt idx="10">
                  <c:v>0</c:v>
                </c:pt>
                <c:pt idx="11">
                  <c:v>2801.5082895936307</c:v>
                </c:pt>
                <c:pt idx="12">
                  <c:v>0</c:v>
                </c:pt>
                <c:pt idx="13">
                  <c:v>0</c:v>
                </c:pt>
                <c:pt idx="14">
                  <c:v>0</c:v>
                </c:pt>
                <c:pt idx="15">
                  <c:v>19.621936212906245</c:v>
                </c:pt>
                <c:pt idx="16">
                  <c:v>0</c:v>
                </c:pt>
              </c:numCache>
            </c:numRef>
          </c:val>
          <c:extLst>
            <c:ext xmlns:c16="http://schemas.microsoft.com/office/drawing/2014/chart" uri="{C3380CC4-5D6E-409C-BE32-E72D297353CC}">
              <c16:uniqueId val="{00000001-2E45-49AF-89BC-591D1858BD2D}"/>
            </c:ext>
          </c:extLst>
        </c:ser>
        <c:ser>
          <c:idx val="2"/>
          <c:order val="2"/>
          <c:tx>
            <c:strRef>
              <c:f>'Task 2 - Series summary'!$C$31</c:f>
              <c:strCache>
                <c:ptCount val="1"/>
                <c:pt idx="0">
                  <c:v>CAUB</c:v>
                </c:pt>
              </c:strCache>
            </c:strRef>
          </c:tx>
          <c:spPr>
            <a:solidFill>
              <a:schemeClr val="tx1">
                <a:lumMod val="50000"/>
                <a:lumOff val="50000"/>
              </a:schemeClr>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summary'!$D$31:$T$31</c:f>
              <c:numCache>
                <c:formatCode>_-* #,##0_-;\-* #,##0_-;_-* "-"??_-;_-@_-</c:formatCode>
                <c:ptCount val="17"/>
                <c:pt idx="0">
                  <c:v>0</c:v>
                </c:pt>
                <c:pt idx="1">
                  <c:v>6.5826999999999991</c:v>
                </c:pt>
                <c:pt idx="2">
                  <c:v>46.147199999999998</c:v>
                </c:pt>
                <c:pt idx="3">
                  <c:v>32.816900000000004</c:v>
                </c:pt>
                <c:pt idx="4">
                  <c:v>0</c:v>
                </c:pt>
                <c:pt idx="5">
                  <c:v>0.51619999999999999</c:v>
                </c:pt>
                <c:pt idx="6">
                  <c:v>1.6507000000000001</c:v>
                </c:pt>
                <c:pt idx="7">
                  <c:v>0</c:v>
                </c:pt>
                <c:pt idx="8">
                  <c:v>0</c:v>
                </c:pt>
                <c:pt idx="9">
                  <c:v>11.297599999999999</c:v>
                </c:pt>
                <c:pt idx="10">
                  <c:v>0</c:v>
                </c:pt>
                <c:pt idx="11">
                  <c:v>1652.2668000000001</c:v>
                </c:pt>
                <c:pt idx="12">
                  <c:v>0</c:v>
                </c:pt>
                <c:pt idx="13">
                  <c:v>0</c:v>
                </c:pt>
                <c:pt idx="14">
                  <c:v>0</c:v>
                </c:pt>
                <c:pt idx="15">
                  <c:v>2.8376000000000001</c:v>
                </c:pt>
                <c:pt idx="16">
                  <c:v>0</c:v>
                </c:pt>
              </c:numCache>
            </c:numRef>
          </c:val>
          <c:extLst>
            <c:ext xmlns:c16="http://schemas.microsoft.com/office/drawing/2014/chart" uri="{C3380CC4-5D6E-409C-BE32-E72D297353CC}">
              <c16:uniqueId val="{00000002-2E45-49AF-89BC-591D1858BD2D}"/>
            </c:ext>
          </c:extLst>
        </c:ser>
        <c:ser>
          <c:idx val="3"/>
          <c:order val="3"/>
          <c:tx>
            <c:strRef>
              <c:f>'Task 2 - Series summary'!$C$32</c:f>
              <c:strCache>
                <c:ptCount val="1"/>
                <c:pt idx="0">
                  <c:v>CUB</c:v>
                </c:pt>
              </c:strCache>
            </c:strRef>
          </c:tx>
          <c:spPr>
            <a:solidFill>
              <a:srgbClr val="FFC000"/>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summary'!$D$32:$T$32</c:f>
              <c:numCache>
                <c:formatCode>_-* #,##0_-;\-* #,##0_-;_-* "-"??_-;_-@_-</c:formatCode>
                <c:ptCount val="17"/>
                <c:pt idx="0">
                  <c:v>0</c:v>
                </c:pt>
                <c:pt idx="1">
                  <c:v>6.1520000000000001</c:v>
                </c:pt>
                <c:pt idx="2">
                  <c:v>36.487099999999998</c:v>
                </c:pt>
                <c:pt idx="3">
                  <c:v>35.965199999999996</c:v>
                </c:pt>
                <c:pt idx="4">
                  <c:v>0</c:v>
                </c:pt>
                <c:pt idx="5">
                  <c:v>0.48540000000000005</c:v>
                </c:pt>
                <c:pt idx="6">
                  <c:v>1.1621000000000001</c:v>
                </c:pt>
                <c:pt idx="7">
                  <c:v>0</c:v>
                </c:pt>
                <c:pt idx="8">
                  <c:v>0</c:v>
                </c:pt>
                <c:pt idx="9">
                  <c:v>13.7834</c:v>
                </c:pt>
                <c:pt idx="10">
                  <c:v>0</c:v>
                </c:pt>
                <c:pt idx="11">
                  <c:v>2064.1570000000002</c:v>
                </c:pt>
                <c:pt idx="12">
                  <c:v>0</c:v>
                </c:pt>
                <c:pt idx="13">
                  <c:v>0</c:v>
                </c:pt>
                <c:pt idx="14">
                  <c:v>0</c:v>
                </c:pt>
                <c:pt idx="15">
                  <c:v>1.6741000000000001</c:v>
                </c:pt>
                <c:pt idx="16">
                  <c:v>0</c:v>
                </c:pt>
              </c:numCache>
            </c:numRef>
          </c:val>
          <c:extLst>
            <c:ext xmlns:c16="http://schemas.microsoft.com/office/drawing/2014/chart" uri="{C3380CC4-5D6E-409C-BE32-E72D297353CC}">
              <c16:uniqueId val="{00000003-2E45-49AF-89BC-591D1858BD2D}"/>
            </c:ext>
          </c:extLst>
        </c:ser>
        <c:ser>
          <c:idx val="4"/>
          <c:order val="4"/>
          <c:tx>
            <c:strRef>
              <c:f>'Task 2 - Series summary'!$C$33</c:f>
              <c:strCache>
                <c:ptCount val="1"/>
                <c:pt idx="0">
                  <c:v>JUB</c:v>
                </c:pt>
              </c:strCache>
            </c:strRef>
          </c:tx>
          <c:spPr>
            <a:solidFill>
              <a:srgbClr val="7030A0"/>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summary'!$D$33:$T$33</c:f>
              <c:numCache>
                <c:formatCode>_-* #,##0_-;\-* #,##0_-;_-* "-"??_-;_-@_-</c:formatCode>
                <c:ptCount val="17"/>
                <c:pt idx="0">
                  <c:v>0</c:v>
                </c:pt>
                <c:pt idx="1">
                  <c:v>15.307375914634147</c:v>
                </c:pt>
                <c:pt idx="2">
                  <c:v>69.372189634146338</c:v>
                </c:pt>
                <c:pt idx="3">
                  <c:v>69.182440548780491</c:v>
                </c:pt>
                <c:pt idx="4">
                  <c:v>0</c:v>
                </c:pt>
                <c:pt idx="5">
                  <c:v>0.69536676829268296</c:v>
                </c:pt>
                <c:pt idx="6">
                  <c:v>2.9738753048780486</c:v>
                </c:pt>
                <c:pt idx="7">
                  <c:v>0</c:v>
                </c:pt>
                <c:pt idx="8">
                  <c:v>0</c:v>
                </c:pt>
                <c:pt idx="9">
                  <c:v>13.233621646341465</c:v>
                </c:pt>
                <c:pt idx="10">
                  <c:v>0</c:v>
                </c:pt>
                <c:pt idx="11">
                  <c:v>9008.1068618902445</c:v>
                </c:pt>
                <c:pt idx="12">
                  <c:v>0</c:v>
                </c:pt>
                <c:pt idx="13">
                  <c:v>0</c:v>
                </c:pt>
                <c:pt idx="14">
                  <c:v>0</c:v>
                </c:pt>
                <c:pt idx="15">
                  <c:v>4.3723963414634142</c:v>
                </c:pt>
                <c:pt idx="16">
                  <c:v>0</c:v>
                </c:pt>
              </c:numCache>
            </c:numRef>
          </c:val>
          <c:extLst>
            <c:ext xmlns:c16="http://schemas.microsoft.com/office/drawing/2014/chart" uri="{C3380CC4-5D6E-409C-BE32-E72D297353CC}">
              <c16:uniqueId val="{00000004-2E45-49AF-89BC-591D1858BD2D}"/>
            </c:ext>
          </c:extLst>
        </c:ser>
        <c:ser>
          <c:idx val="5"/>
          <c:order val="5"/>
          <c:tx>
            <c:strRef>
              <c:f>'Task 2 - Series summary'!$C$34</c:f>
              <c:strCache>
                <c:ptCount val="1"/>
                <c:pt idx="0">
                  <c:v>OB</c:v>
                </c:pt>
              </c:strCache>
            </c:strRef>
          </c:tx>
          <c:spPr>
            <a:solidFill>
              <a:srgbClr val="00B050"/>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summary'!$D$34:$T$34</c:f>
              <c:numCache>
                <c:formatCode>_-* #,##0_-;\-* #,##0_-;_-* "-"??_-;_-@_-</c:formatCode>
                <c:ptCount val="17"/>
                <c:pt idx="0">
                  <c:v>0</c:v>
                </c:pt>
                <c:pt idx="1">
                  <c:v>32.113700000000001</c:v>
                </c:pt>
                <c:pt idx="2">
                  <c:v>89.783600000000007</c:v>
                </c:pt>
                <c:pt idx="3">
                  <c:v>16.309800000000003</c:v>
                </c:pt>
                <c:pt idx="4">
                  <c:v>0</c:v>
                </c:pt>
                <c:pt idx="5">
                  <c:v>1.2986</c:v>
                </c:pt>
                <c:pt idx="6">
                  <c:v>2.4760999999999997</c:v>
                </c:pt>
                <c:pt idx="7">
                  <c:v>0</c:v>
                </c:pt>
                <c:pt idx="8">
                  <c:v>0</c:v>
                </c:pt>
                <c:pt idx="9">
                  <c:v>19.072299999999998</c:v>
                </c:pt>
                <c:pt idx="10">
                  <c:v>0</c:v>
                </c:pt>
                <c:pt idx="11">
                  <c:v>5127.0581000000002</c:v>
                </c:pt>
                <c:pt idx="12">
                  <c:v>0</c:v>
                </c:pt>
                <c:pt idx="13">
                  <c:v>0</c:v>
                </c:pt>
                <c:pt idx="14">
                  <c:v>0</c:v>
                </c:pt>
                <c:pt idx="15">
                  <c:v>6.0743999999999998</c:v>
                </c:pt>
                <c:pt idx="16">
                  <c:v>0</c:v>
                </c:pt>
              </c:numCache>
            </c:numRef>
          </c:val>
          <c:extLst>
            <c:ext xmlns:c16="http://schemas.microsoft.com/office/drawing/2014/chart" uri="{C3380CC4-5D6E-409C-BE32-E72D297353CC}">
              <c16:uniqueId val="{00000005-2E45-49AF-89BC-591D1858BD2D}"/>
            </c:ext>
          </c:extLst>
        </c:ser>
        <c:ser>
          <c:idx val="6"/>
          <c:order val="6"/>
          <c:tx>
            <c:strRef>
              <c:f>'Task 2 - Series summary'!$C$35</c:f>
              <c:strCache>
                <c:ptCount val="1"/>
                <c:pt idx="0">
                  <c:v>PUP</c:v>
                </c:pt>
              </c:strCache>
            </c:strRef>
          </c:tx>
          <c:spPr>
            <a:solidFill>
              <a:schemeClr val="accent1">
                <a:lumMod val="60000"/>
                <a:lumOff val="40000"/>
              </a:schemeClr>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summary'!$D$35:$T$35</c:f>
              <c:numCache>
                <c:formatCode>_-* #,##0_-;\-* #,##0_-;_-* "-"??_-;_-@_-</c:formatCode>
                <c:ptCount val="17"/>
                <c:pt idx="0">
                  <c:v>0.68530000000000002</c:v>
                </c:pt>
                <c:pt idx="1">
                  <c:v>0</c:v>
                </c:pt>
                <c:pt idx="2">
                  <c:v>25.022599999999997</c:v>
                </c:pt>
                <c:pt idx="3">
                  <c:v>10.5387</c:v>
                </c:pt>
                <c:pt idx="4">
                  <c:v>0</c:v>
                </c:pt>
                <c:pt idx="5">
                  <c:v>0.1832</c:v>
                </c:pt>
                <c:pt idx="6">
                  <c:v>0.49349999999999999</c:v>
                </c:pt>
                <c:pt idx="7">
                  <c:v>0</c:v>
                </c:pt>
                <c:pt idx="8">
                  <c:v>0</c:v>
                </c:pt>
                <c:pt idx="9">
                  <c:v>0</c:v>
                </c:pt>
                <c:pt idx="10">
                  <c:v>0</c:v>
                </c:pt>
                <c:pt idx="11">
                  <c:v>327.77750000000003</c:v>
                </c:pt>
                <c:pt idx="12">
                  <c:v>0</c:v>
                </c:pt>
                <c:pt idx="13">
                  <c:v>0</c:v>
                </c:pt>
                <c:pt idx="14">
                  <c:v>0</c:v>
                </c:pt>
                <c:pt idx="15">
                  <c:v>1.9367000000000001</c:v>
                </c:pt>
                <c:pt idx="16">
                  <c:v>0</c:v>
                </c:pt>
              </c:numCache>
            </c:numRef>
          </c:val>
          <c:extLst>
            <c:ext xmlns:c16="http://schemas.microsoft.com/office/drawing/2014/chart" uri="{C3380CC4-5D6E-409C-BE32-E72D297353CC}">
              <c16:uniqueId val="{00000006-2E45-49AF-89BC-591D1858BD2D}"/>
            </c:ext>
          </c:extLst>
        </c:ser>
        <c:ser>
          <c:idx val="7"/>
          <c:order val="7"/>
          <c:tx>
            <c:strRef>
              <c:f>'Task 2 - Series summary'!$C$36</c:f>
              <c:strCache>
                <c:ptCount val="1"/>
                <c:pt idx="0">
                  <c:v>RB</c:v>
                </c:pt>
              </c:strCache>
            </c:strRef>
          </c:tx>
          <c:spPr>
            <a:solidFill>
              <a:schemeClr val="tx1"/>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summary'!$D$36:$T$36</c:f>
              <c:numCache>
                <c:formatCode>_-* #,##0_-;\-* #,##0_-;_-* "-"??_-;_-@_-</c:formatCode>
                <c:ptCount val="17"/>
                <c:pt idx="0">
                  <c:v>1.4550000000000001</c:v>
                </c:pt>
                <c:pt idx="1">
                  <c:v>63.84259999999999</c:v>
                </c:pt>
                <c:pt idx="2">
                  <c:v>89.834299999999999</c:v>
                </c:pt>
                <c:pt idx="3">
                  <c:v>119.1611</c:v>
                </c:pt>
                <c:pt idx="4">
                  <c:v>0</c:v>
                </c:pt>
                <c:pt idx="5">
                  <c:v>2.6786999999999996</c:v>
                </c:pt>
                <c:pt idx="6">
                  <c:v>6.5404999999999998</c:v>
                </c:pt>
                <c:pt idx="7">
                  <c:v>0</c:v>
                </c:pt>
                <c:pt idx="8">
                  <c:v>0</c:v>
                </c:pt>
                <c:pt idx="9">
                  <c:v>40.878399999999999</c:v>
                </c:pt>
                <c:pt idx="10">
                  <c:v>612.99349999999993</c:v>
                </c:pt>
                <c:pt idx="11">
                  <c:v>15501.043700000002</c:v>
                </c:pt>
                <c:pt idx="12">
                  <c:v>1049.2394999999999</c:v>
                </c:pt>
                <c:pt idx="13">
                  <c:v>484.11200000000002</c:v>
                </c:pt>
                <c:pt idx="14">
                  <c:v>0</c:v>
                </c:pt>
                <c:pt idx="15">
                  <c:v>10.968500000000002</c:v>
                </c:pt>
                <c:pt idx="16">
                  <c:v>0</c:v>
                </c:pt>
              </c:numCache>
            </c:numRef>
          </c:val>
          <c:extLst>
            <c:ext xmlns:c16="http://schemas.microsoft.com/office/drawing/2014/chart" uri="{C3380CC4-5D6E-409C-BE32-E72D297353CC}">
              <c16:uniqueId val="{00000007-2E45-49AF-89BC-591D1858BD2D}"/>
            </c:ext>
          </c:extLst>
        </c:ser>
        <c:ser>
          <c:idx val="8"/>
          <c:order val="8"/>
          <c:tx>
            <c:strRef>
              <c:f>'Task 2 - Series summary'!$C$37</c:f>
              <c:strCache>
                <c:ptCount val="1"/>
                <c:pt idx="0">
                  <c:v>UB</c:v>
                </c:pt>
              </c:strCache>
            </c:strRef>
          </c:tx>
          <c:spPr>
            <a:solidFill>
              <a:schemeClr val="bg1">
                <a:lumMod val="85000"/>
              </a:schemeClr>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summary'!$D$37:$T$37</c:f>
              <c:numCache>
                <c:formatCode>_-* #,##0_-;\-* #,##0_-;_-* "-"??_-;_-@_-</c:formatCode>
                <c:ptCount val="17"/>
                <c:pt idx="0">
                  <c:v>0</c:v>
                </c:pt>
                <c:pt idx="1">
                  <c:v>28.261628978007764</c:v>
                </c:pt>
                <c:pt idx="2">
                  <c:v>80.137591720569205</c:v>
                </c:pt>
                <c:pt idx="3">
                  <c:v>84.608222509702458</c:v>
                </c:pt>
                <c:pt idx="4">
                  <c:v>0</c:v>
                </c:pt>
                <c:pt idx="5">
                  <c:v>0.71516481241914609</c:v>
                </c:pt>
                <c:pt idx="6">
                  <c:v>4.3353676584734799</c:v>
                </c:pt>
                <c:pt idx="7">
                  <c:v>0</c:v>
                </c:pt>
                <c:pt idx="8">
                  <c:v>0</c:v>
                </c:pt>
                <c:pt idx="9">
                  <c:v>37.593508926261322</c:v>
                </c:pt>
                <c:pt idx="10">
                  <c:v>0</c:v>
                </c:pt>
                <c:pt idx="11">
                  <c:v>13382.685030789133</c:v>
                </c:pt>
                <c:pt idx="12">
                  <c:v>0</c:v>
                </c:pt>
                <c:pt idx="13">
                  <c:v>22.178049159120309</c:v>
                </c:pt>
                <c:pt idx="14">
                  <c:v>0</c:v>
                </c:pt>
                <c:pt idx="15">
                  <c:v>8.0522680465717986</c:v>
                </c:pt>
                <c:pt idx="16">
                  <c:v>0</c:v>
                </c:pt>
              </c:numCache>
            </c:numRef>
          </c:val>
          <c:extLst>
            <c:ext xmlns:c16="http://schemas.microsoft.com/office/drawing/2014/chart" uri="{C3380CC4-5D6E-409C-BE32-E72D297353CC}">
              <c16:uniqueId val="{00000008-2E45-49AF-89BC-591D1858BD2D}"/>
            </c:ext>
          </c:extLst>
        </c:ser>
        <c:ser>
          <c:idx val="9"/>
          <c:order val="9"/>
          <c:tx>
            <c:strRef>
              <c:f>'Task 2 - Series summary'!$C$38</c:f>
              <c:strCache>
                <c:ptCount val="1"/>
                <c:pt idx="0">
                  <c:v>C</c:v>
                </c:pt>
              </c:strCache>
            </c:strRef>
          </c:tx>
          <c:spPr>
            <a:solidFill>
              <a:schemeClr val="accent2">
                <a:lumMod val="50000"/>
              </a:schemeClr>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summary'!$D$38:$T$38</c:f>
              <c:numCache>
                <c:formatCode>_-* #,##0_-;\-* #,##0_-;_-* "-"??_-;_-@_-</c:formatCode>
                <c:ptCount val="17"/>
                <c:pt idx="0">
                  <c:v>0</c:v>
                </c:pt>
                <c:pt idx="1">
                  <c:v>0</c:v>
                </c:pt>
                <c:pt idx="2">
                  <c:v>94.6721</c:v>
                </c:pt>
                <c:pt idx="3">
                  <c:v>33.441099999999999</c:v>
                </c:pt>
                <c:pt idx="4">
                  <c:v>0</c:v>
                </c:pt>
                <c:pt idx="5">
                  <c:v>2.0007000000000001</c:v>
                </c:pt>
                <c:pt idx="6">
                  <c:v>7.1199000000000003</c:v>
                </c:pt>
                <c:pt idx="7">
                  <c:v>0</c:v>
                </c:pt>
                <c:pt idx="8">
                  <c:v>0</c:v>
                </c:pt>
                <c:pt idx="9">
                  <c:v>0</c:v>
                </c:pt>
                <c:pt idx="10">
                  <c:v>0</c:v>
                </c:pt>
                <c:pt idx="11">
                  <c:v>1550.0711871285707</c:v>
                </c:pt>
                <c:pt idx="12">
                  <c:v>0</c:v>
                </c:pt>
                <c:pt idx="13">
                  <c:v>0.18410000000000001</c:v>
                </c:pt>
                <c:pt idx="14">
                  <c:v>0</c:v>
                </c:pt>
                <c:pt idx="15">
                  <c:v>4.4846000000000004</c:v>
                </c:pt>
                <c:pt idx="16">
                  <c:v>0</c:v>
                </c:pt>
              </c:numCache>
            </c:numRef>
          </c:val>
          <c:extLst>
            <c:ext xmlns:c16="http://schemas.microsoft.com/office/drawing/2014/chart" uri="{C3380CC4-5D6E-409C-BE32-E72D297353CC}">
              <c16:uniqueId val="{00000009-2E45-49AF-89BC-591D1858BD2D}"/>
            </c:ext>
          </c:extLst>
        </c:ser>
        <c:ser>
          <c:idx val="10"/>
          <c:order val="10"/>
          <c:tx>
            <c:strRef>
              <c:f>'Task 2 - Series summary'!$C$39</c:f>
              <c:strCache>
                <c:ptCount val="1"/>
                <c:pt idx="0">
                  <c:v>SR</c:v>
                </c:pt>
              </c:strCache>
            </c:strRef>
          </c:tx>
          <c:spPr>
            <a:solidFill>
              <a:srgbClr val="FFFF00"/>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summary'!$D$39:$T$39</c:f>
              <c:numCache>
                <c:formatCode>_-* #,##0_-;\-* #,##0_-;_-* "-"??_-;_-@_-</c:formatCode>
                <c:ptCount val="17"/>
                <c:pt idx="0">
                  <c:v>0</c:v>
                </c:pt>
                <c:pt idx="1">
                  <c:v>0</c:v>
                </c:pt>
                <c:pt idx="2">
                  <c:v>99.095200000000006</c:v>
                </c:pt>
                <c:pt idx="3">
                  <c:v>5.7576999999999998</c:v>
                </c:pt>
                <c:pt idx="4">
                  <c:v>57.215600000000002</c:v>
                </c:pt>
                <c:pt idx="5">
                  <c:v>339.87850000000003</c:v>
                </c:pt>
                <c:pt idx="6">
                  <c:v>0</c:v>
                </c:pt>
                <c:pt idx="7">
                  <c:v>0</c:v>
                </c:pt>
                <c:pt idx="8">
                  <c:v>2.1377999999999999</c:v>
                </c:pt>
                <c:pt idx="9">
                  <c:v>2.4796999999999998</c:v>
                </c:pt>
                <c:pt idx="10">
                  <c:v>0</c:v>
                </c:pt>
                <c:pt idx="11">
                  <c:v>5.3735999999999997</c:v>
                </c:pt>
                <c:pt idx="12">
                  <c:v>0</c:v>
                </c:pt>
                <c:pt idx="13">
                  <c:v>14.1906</c:v>
                </c:pt>
                <c:pt idx="14">
                  <c:v>0</c:v>
                </c:pt>
                <c:pt idx="15">
                  <c:v>0</c:v>
                </c:pt>
                <c:pt idx="16">
                  <c:v>0</c:v>
                </c:pt>
              </c:numCache>
            </c:numRef>
          </c:val>
          <c:extLst>
            <c:ext xmlns:c16="http://schemas.microsoft.com/office/drawing/2014/chart" uri="{C3380CC4-5D6E-409C-BE32-E72D297353CC}">
              <c16:uniqueId val="{0000000A-2E45-49AF-89BC-591D1858BD2D}"/>
            </c:ext>
          </c:extLst>
        </c:ser>
        <c:ser>
          <c:idx val="11"/>
          <c:order val="11"/>
          <c:tx>
            <c:strRef>
              <c:f>'Task 2 - Series summary'!$C$40</c:f>
              <c:strCache>
                <c:ptCount val="1"/>
                <c:pt idx="0">
                  <c:v>J</c:v>
                </c:pt>
              </c:strCache>
            </c:strRef>
          </c:tx>
          <c:spPr>
            <a:solidFill>
              <a:schemeClr val="accent6">
                <a:lumMod val="75000"/>
              </a:schemeClr>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summary'!$D$40:$T$40</c:f>
              <c:numCache>
                <c:formatCode>_-* #,##0_-;\-* #,##0_-;_-* "-"??_-;_-@_-</c:formatCode>
                <c:ptCount val="17"/>
                <c:pt idx="0">
                  <c:v>0</c:v>
                </c:pt>
                <c:pt idx="1">
                  <c:v>0</c:v>
                </c:pt>
                <c:pt idx="2">
                  <c:v>154.50739999999999</c:v>
                </c:pt>
                <c:pt idx="3">
                  <c:v>8.2865000000000002</c:v>
                </c:pt>
                <c:pt idx="4">
                  <c:v>82.338200000000001</c:v>
                </c:pt>
                <c:pt idx="5">
                  <c:v>541.35320000000002</c:v>
                </c:pt>
                <c:pt idx="6">
                  <c:v>0</c:v>
                </c:pt>
                <c:pt idx="7">
                  <c:v>0</c:v>
                </c:pt>
                <c:pt idx="8">
                  <c:v>3.0763000000000003</c:v>
                </c:pt>
                <c:pt idx="9">
                  <c:v>3.5682999999999998</c:v>
                </c:pt>
                <c:pt idx="10">
                  <c:v>0</c:v>
                </c:pt>
                <c:pt idx="11">
                  <c:v>7.9298000000000002</c:v>
                </c:pt>
                <c:pt idx="12">
                  <c:v>0</c:v>
                </c:pt>
                <c:pt idx="13">
                  <c:v>20.4206</c:v>
                </c:pt>
                <c:pt idx="14">
                  <c:v>0</c:v>
                </c:pt>
                <c:pt idx="15">
                  <c:v>0</c:v>
                </c:pt>
                <c:pt idx="16">
                  <c:v>0</c:v>
                </c:pt>
              </c:numCache>
            </c:numRef>
          </c:val>
          <c:extLst>
            <c:ext xmlns:c16="http://schemas.microsoft.com/office/drawing/2014/chart" uri="{C3380CC4-5D6E-409C-BE32-E72D297353CC}">
              <c16:uniqueId val="{0000000B-2E45-49AF-89BC-591D1858BD2D}"/>
            </c:ext>
          </c:extLst>
        </c:ser>
        <c:ser>
          <c:idx val="12"/>
          <c:order val="12"/>
          <c:tx>
            <c:strRef>
              <c:f>'Task 2 - Series summary'!$C$41</c:f>
              <c:strCache>
                <c:ptCount val="1"/>
                <c:pt idx="0">
                  <c:v>M</c:v>
                </c:pt>
              </c:strCache>
            </c:strRef>
          </c:tx>
          <c:spPr>
            <a:solidFill>
              <a:srgbClr val="FF0000"/>
            </a:solidFill>
            <a:ln>
              <a:noFill/>
            </a:ln>
            <a:effectLst/>
          </c:spPr>
          <c:invertIfNegative val="0"/>
          <c:cat>
            <c:strRef>
              <c:f>'Task 2 - Series summary'!$D$28:$T$28</c:f>
              <c:strCache>
                <c:ptCount val="17"/>
                <c:pt idx="0">
                  <c:v>Series 300</c:v>
                </c:pt>
                <c:pt idx="1">
                  <c:v>Series 400</c:v>
                </c:pt>
                <c:pt idx="2">
                  <c:v>Series 500</c:v>
                </c:pt>
                <c:pt idx="3">
                  <c:v>Series 600</c:v>
                </c:pt>
                <c:pt idx="4">
                  <c:v>Series 800</c:v>
                </c:pt>
                <c:pt idx="5">
                  <c:v> Series 900 </c:v>
                </c:pt>
                <c:pt idx="6">
                  <c:v>Series 1000</c:v>
                </c:pt>
                <c:pt idx="7">
                  <c:v>Series 1100</c:v>
                </c:pt>
                <c:pt idx="8">
                  <c:v>Series 1200</c:v>
                </c:pt>
                <c:pt idx="9">
                  <c:v>Series 1500</c:v>
                </c:pt>
                <c:pt idx="10">
                  <c:v>Series 1600</c:v>
                </c:pt>
                <c:pt idx="11">
                  <c:v>Series 1700</c:v>
                </c:pt>
                <c:pt idx="12">
                  <c:v>Series 1800</c:v>
                </c:pt>
                <c:pt idx="13">
                  <c:v>Series 2400</c:v>
                </c:pt>
                <c:pt idx="14">
                  <c:v>Other-Street Furniture and Electrical Equipment</c:v>
                </c:pt>
                <c:pt idx="15">
                  <c:v>Other-Timber</c:v>
                </c:pt>
                <c:pt idx="16">
                  <c:v>Other-Tunnels</c:v>
                </c:pt>
              </c:strCache>
            </c:strRef>
          </c:cat>
          <c:val>
            <c:numRef>
              <c:f>'Task 2 - Series summary'!$D$41:$T$41</c:f>
              <c:numCache>
                <c:formatCode>_-* #,##0_-;\-* #,##0_-;_-* "-"??_-;_-@_-</c:formatCode>
                <c:ptCount val="17"/>
                <c:pt idx="0">
                  <c:v>821.47569999999996</c:v>
                </c:pt>
                <c:pt idx="1">
                  <c:v>4839.7825000000003</c:v>
                </c:pt>
                <c:pt idx="2">
                  <c:v>5170.1923999999999</c:v>
                </c:pt>
                <c:pt idx="3">
                  <c:v>235.86699999999999</c:v>
                </c:pt>
                <c:pt idx="4">
                  <c:v>10165.3133</c:v>
                </c:pt>
                <c:pt idx="5">
                  <c:v>7437.9966999999997</c:v>
                </c:pt>
                <c:pt idx="6">
                  <c:v>0</c:v>
                </c:pt>
                <c:pt idx="7">
                  <c:v>0</c:v>
                </c:pt>
                <c:pt idx="8">
                  <c:v>193.12449999999998</c:v>
                </c:pt>
                <c:pt idx="9">
                  <c:v>1644.8625</c:v>
                </c:pt>
                <c:pt idx="10">
                  <c:v>0</c:v>
                </c:pt>
                <c:pt idx="11">
                  <c:v>335.1474</c:v>
                </c:pt>
                <c:pt idx="12">
                  <c:v>0</c:v>
                </c:pt>
                <c:pt idx="13">
                  <c:v>0</c:v>
                </c:pt>
                <c:pt idx="14">
                  <c:v>0</c:v>
                </c:pt>
                <c:pt idx="15">
                  <c:v>0</c:v>
                </c:pt>
                <c:pt idx="16">
                  <c:v>0</c:v>
                </c:pt>
              </c:numCache>
            </c:numRef>
          </c:val>
          <c:extLst>
            <c:ext xmlns:c16="http://schemas.microsoft.com/office/drawing/2014/chart" uri="{C3380CC4-5D6E-409C-BE32-E72D297353CC}">
              <c16:uniqueId val="{0000000C-2E45-49AF-89BC-591D1858BD2D}"/>
            </c:ext>
          </c:extLst>
        </c:ser>
        <c:dLbls>
          <c:showLegendKey val="0"/>
          <c:showVal val="0"/>
          <c:showCatName val="0"/>
          <c:showSerName val="0"/>
          <c:showPercent val="0"/>
          <c:showBubbleSize val="0"/>
        </c:dLbls>
        <c:gapWidth val="150"/>
        <c:overlap val="100"/>
        <c:axId val="1123107055"/>
        <c:axId val="911613183"/>
      </c:barChart>
      <c:catAx>
        <c:axId val="11231070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Series</a:t>
                </a:r>
              </a:p>
            </c:rich>
          </c:tx>
          <c:layout>
            <c:manualLayout>
              <c:xMode val="edge"/>
              <c:yMode val="edge"/>
              <c:x val="4.1922336369090589E-2"/>
              <c:y val="0.33057335738425703"/>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1613183"/>
        <c:crosses val="autoZero"/>
        <c:auto val="1"/>
        <c:lblAlgn val="ctr"/>
        <c:lblOffset val="100"/>
        <c:noMultiLvlLbl val="0"/>
      </c:catAx>
      <c:valAx>
        <c:axId val="911613183"/>
        <c:scaling>
          <c:orientation val="minMax"/>
          <c:max val="52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2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layout>
            <c:manualLayout>
              <c:xMode val="edge"/>
              <c:yMode val="edge"/>
              <c:x val="0.52830455779186447"/>
              <c:y val="0.80366666067671444"/>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23107055"/>
        <c:crosses val="autoZero"/>
        <c:crossBetween val="between"/>
      </c:valAx>
      <c:spPr>
        <a:noFill/>
        <a:ln>
          <a:noFill/>
        </a:ln>
        <a:effectLst/>
      </c:spPr>
    </c:plotArea>
    <c:legend>
      <c:legendPos val="b"/>
      <c:layout>
        <c:manualLayout>
          <c:xMode val="edge"/>
          <c:yMode val="edge"/>
          <c:x val="0.17924368197118107"/>
          <c:y val="0.88111551363060614"/>
          <c:w val="0.69542113717518306"/>
          <c:h val="5.449383896959519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37603610488207E-2"/>
          <c:y val="5.590978901044287E-2"/>
          <c:w val="0.78000236676968693"/>
          <c:h val="0.84431095892816554"/>
        </c:manualLayout>
      </c:layout>
      <c:barChart>
        <c:barDir val="col"/>
        <c:grouping val="stacked"/>
        <c:varyColors val="0"/>
        <c:ser>
          <c:idx val="0"/>
          <c:order val="0"/>
          <c:tx>
            <c:strRef>
              <c:f>'Task 2 - Series summary'!$D$28</c:f>
              <c:strCache>
                <c:ptCount val="1"/>
                <c:pt idx="0">
                  <c:v>Series 300</c:v>
                </c:pt>
              </c:strCache>
            </c:strRef>
          </c:tx>
          <c:spPr>
            <a:solidFill>
              <a:srgbClr val="FF0000"/>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summary'!$D$29:$D$41</c:f>
              <c:numCache>
                <c:formatCode>_-* #,##0_-;\-* #,##0_-;_-* "-"??_-;_-@_-</c:formatCode>
                <c:ptCount val="13"/>
                <c:pt idx="0">
                  <c:v>0</c:v>
                </c:pt>
                <c:pt idx="1">
                  <c:v>5.0973251074251245</c:v>
                </c:pt>
                <c:pt idx="2">
                  <c:v>0</c:v>
                </c:pt>
                <c:pt idx="3">
                  <c:v>0</c:v>
                </c:pt>
                <c:pt idx="4">
                  <c:v>0</c:v>
                </c:pt>
                <c:pt idx="5">
                  <c:v>0</c:v>
                </c:pt>
                <c:pt idx="6">
                  <c:v>0.68530000000000002</c:v>
                </c:pt>
                <c:pt idx="7">
                  <c:v>1.4550000000000001</c:v>
                </c:pt>
                <c:pt idx="8">
                  <c:v>0</c:v>
                </c:pt>
                <c:pt idx="9">
                  <c:v>0</c:v>
                </c:pt>
                <c:pt idx="10">
                  <c:v>0</c:v>
                </c:pt>
                <c:pt idx="11">
                  <c:v>0</c:v>
                </c:pt>
                <c:pt idx="12">
                  <c:v>821.47569999999996</c:v>
                </c:pt>
              </c:numCache>
            </c:numRef>
          </c:val>
          <c:extLst>
            <c:ext xmlns:c16="http://schemas.microsoft.com/office/drawing/2014/chart" uri="{C3380CC4-5D6E-409C-BE32-E72D297353CC}">
              <c16:uniqueId val="{00000000-E0A9-4170-A98E-923E38EEA27E}"/>
            </c:ext>
          </c:extLst>
        </c:ser>
        <c:ser>
          <c:idx val="1"/>
          <c:order val="1"/>
          <c:tx>
            <c:strRef>
              <c:f>'Task 2 - Series summary'!$E$28</c:f>
              <c:strCache>
                <c:ptCount val="1"/>
                <c:pt idx="0">
                  <c:v>Series 400</c:v>
                </c:pt>
              </c:strCache>
            </c:strRef>
          </c:tx>
          <c:spPr>
            <a:solidFill>
              <a:schemeClr val="accent2"/>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summary'!$E$29:$E$41</c:f>
              <c:numCache>
                <c:formatCode>_-* #,##0_-;\-* #,##0_-;_-* "-"??_-;_-@_-</c:formatCode>
                <c:ptCount val="13"/>
                <c:pt idx="0">
                  <c:v>9.4125999999999994</c:v>
                </c:pt>
                <c:pt idx="1">
                  <c:v>0</c:v>
                </c:pt>
                <c:pt idx="2">
                  <c:v>6.5826999999999991</c:v>
                </c:pt>
                <c:pt idx="3">
                  <c:v>6.1520000000000001</c:v>
                </c:pt>
                <c:pt idx="4">
                  <c:v>15.307375914634147</c:v>
                </c:pt>
                <c:pt idx="5">
                  <c:v>32.113700000000001</c:v>
                </c:pt>
                <c:pt idx="6">
                  <c:v>0</c:v>
                </c:pt>
                <c:pt idx="7">
                  <c:v>63.84259999999999</c:v>
                </c:pt>
                <c:pt idx="8">
                  <c:v>28.261628978007764</c:v>
                </c:pt>
                <c:pt idx="9">
                  <c:v>0</c:v>
                </c:pt>
                <c:pt idx="10">
                  <c:v>0</c:v>
                </c:pt>
                <c:pt idx="11">
                  <c:v>0</c:v>
                </c:pt>
                <c:pt idx="12">
                  <c:v>4839.7825000000003</c:v>
                </c:pt>
              </c:numCache>
            </c:numRef>
          </c:val>
          <c:extLst>
            <c:ext xmlns:c16="http://schemas.microsoft.com/office/drawing/2014/chart" uri="{C3380CC4-5D6E-409C-BE32-E72D297353CC}">
              <c16:uniqueId val="{00000001-E0A9-4170-A98E-923E38EEA27E}"/>
            </c:ext>
          </c:extLst>
        </c:ser>
        <c:ser>
          <c:idx val="2"/>
          <c:order val="2"/>
          <c:tx>
            <c:strRef>
              <c:f>'Task 2 - Series summary'!$F$28</c:f>
              <c:strCache>
                <c:ptCount val="1"/>
                <c:pt idx="0">
                  <c:v>Series 500</c:v>
                </c:pt>
              </c:strCache>
            </c:strRef>
          </c:tx>
          <c:spPr>
            <a:solidFill>
              <a:schemeClr val="accent3"/>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summary'!$F$29:$F$41</c:f>
              <c:numCache>
                <c:formatCode>_-* #,##0_-;\-* #,##0_-;_-* "-"??_-;_-@_-</c:formatCode>
                <c:ptCount val="13"/>
                <c:pt idx="0">
                  <c:v>21.250499999999999</c:v>
                </c:pt>
                <c:pt idx="1">
                  <c:v>111.66464393840795</c:v>
                </c:pt>
                <c:pt idx="2">
                  <c:v>46.147199999999998</c:v>
                </c:pt>
                <c:pt idx="3">
                  <c:v>36.487099999999998</c:v>
                </c:pt>
                <c:pt idx="4">
                  <c:v>69.372189634146338</c:v>
                </c:pt>
                <c:pt idx="5">
                  <c:v>89.783600000000007</c:v>
                </c:pt>
                <c:pt idx="6">
                  <c:v>25.022599999999997</c:v>
                </c:pt>
                <c:pt idx="7">
                  <c:v>89.834299999999999</c:v>
                </c:pt>
                <c:pt idx="8">
                  <c:v>80.137591720569205</c:v>
                </c:pt>
                <c:pt idx="9">
                  <c:v>94.6721</c:v>
                </c:pt>
                <c:pt idx="10">
                  <c:v>99.095200000000006</c:v>
                </c:pt>
                <c:pt idx="11">
                  <c:v>154.50739999999999</c:v>
                </c:pt>
                <c:pt idx="12">
                  <c:v>5170.1923999999999</c:v>
                </c:pt>
              </c:numCache>
            </c:numRef>
          </c:val>
          <c:extLst>
            <c:ext xmlns:c16="http://schemas.microsoft.com/office/drawing/2014/chart" uri="{C3380CC4-5D6E-409C-BE32-E72D297353CC}">
              <c16:uniqueId val="{00000002-E0A9-4170-A98E-923E38EEA27E}"/>
            </c:ext>
          </c:extLst>
        </c:ser>
        <c:ser>
          <c:idx val="3"/>
          <c:order val="3"/>
          <c:tx>
            <c:strRef>
              <c:f>'Task 2 - Series summary'!$G$28</c:f>
              <c:strCache>
                <c:ptCount val="1"/>
                <c:pt idx="0">
                  <c:v>Series 600</c:v>
                </c:pt>
              </c:strCache>
            </c:strRef>
          </c:tx>
          <c:spPr>
            <a:solidFill>
              <a:schemeClr val="accent4"/>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summary'!$G$29:$G$41</c:f>
              <c:numCache>
                <c:formatCode>_-* #,##0_-;\-* #,##0_-;_-* "-"??_-;_-@_-</c:formatCode>
                <c:ptCount val="13"/>
                <c:pt idx="0">
                  <c:v>2.0343</c:v>
                </c:pt>
                <c:pt idx="1">
                  <c:v>155.43728028279094</c:v>
                </c:pt>
                <c:pt idx="2">
                  <c:v>32.816900000000004</c:v>
                </c:pt>
                <c:pt idx="3">
                  <c:v>35.965199999999996</c:v>
                </c:pt>
                <c:pt idx="4">
                  <c:v>69.182440548780491</c:v>
                </c:pt>
                <c:pt idx="5">
                  <c:v>16.309800000000003</c:v>
                </c:pt>
                <c:pt idx="6">
                  <c:v>10.5387</c:v>
                </c:pt>
                <c:pt idx="7">
                  <c:v>119.1611</c:v>
                </c:pt>
                <c:pt idx="8">
                  <c:v>84.608222509702458</c:v>
                </c:pt>
                <c:pt idx="9">
                  <c:v>33.441099999999999</c:v>
                </c:pt>
                <c:pt idx="10">
                  <c:v>5.7576999999999998</c:v>
                </c:pt>
                <c:pt idx="11">
                  <c:v>8.2865000000000002</c:v>
                </c:pt>
                <c:pt idx="12">
                  <c:v>235.86699999999999</c:v>
                </c:pt>
              </c:numCache>
            </c:numRef>
          </c:val>
          <c:extLst>
            <c:ext xmlns:c16="http://schemas.microsoft.com/office/drawing/2014/chart" uri="{C3380CC4-5D6E-409C-BE32-E72D297353CC}">
              <c16:uniqueId val="{00000003-E0A9-4170-A98E-923E38EEA27E}"/>
            </c:ext>
          </c:extLst>
        </c:ser>
        <c:ser>
          <c:idx val="4"/>
          <c:order val="4"/>
          <c:tx>
            <c:strRef>
              <c:f>'Task 2 - Series summary'!$H$28</c:f>
              <c:strCache>
                <c:ptCount val="1"/>
                <c:pt idx="0">
                  <c:v>Series 800</c:v>
                </c:pt>
              </c:strCache>
            </c:strRef>
          </c:tx>
          <c:spPr>
            <a:solidFill>
              <a:schemeClr val="accent5"/>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summary'!$H$29:$H$41</c:f>
              <c:numCache>
                <c:formatCode>_-* #,##0_-;\-* #,##0_-;_-* "-"??_-;_-@_-</c:formatCode>
                <c:ptCount val="13"/>
                <c:pt idx="0">
                  <c:v>0</c:v>
                </c:pt>
                <c:pt idx="1">
                  <c:v>0</c:v>
                </c:pt>
                <c:pt idx="2">
                  <c:v>0</c:v>
                </c:pt>
                <c:pt idx="3">
                  <c:v>0</c:v>
                </c:pt>
                <c:pt idx="4">
                  <c:v>0</c:v>
                </c:pt>
                <c:pt idx="5">
                  <c:v>0</c:v>
                </c:pt>
                <c:pt idx="6">
                  <c:v>0</c:v>
                </c:pt>
                <c:pt idx="7">
                  <c:v>0</c:v>
                </c:pt>
                <c:pt idx="8">
                  <c:v>0</c:v>
                </c:pt>
                <c:pt idx="9">
                  <c:v>0</c:v>
                </c:pt>
                <c:pt idx="10">
                  <c:v>57.215600000000002</c:v>
                </c:pt>
                <c:pt idx="11">
                  <c:v>82.338200000000001</c:v>
                </c:pt>
                <c:pt idx="12">
                  <c:v>10165.3133</c:v>
                </c:pt>
              </c:numCache>
            </c:numRef>
          </c:val>
          <c:extLst>
            <c:ext xmlns:c16="http://schemas.microsoft.com/office/drawing/2014/chart" uri="{C3380CC4-5D6E-409C-BE32-E72D297353CC}">
              <c16:uniqueId val="{00000004-E0A9-4170-A98E-923E38EEA27E}"/>
            </c:ext>
          </c:extLst>
        </c:ser>
        <c:ser>
          <c:idx val="5"/>
          <c:order val="5"/>
          <c:tx>
            <c:strRef>
              <c:f>'Task 2 - Series summary'!$I$28</c:f>
              <c:strCache>
                <c:ptCount val="1"/>
                <c:pt idx="0">
                  <c:v> Series 900 </c:v>
                </c:pt>
              </c:strCache>
            </c:strRef>
          </c:tx>
          <c:spPr>
            <a:solidFill>
              <a:schemeClr val="accent6"/>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summary'!$I$29:$I$41</c:f>
              <c:numCache>
                <c:formatCode>_-* #,##0_-;\-* #,##0_-;_-* "-"??_-;_-@_-</c:formatCode>
                <c:ptCount val="13"/>
                <c:pt idx="0">
                  <c:v>0.2298</c:v>
                </c:pt>
                <c:pt idx="1">
                  <c:v>2.2966777819174751</c:v>
                </c:pt>
                <c:pt idx="2">
                  <c:v>0.51619999999999999</c:v>
                </c:pt>
                <c:pt idx="3">
                  <c:v>0.48540000000000005</c:v>
                </c:pt>
                <c:pt idx="4">
                  <c:v>0.69536676829268296</c:v>
                </c:pt>
                <c:pt idx="5">
                  <c:v>1.2986</c:v>
                </c:pt>
                <c:pt idx="6">
                  <c:v>0.1832</c:v>
                </c:pt>
                <c:pt idx="7">
                  <c:v>2.6786999999999996</c:v>
                </c:pt>
                <c:pt idx="8">
                  <c:v>0.71516481241914609</c:v>
                </c:pt>
                <c:pt idx="9">
                  <c:v>2.0007000000000001</c:v>
                </c:pt>
                <c:pt idx="10">
                  <c:v>339.87850000000003</c:v>
                </c:pt>
                <c:pt idx="11">
                  <c:v>541.35320000000002</c:v>
                </c:pt>
                <c:pt idx="12">
                  <c:v>7437.9966999999997</c:v>
                </c:pt>
              </c:numCache>
            </c:numRef>
          </c:val>
          <c:extLst>
            <c:ext xmlns:c16="http://schemas.microsoft.com/office/drawing/2014/chart" uri="{C3380CC4-5D6E-409C-BE32-E72D297353CC}">
              <c16:uniqueId val="{00000005-E0A9-4170-A98E-923E38EEA27E}"/>
            </c:ext>
          </c:extLst>
        </c:ser>
        <c:ser>
          <c:idx val="6"/>
          <c:order val="6"/>
          <c:tx>
            <c:strRef>
              <c:f>'Task 2 - Series summary'!$J$28</c:f>
              <c:strCache>
                <c:ptCount val="1"/>
                <c:pt idx="0">
                  <c:v>Series 1000</c:v>
                </c:pt>
              </c:strCache>
            </c:strRef>
          </c:tx>
          <c:spPr>
            <a:solidFill>
              <a:schemeClr val="accent1">
                <a:lumMod val="60000"/>
              </a:schemeClr>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summary'!$J$29:$J$41</c:f>
              <c:numCache>
                <c:formatCode>_-* #,##0_-;\-* #,##0_-;_-* "-"??_-;_-@_-</c:formatCode>
                <c:ptCount val="13"/>
                <c:pt idx="0">
                  <c:v>0.79039999999999999</c:v>
                </c:pt>
                <c:pt idx="1">
                  <c:v>5.5730599797320464</c:v>
                </c:pt>
                <c:pt idx="2">
                  <c:v>1.6507000000000001</c:v>
                </c:pt>
                <c:pt idx="3">
                  <c:v>1.1621000000000001</c:v>
                </c:pt>
                <c:pt idx="4">
                  <c:v>2.9738753048780486</c:v>
                </c:pt>
                <c:pt idx="5">
                  <c:v>2.4760999999999997</c:v>
                </c:pt>
                <c:pt idx="6">
                  <c:v>0.49349999999999999</c:v>
                </c:pt>
                <c:pt idx="7">
                  <c:v>6.5404999999999998</c:v>
                </c:pt>
                <c:pt idx="8">
                  <c:v>4.3353676584734799</c:v>
                </c:pt>
                <c:pt idx="9">
                  <c:v>7.1199000000000003</c:v>
                </c:pt>
                <c:pt idx="10">
                  <c:v>0</c:v>
                </c:pt>
                <c:pt idx="11">
                  <c:v>0</c:v>
                </c:pt>
                <c:pt idx="12">
                  <c:v>0</c:v>
                </c:pt>
              </c:numCache>
            </c:numRef>
          </c:val>
          <c:extLst>
            <c:ext xmlns:c16="http://schemas.microsoft.com/office/drawing/2014/chart" uri="{C3380CC4-5D6E-409C-BE32-E72D297353CC}">
              <c16:uniqueId val="{00000006-E0A9-4170-A98E-923E38EEA27E}"/>
            </c:ext>
          </c:extLst>
        </c:ser>
        <c:ser>
          <c:idx val="7"/>
          <c:order val="7"/>
          <c:tx>
            <c:strRef>
              <c:f>'Task 2 - Series summary'!$K$28</c:f>
              <c:strCache>
                <c:ptCount val="1"/>
                <c:pt idx="0">
                  <c:v>Series 1100</c:v>
                </c:pt>
              </c:strCache>
            </c:strRef>
          </c:tx>
          <c:spPr>
            <a:solidFill>
              <a:schemeClr val="accent2">
                <a:lumMod val="60000"/>
              </a:schemeClr>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summary'!$K$29:$K$41</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E0A9-4170-A98E-923E38EEA27E}"/>
            </c:ext>
          </c:extLst>
        </c:ser>
        <c:ser>
          <c:idx val="8"/>
          <c:order val="8"/>
          <c:tx>
            <c:strRef>
              <c:f>'Task 2 - Series summary'!$L$28</c:f>
              <c:strCache>
                <c:ptCount val="1"/>
                <c:pt idx="0">
                  <c:v>Series 1200</c:v>
                </c:pt>
              </c:strCache>
            </c:strRef>
          </c:tx>
          <c:spPr>
            <a:solidFill>
              <a:schemeClr val="tx1"/>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summary'!$L$29:$L$41</c:f>
              <c:numCache>
                <c:formatCode>_-* #,##0_-;\-* #,##0_-;_-* "-"??_-;_-@_-</c:formatCode>
                <c:ptCount val="13"/>
                <c:pt idx="0">
                  <c:v>0</c:v>
                </c:pt>
                <c:pt idx="1">
                  <c:v>0</c:v>
                </c:pt>
                <c:pt idx="2">
                  <c:v>0</c:v>
                </c:pt>
                <c:pt idx="3">
                  <c:v>0</c:v>
                </c:pt>
                <c:pt idx="4">
                  <c:v>0</c:v>
                </c:pt>
                <c:pt idx="5">
                  <c:v>0</c:v>
                </c:pt>
                <c:pt idx="6">
                  <c:v>0</c:v>
                </c:pt>
                <c:pt idx="7">
                  <c:v>0</c:v>
                </c:pt>
                <c:pt idx="8">
                  <c:v>0</c:v>
                </c:pt>
                <c:pt idx="9">
                  <c:v>0</c:v>
                </c:pt>
                <c:pt idx="10">
                  <c:v>2.1377999999999999</c:v>
                </c:pt>
                <c:pt idx="11">
                  <c:v>3.0763000000000003</c:v>
                </c:pt>
                <c:pt idx="12">
                  <c:v>193.12449999999998</c:v>
                </c:pt>
              </c:numCache>
            </c:numRef>
          </c:val>
          <c:extLst>
            <c:ext xmlns:c16="http://schemas.microsoft.com/office/drawing/2014/chart" uri="{C3380CC4-5D6E-409C-BE32-E72D297353CC}">
              <c16:uniqueId val="{00000008-E0A9-4170-A98E-923E38EEA27E}"/>
            </c:ext>
          </c:extLst>
        </c:ser>
        <c:ser>
          <c:idx val="9"/>
          <c:order val="9"/>
          <c:tx>
            <c:strRef>
              <c:f>'Task 2 - Series summary'!$M$28</c:f>
              <c:strCache>
                <c:ptCount val="1"/>
                <c:pt idx="0">
                  <c:v>Series 1500</c:v>
                </c:pt>
              </c:strCache>
            </c:strRef>
          </c:tx>
          <c:spPr>
            <a:solidFill>
              <a:schemeClr val="accent4">
                <a:lumMod val="60000"/>
              </a:schemeClr>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summary'!$M$29:$M$41</c:f>
              <c:numCache>
                <c:formatCode>_-* #,##0_-;\-* #,##0_-;_-* "-"??_-;_-@_-</c:formatCode>
                <c:ptCount val="13"/>
                <c:pt idx="0">
                  <c:v>3.3687</c:v>
                </c:pt>
                <c:pt idx="1">
                  <c:v>0</c:v>
                </c:pt>
                <c:pt idx="2">
                  <c:v>11.297599999999999</c:v>
                </c:pt>
                <c:pt idx="3">
                  <c:v>13.7834</c:v>
                </c:pt>
                <c:pt idx="4">
                  <c:v>13.233621646341465</c:v>
                </c:pt>
                <c:pt idx="5">
                  <c:v>19.072299999999998</c:v>
                </c:pt>
                <c:pt idx="6">
                  <c:v>0</c:v>
                </c:pt>
                <c:pt idx="7">
                  <c:v>40.878399999999999</c:v>
                </c:pt>
                <c:pt idx="8">
                  <c:v>37.593508926261322</c:v>
                </c:pt>
                <c:pt idx="9">
                  <c:v>0</c:v>
                </c:pt>
                <c:pt idx="10">
                  <c:v>2.4796999999999998</c:v>
                </c:pt>
                <c:pt idx="11">
                  <c:v>3.5682999999999998</c:v>
                </c:pt>
                <c:pt idx="12">
                  <c:v>1644.8625</c:v>
                </c:pt>
              </c:numCache>
            </c:numRef>
          </c:val>
          <c:extLst>
            <c:ext xmlns:c16="http://schemas.microsoft.com/office/drawing/2014/chart" uri="{C3380CC4-5D6E-409C-BE32-E72D297353CC}">
              <c16:uniqueId val="{00000009-E0A9-4170-A98E-923E38EEA27E}"/>
            </c:ext>
          </c:extLst>
        </c:ser>
        <c:ser>
          <c:idx val="10"/>
          <c:order val="10"/>
          <c:tx>
            <c:strRef>
              <c:f>'Task 2 - Series summary'!$N$28</c:f>
              <c:strCache>
                <c:ptCount val="1"/>
                <c:pt idx="0">
                  <c:v>Series 1600</c:v>
                </c:pt>
              </c:strCache>
            </c:strRef>
          </c:tx>
          <c:spPr>
            <a:solidFill>
              <a:srgbClr val="33CCCC"/>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summary'!$N$29:$N$41</c:f>
              <c:numCache>
                <c:formatCode>_-* #,##0_-;\-* #,##0_-;_-* "-"??_-;_-@_-</c:formatCode>
                <c:ptCount val="13"/>
                <c:pt idx="0">
                  <c:v>0</c:v>
                </c:pt>
                <c:pt idx="1">
                  <c:v>0</c:v>
                </c:pt>
                <c:pt idx="2">
                  <c:v>0</c:v>
                </c:pt>
                <c:pt idx="3">
                  <c:v>0</c:v>
                </c:pt>
                <c:pt idx="4">
                  <c:v>0</c:v>
                </c:pt>
                <c:pt idx="5">
                  <c:v>0</c:v>
                </c:pt>
                <c:pt idx="6">
                  <c:v>0</c:v>
                </c:pt>
                <c:pt idx="7">
                  <c:v>612.99349999999993</c:v>
                </c:pt>
                <c:pt idx="8">
                  <c:v>0</c:v>
                </c:pt>
                <c:pt idx="9">
                  <c:v>0</c:v>
                </c:pt>
                <c:pt idx="10">
                  <c:v>0</c:v>
                </c:pt>
                <c:pt idx="11">
                  <c:v>0</c:v>
                </c:pt>
                <c:pt idx="12">
                  <c:v>0</c:v>
                </c:pt>
              </c:numCache>
            </c:numRef>
          </c:val>
          <c:extLst>
            <c:ext xmlns:c16="http://schemas.microsoft.com/office/drawing/2014/chart" uri="{C3380CC4-5D6E-409C-BE32-E72D297353CC}">
              <c16:uniqueId val="{0000000A-E0A9-4170-A98E-923E38EEA27E}"/>
            </c:ext>
          </c:extLst>
        </c:ser>
        <c:ser>
          <c:idx val="11"/>
          <c:order val="11"/>
          <c:tx>
            <c:strRef>
              <c:f>'Task 2 - Series summary'!$O$28</c:f>
              <c:strCache>
                <c:ptCount val="1"/>
                <c:pt idx="0">
                  <c:v>Series 1700</c:v>
                </c:pt>
              </c:strCache>
            </c:strRef>
          </c:tx>
          <c:spPr>
            <a:solidFill>
              <a:schemeClr val="accent6">
                <a:lumMod val="60000"/>
              </a:schemeClr>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summary'!$O$29:$O$41</c:f>
              <c:numCache>
                <c:formatCode>_-* #,##0_-;\-* #,##0_-;_-* "-"??_-;_-@_-</c:formatCode>
                <c:ptCount val="13"/>
                <c:pt idx="0">
                  <c:v>432.5351</c:v>
                </c:pt>
                <c:pt idx="1">
                  <c:v>2801.5082895936307</c:v>
                </c:pt>
                <c:pt idx="2">
                  <c:v>1652.2668000000001</c:v>
                </c:pt>
                <c:pt idx="3">
                  <c:v>2064.1570000000002</c:v>
                </c:pt>
                <c:pt idx="4">
                  <c:v>9008.1068618902445</c:v>
                </c:pt>
                <c:pt idx="5">
                  <c:v>5127.0581000000002</c:v>
                </c:pt>
                <c:pt idx="6">
                  <c:v>327.77750000000003</c:v>
                </c:pt>
                <c:pt idx="7">
                  <c:v>15501.043700000002</c:v>
                </c:pt>
                <c:pt idx="8">
                  <c:v>13382.685030789133</c:v>
                </c:pt>
                <c:pt idx="9">
                  <c:v>1550.0711871285707</c:v>
                </c:pt>
                <c:pt idx="10">
                  <c:v>5.3735999999999997</c:v>
                </c:pt>
                <c:pt idx="11">
                  <c:v>7.9298000000000002</c:v>
                </c:pt>
                <c:pt idx="12">
                  <c:v>335.1474</c:v>
                </c:pt>
              </c:numCache>
            </c:numRef>
          </c:val>
          <c:extLst>
            <c:ext xmlns:c16="http://schemas.microsoft.com/office/drawing/2014/chart" uri="{C3380CC4-5D6E-409C-BE32-E72D297353CC}">
              <c16:uniqueId val="{0000000B-E0A9-4170-A98E-923E38EEA27E}"/>
            </c:ext>
          </c:extLst>
        </c:ser>
        <c:ser>
          <c:idx val="12"/>
          <c:order val="12"/>
          <c:tx>
            <c:strRef>
              <c:f>'Task 2 - Series summary'!$P$28</c:f>
              <c:strCache>
                <c:ptCount val="1"/>
                <c:pt idx="0">
                  <c:v>Series 1800</c:v>
                </c:pt>
              </c:strCache>
            </c:strRef>
          </c:tx>
          <c:spPr>
            <a:solidFill>
              <a:srgbClr val="7030A0"/>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summary'!$P$29:$P$41</c:f>
              <c:numCache>
                <c:formatCode>_-* #,##0_-;\-* #,##0_-;_-* "-"??_-;_-@_-</c:formatCode>
                <c:ptCount val="13"/>
                <c:pt idx="0">
                  <c:v>0</c:v>
                </c:pt>
                <c:pt idx="1">
                  <c:v>0</c:v>
                </c:pt>
                <c:pt idx="2">
                  <c:v>0</c:v>
                </c:pt>
                <c:pt idx="3">
                  <c:v>0</c:v>
                </c:pt>
                <c:pt idx="4">
                  <c:v>0</c:v>
                </c:pt>
                <c:pt idx="5">
                  <c:v>0</c:v>
                </c:pt>
                <c:pt idx="6">
                  <c:v>0</c:v>
                </c:pt>
                <c:pt idx="7">
                  <c:v>1049.2394999999999</c:v>
                </c:pt>
                <c:pt idx="8">
                  <c:v>0</c:v>
                </c:pt>
                <c:pt idx="9">
                  <c:v>0</c:v>
                </c:pt>
                <c:pt idx="10">
                  <c:v>0</c:v>
                </c:pt>
                <c:pt idx="11">
                  <c:v>0</c:v>
                </c:pt>
                <c:pt idx="12">
                  <c:v>0</c:v>
                </c:pt>
              </c:numCache>
            </c:numRef>
          </c:val>
          <c:extLst>
            <c:ext xmlns:c16="http://schemas.microsoft.com/office/drawing/2014/chart" uri="{C3380CC4-5D6E-409C-BE32-E72D297353CC}">
              <c16:uniqueId val="{0000000C-E0A9-4170-A98E-923E38EEA27E}"/>
            </c:ext>
          </c:extLst>
        </c:ser>
        <c:ser>
          <c:idx val="13"/>
          <c:order val="13"/>
          <c:tx>
            <c:strRef>
              <c:f>'Task 2 - Series summary'!$Q$28</c:f>
              <c:strCache>
                <c:ptCount val="1"/>
                <c:pt idx="0">
                  <c:v>Series 2400</c:v>
                </c:pt>
              </c:strCache>
            </c:strRef>
          </c:tx>
          <c:spPr>
            <a:solidFill>
              <a:schemeClr val="accent2">
                <a:lumMod val="80000"/>
                <a:lumOff val="20000"/>
              </a:schemeClr>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summary'!$Q$29:$Q$41</c:f>
              <c:numCache>
                <c:formatCode>_-* #,##0_-;\-* #,##0_-;_-* "-"??_-;_-@_-</c:formatCode>
                <c:ptCount val="13"/>
                <c:pt idx="0">
                  <c:v>0</c:v>
                </c:pt>
                <c:pt idx="1">
                  <c:v>0</c:v>
                </c:pt>
                <c:pt idx="2">
                  <c:v>0</c:v>
                </c:pt>
                <c:pt idx="3">
                  <c:v>0</c:v>
                </c:pt>
                <c:pt idx="4">
                  <c:v>0</c:v>
                </c:pt>
                <c:pt idx="5">
                  <c:v>0</c:v>
                </c:pt>
                <c:pt idx="6">
                  <c:v>0</c:v>
                </c:pt>
                <c:pt idx="7">
                  <c:v>484.11200000000002</c:v>
                </c:pt>
                <c:pt idx="8">
                  <c:v>22.178049159120309</c:v>
                </c:pt>
                <c:pt idx="9">
                  <c:v>0.18410000000000001</c:v>
                </c:pt>
                <c:pt idx="10">
                  <c:v>14.1906</c:v>
                </c:pt>
                <c:pt idx="11">
                  <c:v>20.4206</c:v>
                </c:pt>
                <c:pt idx="12">
                  <c:v>0</c:v>
                </c:pt>
              </c:numCache>
            </c:numRef>
          </c:val>
          <c:extLst>
            <c:ext xmlns:c16="http://schemas.microsoft.com/office/drawing/2014/chart" uri="{C3380CC4-5D6E-409C-BE32-E72D297353CC}">
              <c16:uniqueId val="{0000000D-E0A9-4170-A98E-923E38EEA27E}"/>
            </c:ext>
          </c:extLst>
        </c:ser>
        <c:ser>
          <c:idx val="14"/>
          <c:order val="14"/>
          <c:tx>
            <c:strRef>
              <c:f>'Task 2 - Series summary'!$R$28</c:f>
              <c:strCache>
                <c:ptCount val="1"/>
                <c:pt idx="0">
                  <c:v>Other-Street Furniture and Electrical Equipment</c:v>
                </c:pt>
              </c:strCache>
            </c:strRef>
          </c:tx>
          <c:spPr>
            <a:solidFill>
              <a:schemeClr val="accent3">
                <a:lumMod val="80000"/>
                <a:lumOff val="20000"/>
              </a:schemeClr>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summary'!$R$29:$R$41</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E0A9-4170-A98E-923E38EEA27E}"/>
            </c:ext>
          </c:extLst>
        </c:ser>
        <c:ser>
          <c:idx val="15"/>
          <c:order val="15"/>
          <c:tx>
            <c:strRef>
              <c:f>'Task 2 - Series summary'!$S$28</c:f>
              <c:strCache>
                <c:ptCount val="1"/>
                <c:pt idx="0">
                  <c:v>Other-Timber</c:v>
                </c:pt>
              </c:strCache>
            </c:strRef>
          </c:tx>
          <c:spPr>
            <a:solidFill>
              <a:srgbClr val="FF61A1"/>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summary'!$S$29:$S$41</c:f>
              <c:numCache>
                <c:formatCode>_-* #,##0_-;\-* #,##0_-;_-* "-"??_-;_-@_-</c:formatCode>
                <c:ptCount val="13"/>
                <c:pt idx="0">
                  <c:v>1.3111999999999999</c:v>
                </c:pt>
                <c:pt idx="1">
                  <c:v>19.621936212906245</c:v>
                </c:pt>
                <c:pt idx="2">
                  <c:v>2.8376000000000001</c:v>
                </c:pt>
                <c:pt idx="3">
                  <c:v>1.6741000000000001</c:v>
                </c:pt>
                <c:pt idx="4">
                  <c:v>4.3723963414634142</c:v>
                </c:pt>
                <c:pt idx="5">
                  <c:v>6.0743999999999998</c:v>
                </c:pt>
                <c:pt idx="6">
                  <c:v>1.9367000000000001</c:v>
                </c:pt>
                <c:pt idx="7">
                  <c:v>10.968500000000002</c:v>
                </c:pt>
                <c:pt idx="8">
                  <c:v>8.0522680465717986</c:v>
                </c:pt>
                <c:pt idx="9">
                  <c:v>4.4846000000000004</c:v>
                </c:pt>
                <c:pt idx="10">
                  <c:v>0</c:v>
                </c:pt>
                <c:pt idx="11">
                  <c:v>0</c:v>
                </c:pt>
                <c:pt idx="12">
                  <c:v>0</c:v>
                </c:pt>
              </c:numCache>
            </c:numRef>
          </c:val>
          <c:extLst>
            <c:ext xmlns:c16="http://schemas.microsoft.com/office/drawing/2014/chart" uri="{C3380CC4-5D6E-409C-BE32-E72D297353CC}">
              <c16:uniqueId val="{0000000F-E0A9-4170-A98E-923E38EEA27E}"/>
            </c:ext>
          </c:extLst>
        </c:ser>
        <c:ser>
          <c:idx val="16"/>
          <c:order val="16"/>
          <c:tx>
            <c:strRef>
              <c:f>'Task 2 - Series summary'!$T$28</c:f>
              <c:strCache>
                <c:ptCount val="1"/>
                <c:pt idx="0">
                  <c:v>Other-Tunnels</c:v>
                </c:pt>
              </c:strCache>
            </c:strRef>
          </c:tx>
          <c:spPr>
            <a:solidFill>
              <a:srgbClr val="FFFF00"/>
            </a:solidFill>
            <a:ln>
              <a:noFill/>
            </a:ln>
            <a:effectLst/>
          </c:spPr>
          <c:invertIfNegative val="0"/>
          <c:cat>
            <c:strRef>
              <c:f>'Task 2 - Series summary'!$C$29:$C$41</c:f>
              <c:strCache>
                <c:ptCount val="13"/>
                <c:pt idx="0">
                  <c:v>AOB</c:v>
                </c:pt>
                <c:pt idx="1">
                  <c:v>AUB</c:v>
                </c:pt>
                <c:pt idx="2">
                  <c:v>CAUB</c:v>
                </c:pt>
                <c:pt idx="3">
                  <c:v>CUB</c:v>
                </c:pt>
                <c:pt idx="4">
                  <c:v>JUB</c:v>
                </c:pt>
                <c:pt idx="5">
                  <c:v>OB</c:v>
                </c:pt>
                <c:pt idx="6">
                  <c:v>PUP</c:v>
                </c:pt>
                <c:pt idx="7">
                  <c:v>RB</c:v>
                </c:pt>
                <c:pt idx="8">
                  <c:v>UB</c:v>
                </c:pt>
                <c:pt idx="9">
                  <c:v>C</c:v>
                </c:pt>
                <c:pt idx="10">
                  <c:v>SR</c:v>
                </c:pt>
                <c:pt idx="11">
                  <c:v>J</c:v>
                </c:pt>
                <c:pt idx="12">
                  <c:v>M</c:v>
                </c:pt>
              </c:strCache>
            </c:strRef>
          </c:cat>
          <c:val>
            <c:numRef>
              <c:f>'Task 2 - Series summary'!$T$29:$T$41</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E0A9-4170-A98E-923E38EEA27E}"/>
            </c:ext>
          </c:extLst>
        </c:ser>
        <c:dLbls>
          <c:showLegendKey val="0"/>
          <c:showVal val="0"/>
          <c:showCatName val="0"/>
          <c:showSerName val="0"/>
          <c:showPercent val="0"/>
          <c:showBubbleSize val="0"/>
        </c:dLbls>
        <c:gapWidth val="150"/>
        <c:overlap val="100"/>
        <c:axId val="1123107055"/>
        <c:axId val="911613183"/>
      </c:barChart>
      <c:catAx>
        <c:axId val="11231070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600">
                    <a:solidFill>
                      <a:sysClr val="windowText" lastClr="000000"/>
                    </a:solidFill>
                    <a:latin typeface="Arial" panose="020B0604020202020204" pitchFamily="34" charset="0"/>
                    <a:cs typeface="Arial" panose="020B0604020202020204" pitchFamily="34" charset="0"/>
                  </a:rPr>
                  <a:t>Structure</a:t>
                </a:r>
                <a:r>
                  <a:rPr lang="en-GB" sz="1600" baseline="0">
                    <a:solidFill>
                      <a:sysClr val="windowText" lastClr="000000"/>
                    </a:solidFill>
                    <a:latin typeface="Arial" panose="020B0604020202020204" pitchFamily="34" charset="0"/>
                    <a:cs typeface="Arial" panose="020B0604020202020204" pitchFamily="34" charset="0"/>
                  </a:rPr>
                  <a:t> type</a:t>
                </a:r>
                <a:endParaRPr lang="en-GB" sz="1600">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1613183"/>
        <c:crosses val="autoZero"/>
        <c:auto val="1"/>
        <c:lblAlgn val="ctr"/>
        <c:lblOffset val="100"/>
        <c:noMultiLvlLbl val="0"/>
      </c:catAx>
      <c:valAx>
        <c:axId val="9116131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23107055"/>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Entry>
      <c:layout>
        <c:manualLayout>
          <c:xMode val="edge"/>
          <c:yMode val="edge"/>
          <c:x val="0.87254988562869829"/>
          <c:y val="1.0878660903370346E-2"/>
          <c:w val="0.12667585031075362"/>
          <c:h val="0.9699016549652761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211669729945734E-2"/>
          <c:y val="0.15078725429034204"/>
          <c:w val="0.54688595964339415"/>
          <c:h val="0.88442182536795066"/>
        </c:manualLayout>
      </c:layout>
      <c:pieChart>
        <c:varyColors val="1"/>
        <c:ser>
          <c:idx val="0"/>
          <c:order val="0"/>
          <c:dPt>
            <c:idx val="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1-A3B7-4919-A4BE-6BF6E13A0973}"/>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A3B7-4919-A4BE-6BF6E13A0973}"/>
              </c:ext>
            </c:extLst>
          </c:dPt>
          <c:dPt>
            <c:idx val="2"/>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5-A3B7-4919-A4BE-6BF6E13A0973}"/>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A3B7-4919-A4BE-6BF6E13A0973}"/>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A3B7-4919-A4BE-6BF6E13A0973}"/>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0B-A3B7-4919-A4BE-6BF6E13A0973}"/>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A3B7-4919-A4BE-6BF6E13A0973}"/>
              </c:ext>
            </c:extLst>
          </c:dPt>
          <c:dPt>
            <c:idx val="7"/>
            <c:bubble3D val="0"/>
            <c:spPr>
              <a:solidFill>
                <a:schemeClr val="tx1"/>
              </a:solidFill>
              <a:ln w="19050">
                <a:solidFill>
                  <a:schemeClr val="lt1"/>
                </a:solidFill>
              </a:ln>
              <a:effectLst/>
            </c:spPr>
            <c:extLst>
              <c:ext xmlns:c16="http://schemas.microsoft.com/office/drawing/2014/chart" uri="{C3380CC4-5D6E-409C-BE32-E72D297353CC}">
                <c16:uniqueId val="{0000000F-A3B7-4919-A4BE-6BF6E13A0973}"/>
              </c:ext>
            </c:extLst>
          </c:dPt>
          <c:dPt>
            <c:idx val="8"/>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1-A3B7-4919-A4BE-6BF6E13A0973}"/>
              </c:ext>
            </c:extLst>
          </c:dPt>
          <c:dPt>
            <c:idx val="9"/>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13-A3B7-4919-A4BE-6BF6E13A0973}"/>
              </c:ext>
            </c:extLst>
          </c:dPt>
          <c:dPt>
            <c:idx val="10"/>
            <c:bubble3D val="0"/>
            <c:spPr>
              <a:solidFill>
                <a:srgbClr val="FFFF00"/>
              </a:solidFill>
              <a:ln w="19050">
                <a:solidFill>
                  <a:schemeClr val="lt1"/>
                </a:solidFill>
              </a:ln>
              <a:effectLst/>
            </c:spPr>
            <c:extLst>
              <c:ext xmlns:c16="http://schemas.microsoft.com/office/drawing/2014/chart" uri="{C3380CC4-5D6E-409C-BE32-E72D297353CC}">
                <c16:uniqueId val="{00000015-A3B7-4919-A4BE-6BF6E13A0973}"/>
              </c:ext>
            </c:extLst>
          </c:dPt>
          <c:dPt>
            <c:idx val="1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7-A3B7-4919-A4BE-6BF6E13A0973}"/>
              </c:ext>
            </c:extLst>
          </c:dPt>
          <c:dPt>
            <c:idx val="12"/>
            <c:bubble3D val="0"/>
            <c:spPr>
              <a:solidFill>
                <a:srgbClr val="FF0000"/>
              </a:solidFill>
              <a:ln w="19050">
                <a:solidFill>
                  <a:schemeClr val="lt1"/>
                </a:solidFill>
              </a:ln>
              <a:effectLst/>
            </c:spPr>
            <c:extLst>
              <c:ext xmlns:c16="http://schemas.microsoft.com/office/drawing/2014/chart" uri="{C3380CC4-5D6E-409C-BE32-E72D297353CC}">
                <c16:uniqueId val="{00000019-A3B7-4919-A4BE-6BF6E13A0973}"/>
              </c:ext>
            </c:extLst>
          </c:dPt>
          <c:dLbls>
            <c:delete val="1"/>
          </c:dLbls>
          <c:cat>
            <c:strRef>
              <c:f>'Task 2 - Series summary'!$B$29:$B$41</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2 - Series summary'!$U$29:$U$41</c:f>
              <c:numCache>
                <c:formatCode>_-* #,##0_-;\-* #,##0_-;_-* "-"??_-;_-@_-</c:formatCode>
                <c:ptCount val="13"/>
                <c:pt idx="0">
                  <c:v>470.93259999999998</c:v>
                </c:pt>
                <c:pt idx="1">
                  <c:v>3101.1992128968104</c:v>
                </c:pt>
                <c:pt idx="2">
                  <c:v>1754.1157000000001</c:v>
                </c:pt>
                <c:pt idx="3">
                  <c:v>2159.8663000000001</c:v>
                </c:pt>
                <c:pt idx="4">
                  <c:v>9183.2441280487801</c:v>
                </c:pt>
                <c:pt idx="5">
                  <c:v>5294.1866000000009</c:v>
                </c:pt>
                <c:pt idx="6">
                  <c:v>366.63749999999999</c:v>
                </c:pt>
                <c:pt idx="7">
                  <c:v>17982.747800000001</c:v>
                </c:pt>
                <c:pt idx="8">
                  <c:v>13648.566832600258</c:v>
                </c:pt>
                <c:pt idx="9">
                  <c:v>1691.9736871285706</c:v>
                </c:pt>
                <c:pt idx="10">
                  <c:v>526.12869999999998</c:v>
                </c:pt>
                <c:pt idx="11">
                  <c:v>821.48030000000006</c:v>
                </c:pt>
                <c:pt idx="12">
                  <c:v>30843.762000000002</c:v>
                </c:pt>
              </c:numCache>
            </c:numRef>
          </c:val>
          <c:extLst>
            <c:ext xmlns:c16="http://schemas.microsoft.com/office/drawing/2014/chart" uri="{C3380CC4-5D6E-409C-BE32-E72D297353CC}">
              <c16:uniqueId val="{0000001A-A3B7-4919-A4BE-6BF6E13A0973}"/>
            </c:ext>
          </c:extLst>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7710998337833952"/>
          <c:y val="2.1925340513247651E-2"/>
          <c:w val="0.42176533758522905"/>
          <c:h val="0.937904806253870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'Task 3 - Material summary'!$C$86</c:f>
              <c:strCache>
                <c:ptCount val="1"/>
                <c:pt idx="0">
                  <c:v>National Highways 2030/2040/2050 plan
Emissions in 2020</c:v>
                </c:pt>
              </c:strCache>
            </c:strRef>
          </c:tx>
          <c:spPr>
            <a:solidFill>
              <a:schemeClr val="accent1"/>
            </a:solidFill>
            <a:ln>
              <a:noFill/>
            </a:ln>
            <a:effectLst/>
          </c:spPr>
          <c:invertIfNegative val="0"/>
          <c:cat>
            <c:strRef>
              <c:f>'Task 3 - Material summary'!$B$87:$B$94</c:f>
              <c:strCache>
                <c:ptCount val="8"/>
                <c:pt idx="0">
                  <c:v>Cement and concrete</c:v>
                </c:pt>
                <c:pt idx="1">
                  <c:v>Material Transport</c:v>
                </c:pt>
                <c:pt idx="2">
                  <c:v>On-site plant</c:v>
                </c:pt>
                <c:pt idx="3">
                  <c:v>Steel</c:v>
                </c:pt>
                <c:pt idx="4">
                  <c:v>Asphalt</c:v>
                </c:pt>
                <c:pt idx="5">
                  <c:v>Aggregate</c:v>
                </c:pt>
                <c:pt idx="6">
                  <c:v>Other materials</c:v>
                </c:pt>
                <c:pt idx="7">
                  <c:v>Operational energy</c:v>
                </c:pt>
              </c:strCache>
            </c:strRef>
          </c:cat>
          <c:val>
            <c:numRef>
              <c:f>'Task 3 - Material summary'!$C$87:$C$94</c:f>
              <c:numCache>
                <c:formatCode>_-* #,##0_-;\-* #,##0_-;_-* "-"??_-;_-@_-</c:formatCode>
                <c:ptCount val="8"/>
                <c:pt idx="0">
                  <c:v>203000</c:v>
                </c:pt>
                <c:pt idx="1">
                  <c:v>179500</c:v>
                </c:pt>
                <c:pt idx="2">
                  <c:v>164000</c:v>
                </c:pt>
                <c:pt idx="3">
                  <c:v>76500</c:v>
                </c:pt>
                <c:pt idx="4">
                  <c:v>65500</c:v>
                </c:pt>
                <c:pt idx="5">
                  <c:v>20000</c:v>
                </c:pt>
                <c:pt idx="6">
                  <c:v>15000</c:v>
                </c:pt>
                <c:pt idx="7">
                  <c:v>10500</c:v>
                </c:pt>
              </c:numCache>
            </c:numRef>
          </c:val>
          <c:extLst>
            <c:ext xmlns:c16="http://schemas.microsoft.com/office/drawing/2014/chart" uri="{C3380CC4-5D6E-409C-BE32-E72D297353CC}">
              <c16:uniqueId val="{00000000-35C4-4BF4-9A4B-4F91781F3F46}"/>
            </c:ext>
          </c:extLst>
        </c:ser>
        <c:ser>
          <c:idx val="1"/>
          <c:order val="1"/>
          <c:tx>
            <c:strRef>
              <c:f>'Task 3 - Material summary'!$D$86</c:f>
              <c:strCache>
                <c:ptCount val="1"/>
                <c:pt idx="0">
                  <c:v>N22</c:v>
                </c:pt>
              </c:strCache>
            </c:strRef>
          </c:tx>
          <c:spPr>
            <a:solidFill>
              <a:schemeClr val="accent2"/>
            </a:solidFill>
            <a:ln>
              <a:noFill/>
            </a:ln>
            <a:effectLst/>
          </c:spPr>
          <c:invertIfNegative val="0"/>
          <c:cat>
            <c:strRef>
              <c:f>'Task 3 - Material summary'!$B$87:$B$94</c:f>
              <c:strCache>
                <c:ptCount val="8"/>
                <c:pt idx="0">
                  <c:v>Cement and concrete</c:v>
                </c:pt>
                <c:pt idx="1">
                  <c:v>Material Transport</c:v>
                </c:pt>
                <c:pt idx="2">
                  <c:v>On-site plant</c:v>
                </c:pt>
                <c:pt idx="3">
                  <c:v>Steel</c:v>
                </c:pt>
                <c:pt idx="4">
                  <c:v>Asphalt</c:v>
                </c:pt>
                <c:pt idx="5">
                  <c:v>Aggregate</c:v>
                </c:pt>
                <c:pt idx="6">
                  <c:v>Other materials</c:v>
                </c:pt>
                <c:pt idx="7">
                  <c:v>Operational energy</c:v>
                </c:pt>
              </c:strCache>
            </c:strRef>
          </c:cat>
          <c:val>
            <c:numRef>
              <c:f>'Task 3 - Material summary'!$D$87:$D$94</c:f>
              <c:numCache>
                <c:formatCode>_(* #,##0.00_);_(* \(#,##0.00\);_(* "-"??_);_(@_)</c:formatCode>
                <c:ptCount val="8"/>
                <c:pt idx="0">
                  <c:v>60115.080274494103</c:v>
                </c:pt>
                <c:pt idx="1">
                  <c:v>3376.7649916524897</c:v>
                </c:pt>
                <c:pt idx="2">
                  <c:v>33873.096136547858</c:v>
                </c:pt>
                <c:pt idx="3">
                  <c:v>8737.7473917606876</c:v>
                </c:pt>
                <c:pt idx="4">
                  <c:v>8221.4267</c:v>
                </c:pt>
                <c:pt idx="5">
                  <c:v>2715.031135092051</c:v>
                </c:pt>
                <c:pt idx="6">
                  <c:v>5842.4318496619053</c:v>
                </c:pt>
                <c:pt idx="7">
                  <c:v>1828.47</c:v>
                </c:pt>
              </c:numCache>
            </c:numRef>
          </c:val>
          <c:extLst>
            <c:ext xmlns:c16="http://schemas.microsoft.com/office/drawing/2014/chart" uri="{C3380CC4-5D6E-409C-BE32-E72D297353CC}">
              <c16:uniqueId val="{00000001-35C4-4BF4-9A4B-4F91781F3F46}"/>
            </c:ext>
          </c:extLst>
        </c:ser>
        <c:dLbls>
          <c:showLegendKey val="0"/>
          <c:showVal val="0"/>
          <c:showCatName val="0"/>
          <c:showSerName val="0"/>
          <c:showPercent val="0"/>
          <c:showBubbleSize val="0"/>
        </c:dLbls>
        <c:gapWidth val="182"/>
        <c:axId val="398621583"/>
        <c:axId val="398631183"/>
      </c:barChart>
      <c:catAx>
        <c:axId val="398621583"/>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panose="020B0604020202020204" pitchFamily="34" charset="0"/>
                    <a:cs typeface="Arial" panose="020B0604020202020204" pitchFamily="34" charset="0"/>
                  </a:rPr>
                  <a:t>Material and activity groups</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631183"/>
        <c:crosses val="autoZero"/>
        <c:auto val="1"/>
        <c:lblAlgn val="ctr"/>
        <c:lblOffset val="100"/>
        <c:noMultiLvlLbl val="0"/>
      </c:catAx>
      <c:valAx>
        <c:axId val="3986311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layout>
            <c:manualLayout>
              <c:xMode val="edge"/>
              <c:yMode val="edge"/>
              <c:x val="0.48417108269435516"/>
              <c:y val="0.83726828786244245"/>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621583"/>
        <c:crosses val="autoZero"/>
        <c:crossBetween val="between"/>
      </c:valAx>
      <c:spPr>
        <a:noFill/>
        <a:ln>
          <a:noFill/>
        </a:ln>
        <a:effectLst/>
      </c:spPr>
    </c:plotArea>
    <c:legend>
      <c:legendPos val="b"/>
      <c:layout>
        <c:manualLayout>
          <c:xMode val="edge"/>
          <c:yMode val="edge"/>
          <c:x val="1.0934409192689505E-4"/>
          <c:y val="0.89975002388481684"/>
          <c:w val="0.97818651785749888"/>
          <c:h val="8.066058767268487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Material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50000"/>
                </a:schemeClr>
              </a:solidFill>
              <a:ln w="19050">
                <a:noFill/>
              </a:ln>
              <a:effectLst/>
            </c:spPr>
            <c:extLst>
              <c:ext xmlns:c16="http://schemas.microsoft.com/office/drawing/2014/chart" uri="{C3380CC4-5D6E-409C-BE32-E72D297353CC}">
                <c16:uniqueId val="{00000001-EF22-4313-9CA8-0FD22C29E5C0}"/>
              </c:ext>
            </c:extLst>
          </c:dPt>
          <c:dPt>
            <c:idx val="1"/>
            <c:bubble3D val="0"/>
            <c:spPr>
              <a:solidFill>
                <a:srgbClr val="0070C0"/>
              </a:solidFill>
              <a:ln w="19050">
                <a:noFill/>
              </a:ln>
              <a:effectLst/>
            </c:spPr>
            <c:extLst>
              <c:ext xmlns:c16="http://schemas.microsoft.com/office/drawing/2014/chart" uri="{C3380CC4-5D6E-409C-BE32-E72D297353CC}">
                <c16:uniqueId val="{00000003-EF22-4313-9CA8-0FD22C29E5C0}"/>
              </c:ext>
            </c:extLst>
          </c:dPt>
          <c:dPt>
            <c:idx val="2"/>
            <c:bubble3D val="0"/>
            <c:spPr>
              <a:solidFill>
                <a:schemeClr val="tx1">
                  <a:lumMod val="50000"/>
                  <a:lumOff val="50000"/>
                </a:schemeClr>
              </a:solidFill>
              <a:ln w="19050">
                <a:noFill/>
              </a:ln>
              <a:effectLst/>
            </c:spPr>
            <c:extLst>
              <c:ext xmlns:c16="http://schemas.microsoft.com/office/drawing/2014/chart" uri="{C3380CC4-5D6E-409C-BE32-E72D297353CC}">
                <c16:uniqueId val="{00000005-EF22-4313-9CA8-0FD22C29E5C0}"/>
              </c:ext>
            </c:extLst>
          </c:dPt>
          <c:dPt>
            <c:idx val="3"/>
            <c:bubble3D val="0"/>
            <c:spPr>
              <a:solidFill>
                <a:srgbClr val="FFC000"/>
              </a:solidFill>
              <a:ln w="19050">
                <a:noFill/>
              </a:ln>
              <a:effectLst/>
            </c:spPr>
            <c:extLst>
              <c:ext xmlns:c16="http://schemas.microsoft.com/office/drawing/2014/chart" uri="{C3380CC4-5D6E-409C-BE32-E72D297353CC}">
                <c16:uniqueId val="{00000007-EF22-4313-9CA8-0FD22C29E5C0}"/>
              </c:ext>
            </c:extLst>
          </c:dPt>
          <c:dPt>
            <c:idx val="4"/>
            <c:bubble3D val="0"/>
            <c:spPr>
              <a:solidFill>
                <a:srgbClr val="00B050"/>
              </a:solidFill>
              <a:ln w="19050">
                <a:noFill/>
              </a:ln>
              <a:effectLst/>
            </c:spPr>
            <c:extLst>
              <c:ext xmlns:c16="http://schemas.microsoft.com/office/drawing/2014/chart" uri="{C3380CC4-5D6E-409C-BE32-E72D297353CC}">
                <c16:uniqueId val="{00000009-EF22-4313-9CA8-0FD22C29E5C0}"/>
              </c:ext>
            </c:extLst>
          </c:dPt>
          <c:dPt>
            <c:idx val="5"/>
            <c:bubble3D val="0"/>
            <c:spPr>
              <a:solidFill>
                <a:srgbClr val="FFFF00"/>
              </a:solidFill>
              <a:ln w="19050">
                <a:noFill/>
              </a:ln>
              <a:effectLst/>
            </c:spPr>
            <c:extLst>
              <c:ext xmlns:c16="http://schemas.microsoft.com/office/drawing/2014/chart" uri="{C3380CC4-5D6E-409C-BE32-E72D297353CC}">
                <c16:uniqueId val="{0000000B-EF22-4313-9CA8-0FD22C29E5C0}"/>
              </c:ext>
            </c:extLst>
          </c:dPt>
          <c:dPt>
            <c:idx val="6"/>
            <c:bubble3D val="0"/>
            <c:spPr>
              <a:solidFill>
                <a:srgbClr val="FF0000"/>
              </a:solidFill>
              <a:ln w="19050">
                <a:noFill/>
              </a:ln>
              <a:effectLst/>
            </c:spPr>
            <c:extLst>
              <c:ext xmlns:c16="http://schemas.microsoft.com/office/drawing/2014/chart" uri="{C3380CC4-5D6E-409C-BE32-E72D297353CC}">
                <c16:uniqueId val="{0000000D-EF22-4313-9CA8-0FD22C29E5C0}"/>
              </c:ext>
            </c:extLst>
          </c:dPt>
          <c:dPt>
            <c:idx val="7"/>
            <c:bubble3D val="0"/>
            <c:spPr>
              <a:solidFill>
                <a:srgbClr val="7030A0"/>
              </a:solidFill>
              <a:ln w="19050">
                <a:noFill/>
              </a:ln>
              <a:effectLst/>
            </c:spPr>
            <c:extLst>
              <c:ext xmlns:c16="http://schemas.microsoft.com/office/drawing/2014/chart" uri="{C3380CC4-5D6E-409C-BE32-E72D297353CC}">
                <c16:uniqueId val="{0000000F-EF22-4313-9CA8-0FD22C29E5C0}"/>
              </c:ext>
            </c:extLst>
          </c:dPt>
          <c:cat>
            <c:strRef>
              <c:f>'Task 3 - Material summary'!$B$7:$B$14</c:f>
              <c:strCache>
                <c:ptCount val="8"/>
                <c:pt idx="0">
                  <c:v>Aggregate</c:v>
                </c:pt>
                <c:pt idx="1">
                  <c:v>Asphalt</c:v>
                </c:pt>
                <c:pt idx="2">
                  <c:v>Steel</c:v>
                </c:pt>
                <c:pt idx="3">
                  <c:v>Cement and Concrete</c:v>
                </c:pt>
                <c:pt idx="4">
                  <c:v>Wood</c:v>
                </c:pt>
                <c:pt idx="5">
                  <c:v>Aluminium</c:v>
                </c:pt>
                <c:pt idx="6">
                  <c:v>Brick</c:v>
                </c:pt>
                <c:pt idx="7">
                  <c:v>Plastic</c:v>
                </c:pt>
              </c:strCache>
            </c:strRef>
          </c:cat>
          <c:val>
            <c:numRef>
              <c:f>'Task 3 - Material summary'!$C$7:$C$14</c:f>
              <c:numCache>
                <c:formatCode>_-* #,##0_-;\-* #,##0_-;_-* "-"??_-;_-@_-</c:formatCode>
                <c:ptCount val="8"/>
                <c:pt idx="0">
                  <c:v>2715.031135092051</c:v>
                </c:pt>
                <c:pt idx="1">
                  <c:v>8221.4267</c:v>
                </c:pt>
                <c:pt idx="2">
                  <c:v>8737.7473917606876</c:v>
                </c:pt>
                <c:pt idx="3">
                  <c:v>60115.080274494103</c:v>
                </c:pt>
                <c:pt idx="4">
                  <c:v>670.17709547714082</c:v>
                </c:pt>
                <c:pt idx="5">
                  <c:v>12.5367</c:v>
                </c:pt>
                <c:pt idx="6">
                  <c:v>34.914700000000003</c:v>
                </c:pt>
                <c:pt idx="7">
                  <c:v>5124.8033541847644</c:v>
                </c:pt>
              </c:numCache>
            </c:numRef>
          </c:val>
          <c:extLst>
            <c:ext xmlns:c16="http://schemas.microsoft.com/office/drawing/2014/chart" uri="{C3380CC4-5D6E-409C-BE32-E72D297353CC}">
              <c16:uniqueId val="{00000000-3E20-4BC3-95A8-57EECD98FE5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065616718348872"/>
          <c:y val="0.14424194589041525"/>
          <c:w val="0.23671512983956741"/>
          <c:h val="0.713675417589173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241-4F0A-951F-43CBDA0781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41-4F0A-951F-43CBDA0781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41-4F0A-951F-43CBDA0781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41-4F0A-951F-43CBDA0781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241-4F0A-951F-43CBDA0781E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41-4F0A-951F-43CBDA0781E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41-4F0A-951F-43CBDA0781E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241-4F0A-951F-43CBDA0781E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241-4F0A-951F-43CBDA0781E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241-4F0A-951F-43CBDA0781E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241-4F0A-951F-43CBDA0781E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241-4F0A-951F-43CBDA0781E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241-4F0A-951F-43CBDA0781E3}"/>
              </c:ext>
            </c:extLst>
          </c:dPt>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summary'!$Q$44:$Q$56</c:f>
              <c:numCache>
                <c:formatCode>_-* #,##0_-;\-* #,##0_-;_-* "-"??_-;_-@_-</c:formatCode>
                <c:ptCount val="13"/>
                <c:pt idx="0">
                  <c:v>593.13260000000002</c:v>
                </c:pt>
                <c:pt idx="1">
                  <c:v>3417.740262208119</c:v>
                </c:pt>
                <c:pt idx="2">
                  <c:v>1992.2157000000004</c:v>
                </c:pt>
                <c:pt idx="3">
                  <c:v>2340.9663000000005</c:v>
                </c:pt>
                <c:pt idx="4">
                  <c:v>9115.7493843544726</c:v>
                </c:pt>
                <c:pt idx="5">
                  <c:v>5752.3866000000007</c:v>
                </c:pt>
                <c:pt idx="6">
                  <c:v>443.53749999999991</c:v>
                </c:pt>
                <c:pt idx="7">
                  <c:v>19245.347800000003</c:v>
                </c:pt>
                <c:pt idx="8">
                  <c:v>13016.356631179875</c:v>
                </c:pt>
                <c:pt idx="9">
                  <c:v>2338.5736871285708</c:v>
                </c:pt>
                <c:pt idx="10">
                  <c:v>1605.4286999999999</c:v>
                </c:pt>
                <c:pt idx="11">
                  <c:v>3950.6603000000005</c:v>
                </c:pt>
                <c:pt idx="12">
                  <c:v>64583.672000000006</c:v>
                </c:pt>
              </c:numCache>
            </c:numRef>
          </c:val>
          <c:extLst>
            <c:ext xmlns:c16="http://schemas.microsoft.com/office/drawing/2014/chart" uri="{C3380CC4-5D6E-409C-BE32-E72D297353CC}">
              <c16:uniqueId val="{00000000-5E5E-4D7D-A90F-4B806FDCADD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7229929340393635"/>
          <c:y val="6.249037826267248E-2"/>
          <c:w val="0.32515964188995189"/>
          <c:h val="0.881751099128939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a:noFill/>
            </a:ln>
          </c:spPr>
          <c:dPt>
            <c:idx val="0"/>
            <c:bubble3D val="0"/>
            <c:spPr>
              <a:solidFill>
                <a:schemeClr val="accent2">
                  <a:lumMod val="50000"/>
                </a:schemeClr>
              </a:solidFill>
              <a:ln w="19050">
                <a:noFill/>
              </a:ln>
              <a:effectLst/>
            </c:spPr>
            <c:extLst>
              <c:ext xmlns:c16="http://schemas.microsoft.com/office/drawing/2014/chart" uri="{C3380CC4-5D6E-409C-BE32-E72D297353CC}">
                <c16:uniqueId val="{00000001-5B78-4585-97AC-8F4EFCD86EE8}"/>
              </c:ext>
            </c:extLst>
          </c:dPt>
          <c:dPt>
            <c:idx val="1"/>
            <c:bubble3D val="0"/>
            <c:spPr>
              <a:solidFill>
                <a:srgbClr val="00B0F0"/>
              </a:solidFill>
              <a:ln w="19050">
                <a:noFill/>
              </a:ln>
              <a:effectLst/>
            </c:spPr>
            <c:extLst>
              <c:ext xmlns:c16="http://schemas.microsoft.com/office/drawing/2014/chart" uri="{C3380CC4-5D6E-409C-BE32-E72D297353CC}">
                <c16:uniqueId val="{00000002-5B78-4585-97AC-8F4EFCD86EE8}"/>
              </c:ext>
            </c:extLst>
          </c:dPt>
          <c:dPt>
            <c:idx val="2"/>
            <c:bubble3D val="0"/>
            <c:spPr>
              <a:solidFill>
                <a:schemeClr val="tx1">
                  <a:lumMod val="50000"/>
                  <a:lumOff val="50000"/>
                </a:schemeClr>
              </a:solidFill>
              <a:ln w="19050">
                <a:noFill/>
              </a:ln>
              <a:effectLst/>
            </c:spPr>
            <c:extLst>
              <c:ext xmlns:c16="http://schemas.microsoft.com/office/drawing/2014/chart" uri="{C3380CC4-5D6E-409C-BE32-E72D297353CC}">
                <c16:uniqueId val="{00000003-5B78-4585-97AC-8F4EFCD86EE8}"/>
              </c:ext>
            </c:extLst>
          </c:dPt>
          <c:dPt>
            <c:idx val="3"/>
            <c:bubble3D val="0"/>
            <c:spPr>
              <a:solidFill>
                <a:srgbClr val="FFC000"/>
              </a:solidFill>
              <a:ln w="19050">
                <a:noFill/>
              </a:ln>
              <a:effectLst/>
            </c:spPr>
            <c:extLst>
              <c:ext xmlns:c16="http://schemas.microsoft.com/office/drawing/2014/chart" uri="{C3380CC4-5D6E-409C-BE32-E72D297353CC}">
                <c16:uniqueId val="{00000004-5B78-4585-97AC-8F4EFCD86EE8}"/>
              </c:ext>
            </c:extLst>
          </c:dPt>
          <c:dPt>
            <c:idx val="4"/>
            <c:bubble3D val="0"/>
            <c:spPr>
              <a:solidFill>
                <a:srgbClr val="00B050"/>
              </a:solidFill>
              <a:ln w="19050">
                <a:noFill/>
              </a:ln>
              <a:effectLst/>
            </c:spPr>
            <c:extLst>
              <c:ext xmlns:c16="http://schemas.microsoft.com/office/drawing/2014/chart" uri="{C3380CC4-5D6E-409C-BE32-E72D297353CC}">
                <c16:uniqueId val="{00000005-5B78-4585-97AC-8F4EFCD86EE8}"/>
              </c:ext>
            </c:extLst>
          </c:dPt>
          <c:dPt>
            <c:idx val="5"/>
            <c:bubble3D val="0"/>
            <c:spPr>
              <a:solidFill>
                <a:srgbClr val="FFFF00"/>
              </a:solidFill>
              <a:ln w="19050">
                <a:noFill/>
              </a:ln>
              <a:effectLst/>
            </c:spPr>
            <c:extLst>
              <c:ext xmlns:c16="http://schemas.microsoft.com/office/drawing/2014/chart" uri="{C3380CC4-5D6E-409C-BE32-E72D297353CC}">
                <c16:uniqueId val="{00000006-5B78-4585-97AC-8F4EFCD86EE8}"/>
              </c:ext>
            </c:extLst>
          </c:dPt>
          <c:dPt>
            <c:idx val="6"/>
            <c:bubble3D val="0"/>
            <c:spPr>
              <a:solidFill>
                <a:srgbClr val="FF0000"/>
              </a:solidFill>
              <a:ln w="19050">
                <a:noFill/>
              </a:ln>
              <a:effectLst/>
            </c:spPr>
            <c:extLst>
              <c:ext xmlns:c16="http://schemas.microsoft.com/office/drawing/2014/chart" uri="{C3380CC4-5D6E-409C-BE32-E72D297353CC}">
                <c16:uniqueId val="{00000007-5B78-4585-97AC-8F4EFCD86EE8}"/>
              </c:ext>
            </c:extLst>
          </c:dPt>
          <c:dPt>
            <c:idx val="7"/>
            <c:bubble3D val="0"/>
            <c:spPr>
              <a:solidFill>
                <a:srgbClr val="7030A0"/>
              </a:solidFill>
              <a:ln w="19050">
                <a:noFill/>
              </a:ln>
              <a:effectLst/>
            </c:spPr>
            <c:extLst>
              <c:ext xmlns:c16="http://schemas.microsoft.com/office/drawing/2014/chart" uri="{C3380CC4-5D6E-409C-BE32-E72D297353CC}">
                <c16:uniqueId val="{00000008-5B78-4585-97AC-8F4EFCD86EE8}"/>
              </c:ext>
            </c:extLst>
          </c:dPt>
          <c:dPt>
            <c:idx val="8"/>
            <c:bubble3D val="0"/>
            <c:spPr>
              <a:solidFill>
                <a:srgbClr val="FF61A1"/>
              </a:solidFill>
              <a:ln w="19050">
                <a:noFill/>
              </a:ln>
              <a:effectLst/>
            </c:spPr>
            <c:extLst>
              <c:ext xmlns:c16="http://schemas.microsoft.com/office/drawing/2014/chart" uri="{C3380CC4-5D6E-409C-BE32-E72D297353CC}">
                <c16:uniqueId val="{00000009-5B78-4585-97AC-8F4EFCD86EE8}"/>
              </c:ext>
            </c:extLst>
          </c:dPt>
          <c:dPt>
            <c:idx val="9"/>
            <c:bubble3D val="0"/>
            <c:spPr>
              <a:solidFill>
                <a:srgbClr val="33CCCC"/>
              </a:solidFill>
              <a:ln w="19050">
                <a:noFill/>
              </a:ln>
              <a:effectLst/>
            </c:spPr>
            <c:extLst>
              <c:ext xmlns:c16="http://schemas.microsoft.com/office/drawing/2014/chart" uri="{C3380CC4-5D6E-409C-BE32-E72D297353CC}">
                <c16:uniqueId val="{0000000A-5B78-4585-97AC-8F4EFCD86EE8}"/>
              </c:ext>
            </c:extLst>
          </c:dPt>
          <c:dPt>
            <c:idx val="10"/>
            <c:bubble3D val="0"/>
            <c:spPr>
              <a:solidFill>
                <a:srgbClr val="59A089"/>
              </a:solidFill>
              <a:ln w="19050">
                <a:noFill/>
              </a:ln>
              <a:effectLst/>
            </c:spPr>
            <c:extLst>
              <c:ext xmlns:c16="http://schemas.microsoft.com/office/drawing/2014/chart" uri="{C3380CC4-5D6E-409C-BE32-E72D297353CC}">
                <c16:uniqueId val="{0000000B-5B78-4585-97AC-8F4EFCD86EE8}"/>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6-D410-46B1-8C5B-DAF69EEFF13E}"/>
              </c:ext>
            </c:extLst>
          </c:dPt>
          <c:dLbls>
            <c:dLbl>
              <c:idx val="0"/>
              <c:layout>
                <c:manualLayout>
                  <c:x val="4.346575579140944E-2"/>
                  <c:y val="-9.983952957500397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B78-4585-97AC-8F4EFCD86EE8}"/>
                </c:ext>
              </c:extLst>
            </c:dLbl>
            <c:dLbl>
              <c:idx val="1"/>
              <c:layout>
                <c:manualLayout>
                  <c:x val="7.2442926319015832E-2"/>
                  <c:y val="-8.98555766175035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B78-4585-97AC-8F4EFCD86EE8}"/>
                </c:ext>
              </c:extLst>
            </c:dLbl>
            <c:dLbl>
              <c:idx val="2"/>
              <c:layout>
                <c:manualLayout>
                  <c:x val="8.8541354389908122E-2"/>
                  <c:y val="-6.23997059843774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78-4585-97AC-8F4EFCD86EE8}"/>
                </c:ext>
              </c:extLst>
            </c:dLbl>
            <c:dLbl>
              <c:idx val="3"/>
              <c:layout>
                <c:manualLayout>
                  <c:x val="0.1158379504343342"/>
                  <c:y val="9.58471275990460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B78-4585-97AC-8F4EFCD86EE8}"/>
                </c:ext>
              </c:extLst>
            </c:dLbl>
            <c:dLbl>
              <c:idx val="4"/>
              <c:layout>
                <c:manualLayout>
                  <c:x val="-5.379412915627281E-2"/>
                  <c:y val="0.2099238249415102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78-4585-97AC-8F4EFCD86EE8}"/>
                </c:ext>
              </c:extLst>
            </c:dLbl>
            <c:dLbl>
              <c:idx val="5"/>
              <c:layout>
                <c:manualLayout>
                  <c:x val="-0.15548538465188738"/>
                  <c:y val="8.583221528601683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B78-4585-97AC-8F4EFCD86EE8}"/>
                </c:ext>
              </c:extLst>
            </c:dLbl>
            <c:dLbl>
              <c:idx val="6"/>
              <c:layout>
                <c:manualLayout>
                  <c:x val="-0.11127044230323038"/>
                  <c:y val="0.163505826782130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78-4585-97AC-8F4EFCD86EE8}"/>
                </c:ext>
              </c:extLst>
            </c:dLbl>
            <c:dLbl>
              <c:idx val="7"/>
              <c:layout>
                <c:manualLayout>
                  <c:x val="-0.14678253927261514"/>
                  <c:y val="5.718433181426739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B78-4585-97AC-8F4EFCD86EE8}"/>
                </c:ext>
              </c:extLst>
            </c:dLbl>
            <c:dLbl>
              <c:idx val="8"/>
              <c:layout>
                <c:manualLayout>
                  <c:x val="-0.14488585263803166"/>
                  <c:y val="-4.99197647875019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B78-4585-97AC-8F4EFCD86EE8}"/>
                </c:ext>
              </c:extLst>
            </c:dLbl>
            <c:dLbl>
              <c:idx val="9"/>
              <c:layout>
                <c:manualLayout>
                  <c:x val="-8.6931511582819032E-2"/>
                  <c:y val="-0.139775341405005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B78-4585-97AC-8F4EFCD86EE8}"/>
                </c:ext>
              </c:extLst>
            </c:dLbl>
            <c:dLbl>
              <c:idx val="10"/>
              <c:layout>
                <c:manualLayout>
                  <c:x val="-0.11107915368915761"/>
                  <c:y val="-8.98555766175035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B78-4585-97AC-8F4EFCD86EE8}"/>
                </c:ext>
              </c:extLst>
            </c:dLbl>
            <c:dLbl>
              <c:idx val="11"/>
              <c:layout>
                <c:manualLayout>
                  <c:x val="-5.2411700556776929E-2"/>
                  <c:y val="-0.110703889324004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D410-46B1-8C5B-DAF69EEFF1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'Task 3 - Material summary'!$B$7:$B$18</c:f>
              <c:strCache>
                <c:ptCount val="12"/>
                <c:pt idx="0">
                  <c:v>Aggregate</c:v>
                </c:pt>
                <c:pt idx="1">
                  <c:v>Asphalt</c:v>
                </c:pt>
                <c:pt idx="2">
                  <c:v>Steel</c:v>
                </c:pt>
                <c:pt idx="3">
                  <c:v>Cement and Concrete</c:v>
                </c:pt>
                <c:pt idx="4">
                  <c:v>Wood</c:v>
                </c:pt>
                <c:pt idx="5">
                  <c:v>Aluminium</c:v>
                </c:pt>
                <c:pt idx="6">
                  <c:v>Brick</c:v>
                </c:pt>
                <c:pt idx="7">
                  <c:v>Plastic</c:v>
                </c:pt>
                <c:pt idx="8">
                  <c:v>Material Transport</c:v>
                </c:pt>
                <c:pt idx="9">
                  <c:v>Plant Use</c:v>
                </c:pt>
                <c:pt idx="10">
                  <c:v>Worker Travel</c:v>
                </c:pt>
                <c:pt idx="11">
                  <c:v>Operational energy</c:v>
                </c:pt>
              </c:strCache>
            </c:strRef>
          </c:cat>
          <c:val>
            <c:numRef>
              <c:f>'Task 3 - Material summary'!$C$7:$C$18</c:f>
              <c:numCache>
                <c:formatCode>_-* #,##0_-;\-* #,##0_-;_-* "-"??_-;_-@_-</c:formatCode>
                <c:ptCount val="12"/>
                <c:pt idx="0">
                  <c:v>2715.031135092051</c:v>
                </c:pt>
                <c:pt idx="1">
                  <c:v>8221.4267</c:v>
                </c:pt>
                <c:pt idx="2">
                  <c:v>8737.7473917606876</c:v>
                </c:pt>
                <c:pt idx="3">
                  <c:v>60115.080274494103</c:v>
                </c:pt>
                <c:pt idx="4">
                  <c:v>670.17709547714082</c:v>
                </c:pt>
                <c:pt idx="5">
                  <c:v>12.5367</c:v>
                </c:pt>
                <c:pt idx="6">
                  <c:v>34.914700000000003</c:v>
                </c:pt>
                <c:pt idx="7">
                  <c:v>5124.8033541847644</c:v>
                </c:pt>
                <c:pt idx="8">
                  <c:v>3376.7649916524897</c:v>
                </c:pt>
                <c:pt idx="9">
                  <c:v>33873.096136547858</c:v>
                </c:pt>
                <c:pt idx="10">
                  <c:v>3685.7189856619407</c:v>
                </c:pt>
                <c:pt idx="11">
                  <c:v>1828.47</c:v>
                </c:pt>
              </c:numCache>
            </c:numRef>
          </c:val>
          <c:extLst>
            <c:ext xmlns:c16="http://schemas.microsoft.com/office/drawing/2014/chart" uri="{C3380CC4-5D6E-409C-BE32-E72D297353CC}">
              <c16:uniqueId val="{00000000-5B78-4585-97AC-8F4EFCD86EE8}"/>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a:noFill/>
            </a:ln>
          </c:spPr>
          <c:dPt>
            <c:idx val="0"/>
            <c:bubble3D val="0"/>
            <c:spPr>
              <a:pattFill prst="pct50">
                <a:fgClr>
                  <a:schemeClr val="bg1">
                    <a:lumMod val="50000"/>
                  </a:schemeClr>
                </a:fgClr>
                <a:bgClr>
                  <a:schemeClr val="bg1"/>
                </a:bgClr>
              </a:pattFill>
              <a:ln w="19050">
                <a:noFill/>
              </a:ln>
              <a:effectLst/>
            </c:spPr>
            <c:extLst>
              <c:ext xmlns:c16="http://schemas.microsoft.com/office/drawing/2014/chart" uri="{C3380CC4-5D6E-409C-BE32-E72D297353CC}">
                <c16:uniqueId val="{00000002-8EEB-4D76-BC99-A792C3E651E6}"/>
              </c:ext>
            </c:extLst>
          </c:dPt>
          <c:dPt>
            <c:idx val="1"/>
            <c:bubble3D val="0"/>
            <c:spPr>
              <a:pattFill prst="smConfetti">
                <a:fgClr>
                  <a:schemeClr val="bg1">
                    <a:lumMod val="50000"/>
                  </a:schemeClr>
                </a:fgClr>
                <a:bgClr>
                  <a:schemeClr val="bg1"/>
                </a:bgClr>
              </a:pattFill>
              <a:ln w="19050">
                <a:noFill/>
              </a:ln>
              <a:effectLst/>
            </c:spPr>
            <c:extLst>
              <c:ext xmlns:c16="http://schemas.microsoft.com/office/drawing/2014/chart" uri="{C3380CC4-5D6E-409C-BE32-E72D297353CC}">
                <c16:uniqueId val="{00000003-8EEB-4D76-BC99-A792C3E651E6}"/>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'Task 3 - Material summary'!$F$7:$F$8</c:f>
              <c:strCache>
                <c:ptCount val="2"/>
                <c:pt idx="0">
                  <c:v>Material</c:v>
                </c:pt>
                <c:pt idx="1">
                  <c:v>Activity</c:v>
                </c:pt>
              </c:strCache>
            </c:strRef>
          </c:cat>
          <c:val>
            <c:numRef>
              <c:f>'Task 3 - Material summary'!$G$7:$G$8</c:f>
              <c:numCache>
                <c:formatCode>_-* #,##0_-;\-* #,##0_-;_-* "-"??_-;_-@_-</c:formatCode>
                <c:ptCount val="2"/>
                <c:pt idx="0">
                  <c:v>85631.71735100873</c:v>
                </c:pt>
                <c:pt idx="1">
                  <c:v>42764.050113862293</c:v>
                </c:pt>
              </c:numCache>
            </c:numRef>
          </c:val>
          <c:extLst>
            <c:ext xmlns:c16="http://schemas.microsoft.com/office/drawing/2014/chart" uri="{C3380CC4-5D6E-409C-BE32-E72D297353CC}">
              <c16:uniqueId val="{00000000-8EEB-4D76-BC99-A792C3E651E6}"/>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'Task 3 - Material summary'!$E$43</c:f>
              <c:strCache>
                <c:ptCount val="1"/>
                <c:pt idx="0">
                  <c:v>Aggregate</c:v>
                </c:pt>
              </c:strCache>
            </c:strRef>
          </c:tx>
          <c:spPr>
            <a:solidFill>
              <a:schemeClr val="accent2">
                <a:lumMod val="50000"/>
              </a:schemeClr>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summary'!$E$44:$E$56</c:f>
              <c:numCache>
                <c:formatCode>_-* #,##0_-;\-* #,##0_-;_-* "-"??_-;_-@_-</c:formatCode>
                <c:ptCount val="13"/>
                <c:pt idx="0">
                  <c:v>2.0343</c:v>
                </c:pt>
                <c:pt idx="1">
                  <c:v>149.55425869402109</c:v>
                </c:pt>
                <c:pt idx="2">
                  <c:v>32.816900000000004</c:v>
                </c:pt>
                <c:pt idx="3">
                  <c:v>35.965199999999996</c:v>
                </c:pt>
                <c:pt idx="4">
                  <c:v>66.194385391823985</c:v>
                </c:pt>
                <c:pt idx="5">
                  <c:v>16.309800000000003</c:v>
                </c:pt>
                <c:pt idx="6">
                  <c:v>11.5212</c:v>
                </c:pt>
                <c:pt idx="7">
                  <c:v>604.75200000000007</c:v>
                </c:pt>
                <c:pt idx="8">
                  <c:v>95.415891006205925</c:v>
                </c:pt>
                <c:pt idx="9">
                  <c:v>33.441099999999999</c:v>
                </c:pt>
                <c:pt idx="10">
                  <c:v>62.980699999999999</c:v>
                </c:pt>
                <c:pt idx="11">
                  <c:v>172.84839999999997</c:v>
                </c:pt>
                <c:pt idx="12">
                  <c:v>1431.1969999999999</c:v>
                </c:pt>
              </c:numCache>
            </c:numRef>
          </c:val>
          <c:extLst>
            <c:ext xmlns:c16="http://schemas.microsoft.com/office/drawing/2014/chart" uri="{C3380CC4-5D6E-409C-BE32-E72D297353CC}">
              <c16:uniqueId val="{00000000-6A3C-4017-B6B6-5809B135E974}"/>
            </c:ext>
          </c:extLst>
        </c:ser>
        <c:ser>
          <c:idx val="1"/>
          <c:order val="1"/>
          <c:tx>
            <c:strRef>
              <c:f>'Task 3 - Material summary'!$F$43</c:f>
              <c:strCache>
                <c:ptCount val="1"/>
                <c:pt idx="0">
                  <c:v>Asphalt</c:v>
                </c:pt>
              </c:strCache>
            </c:strRef>
          </c:tx>
          <c:spPr>
            <a:solidFill>
              <a:srgbClr val="0070C0"/>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summary'!$F$44:$F$56</c:f>
              <c:numCache>
                <c:formatCode>_-* #,##0_-;\-* #,##0_-;_-* "-"??_-;_-@_-</c:formatCode>
                <c:ptCount val="13"/>
                <c:pt idx="0">
                  <c:v>0</c:v>
                </c:pt>
                <c:pt idx="1">
                  <c:v>0</c:v>
                </c:pt>
                <c:pt idx="2">
                  <c:v>0</c:v>
                </c:pt>
                <c:pt idx="3">
                  <c:v>0</c:v>
                </c:pt>
                <c:pt idx="4">
                  <c:v>0</c:v>
                </c:pt>
                <c:pt idx="5">
                  <c:v>0</c:v>
                </c:pt>
                <c:pt idx="6">
                  <c:v>0</c:v>
                </c:pt>
                <c:pt idx="7">
                  <c:v>0</c:v>
                </c:pt>
                <c:pt idx="8">
                  <c:v>0</c:v>
                </c:pt>
                <c:pt idx="9">
                  <c:v>0</c:v>
                </c:pt>
                <c:pt idx="10">
                  <c:v>338.2201</c:v>
                </c:pt>
                <c:pt idx="11">
                  <c:v>456.75109999999995</c:v>
                </c:pt>
                <c:pt idx="12">
                  <c:v>7426.4555</c:v>
                </c:pt>
              </c:numCache>
            </c:numRef>
          </c:val>
          <c:extLst>
            <c:ext xmlns:c16="http://schemas.microsoft.com/office/drawing/2014/chart" uri="{C3380CC4-5D6E-409C-BE32-E72D297353CC}">
              <c16:uniqueId val="{00000001-6A3C-4017-B6B6-5809B135E974}"/>
            </c:ext>
          </c:extLst>
        </c:ser>
        <c:ser>
          <c:idx val="2"/>
          <c:order val="2"/>
          <c:tx>
            <c:strRef>
              <c:f>'Task 3 - Material summary'!$G$43</c:f>
              <c:strCache>
                <c:ptCount val="1"/>
                <c:pt idx="0">
                  <c:v>Steel</c:v>
                </c:pt>
              </c:strCache>
            </c:strRef>
          </c:tx>
          <c:spPr>
            <a:solidFill>
              <a:schemeClr val="tx1">
                <a:lumMod val="50000"/>
                <a:lumOff val="50000"/>
              </a:schemeClr>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summary'!$G$44:$G$56</c:f>
              <c:numCache>
                <c:formatCode>_-* #,##0_-;\-* #,##0_-;_-* "-"??_-;_-@_-</c:formatCode>
                <c:ptCount val="13"/>
                <c:pt idx="0">
                  <c:v>108.57039999999999</c:v>
                </c:pt>
                <c:pt idx="1">
                  <c:v>377.36836194548169</c:v>
                </c:pt>
                <c:pt idx="2">
                  <c:v>110.62910000000001</c:v>
                </c:pt>
                <c:pt idx="3">
                  <c:v>61.095600000000012</c:v>
                </c:pt>
                <c:pt idx="4">
                  <c:v>168.33112168923697</c:v>
                </c:pt>
                <c:pt idx="5">
                  <c:v>213.32989999999998</c:v>
                </c:pt>
                <c:pt idx="6">
                  <c:v>44.121099999999998</c:v>
                </c:pt>
                <c:pt idx="7">
                  <c:v>2168.578</c:v>
                </c:pt>
                <c:pt idx="8">
                  <c:v>363.49380812597013</c:v>
                </c:pt>
                <c:pt idx="9">
                  <c:v>135.13380000000001</c:v>
                </c:pt>
                <c:pt idx="10">
                  <c:v>0</c:v>
                </c:pt>
                <c:pt idx="11">
                  <c:v>0</c:v>
                </c:pt>
                <c:pt idx="12">
                  <c:v>4987.0962</c:v>
                </c:pt>
              </c:numCache>
            </c:numRef>
          </c:val>
          <c:extLst>
            <c:ext xmlns:c16="http://schemas.microsoft.com/office/drawing/2014/chart" uri="{C3380CC4-5D6E-409C-BE32-E72D297353CC}">
              <c16:uniqueId val="{00000002-6A3C-4017-B6B6-5809B135E974}"/>
            </c:ext>
          </c:extLst>
        </c:ser>
        <c:ser>
          <c:idx val="3"/>
          <c:order val="3"/>
          <c:tx>
            <c:strRef>
              <c:f>'Task 3 - Material summary'!$H$43</c:f>
              <c:strCache>
                <c:ptCount val="1"/>
                <c:pt idx="0">
                  <c:v>Cement and Concrete</c:v>
                </c:pt>
              </c:strCache>
            </c:strRef>
          </c:tx>
          <c:spPr>
            <a:solidFill>
              <a:srgbClr val="FFC000"/>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summary'!$H$44:$H$56</c:f>
              <c:numCache>
                <c:formatCode>_-* #,##0_-;\-* #,##0_-;_-* "-"??_-;_-@_-</c:formatCode>
                <c:ptCount val="13"/>
                <c:pt idx="0">
                  <c:v>352.71530000000001</c:v>
                </c:pt>
                <c:pt idx="1">
                  <c:v>2172.2352791978437</c:v>
                </c:pt>
                <c:pt idx="2">
                  <c:v>1590.5868000000003</c:v>
                </c:pt>
                <c:pt idx="3">
                  <c:v>2042.5704000000003</c:v>
                </c:pt>
                <c:pt idx="4">
                  <c:v>8521.9124447152299</c:v>
                </c:pt>
                <c:pt idx="5">
                  <c:v>5037.8120000000008</c:v>
                </c:pt>
                <c:pt idx="6">
                  <c:v>307.65789999999998</c:v>
                </c:pt>
                <c:pt idx="7">
                  <c:v>15139.521700000007</c:v>
                </c:pt>
                <c:pt idx="8">
                  <c:v>11683.077663452454</c:v>
                </c:pt>
                <c:pt idx="9">
                  <c:v>1484.0345871285706</c:v>
                </c:pt>
                <c:pt idx="10">
                  <c:v>57.788599999999995</c:v>
                </c:pt>
                <c:pt idx="11">
                  <c:v>95.289299999999969</c:v>
                </c:pt>
                <c:pt idx="12">
                  <c:v>11629.878299999998</c:v>
                </c:pt>
              </c:numCache>
            </c:numRef>
          </c:val>
          <c:extLst>
            <c:ext xmlns:c16="http://schemas.microsoft.com/office/drawing/2014/chart" uri="{C3380CC4-5D6E-409C-BE32-E72D297353CC}">
              <c16:uniqueId val="{00000003-6A3C-4017-B6B6-5809B135E974}"/>
            </c:ext>
          </c:extLst>
        </c:ser>
        <c:ser>
          <c:idx val="4"/>
          <c:order val="4"/>
          <c:tx>
            <c:strRef>
              <c:f>'Task 3 - Material summary'!$I$43</c:f>
              <c:strCache>
                <c:ptCount val="1"/>
                <c:pt idx="0">
                  <c:v>Wood</c:v>
                </c:pt>
              </c:strCache>
            </c:strRef>
          </c:tx>
          <c:spPr>
            <a:solidFill>
              <a:srgbClr val="00B050"/>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summary'!$I$44:$I$56</c:f>
              <c:numCache>
                <c:formatCode>_-* #,##0_-;\-* #,##0_-;_-* "-"??_-;_-@_-</c:formatCode>
                <c:ptCount val="13"/>
                <c:pt idx="0">
                  <c:v>1.3111999999999999</c:v>
                </c:pt>
                <c:pt idx="1">
                  <c:v>17.323767825814627</c:v>
                </c:pt>
                <c:pt idx="2">
                  <c:v>2.8376000000000001</c:v>
                </c:pt>
                <c:pt idx="3">
                  <c:v>1.6740999999999999</c:v>
                </c:pt>
                <c:pt idx="4">
                  <c:v>4.1835484006748072</c:v>
                </c:pt>
                <c:pt idx="5">
                  <c:v>6.0743999999999998</c:v>
                </c:pt>
                <c:pt idx="6">
                  <c:v>1.9366999999999999</c:v>
                </c:pt>
                <c:pt idx="7">
                  <c:v>10.968500000000002</c:v>
                </c:pt>
                <c:pt idx="8">
                  <c:v>7.194879250651522</c:v>
                </c:pt>
                <c:pt idx="9">
                  <c:v>4.4846000000000004</c:v>
                </c:pt>
                <c:pt idx="10">
                  <c:v>0</c:v>
                </c:pt>
                <c:pt idx="11">
                  <c:v>0</c:v>
                </c:pt>
                <c:pt idx="12">
                  <c:v>612.18779999999992</c:v>
                </c:pt>
              </c:numCache>
            </c:numRef>
          </c:val>
          <c:extLst>
            <c:ext xmlns:c16="http://schemas.microsoft.com/office/drawing/2014/chart" uri="{C3380CC4-5D6E-409C-BE32-E72D297353CC}">
              <c16:uniqueId val="{00000004-6A3C-4017-B6B6-5809B135E974}"/>
            </c:ext>
          </c:extLst>
        </c:ser>
        <c:ser>
          <c:idx val="5"/>
          <c:order val="5"/>
          <c:tx>
            <c:strRef>
              <c:f>'Task 3 - Material summary'!$J$43</c:f>
              <c:strCache>
                <c:ptCount val="1"/>
                <c:pt idx="0">
                  <c:v>Aluminium</c:v>
                </c:pt>
              </c:strCache>
            </c:strRef>
          </c:tx>
          <c:spPr>
            <a:solidFill>
              <a:srgbClr val="FFFF00"/>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summary'!$J$44:$J$56</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12.5367</c:v>
                </c:pt>
              </c:numCache>
            </c:numRef>
          </c:val>
          <c:extLst>
            <c:ext xmlns:c16="http://schemas.microsoft.com/office/drawing/2014/chart" uri="{C3380CC4-5D6E-409C-BE32-E72D297353CC}">
              <c16:uniqueId val="{00000005-6A3C-4017-B6B6-5809B135E974}"/>
            </c:ext>
          </c:extLst>
        </c:ser>
        <c:ser>
          <c:idx val="6"/>
          <c:order val="6"/>
          <c:tx>
            <c:strRef>
              <c:f>'Task 3 - Material summary'!$K$43</c:f>
              <c:strCache>
                <c:ptCount val="1"/>
                <c:pt idx="0">
                  <c:v>Brick</c:v>
                </c:pt>
              </c:strCache>
            </c:strRef>
          </c:tx>
          <c:spPr>
            <a:solidFill>
              <a:srgbClr val="FF0000"/>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summary'!$K$44:$K$56</c:f>
              <c:numCache>
                <c:formatCode>_-* #,##0_-;\-* #,##0_-;_-* "-"??_-;_-@_-</c:formatCode>
                <c:ptCount val="13"/>
                <c:pt idx="0">
                  <c:v>0</c:v>
                </c:pt>
                <c:pt idx="1">
                  <c:v>0</c:v>
                </c:pt>
                <c:pt idx="2">
                  <c:v>0</c:v>
                </c:pt>
                <c:pt idx="3">
                  <c:v>0</c:v>
                </c:pt>
                <c:pt idx="4">
                  <c:v>0</c:v>
                </c:pt>
                <c:pt idx="5">
                  <c:v>0</c:v>
                </c:pt>
                <c:pt idx="6">
                  <c:v>0</c:v>
                </c:pt>
                <c:pt idx="7">
                  <c:v>0</c:v>
                </c:pt>
                <c:pt idx="8">
                  <c:v>0</c:v>
                </c:pt>
                <c:pt idx="9">
                  <c:v>0.18410000000000001</c:v>
                </c:pt>
                <c:pt idx="10">
                  <c:v>14.195399999999999</c:v>
                </c:pt>
                <c:pt idx="11">
                  <c:v>20.428100000000001</c:v>
                </c:pt>
                <c:pt idx="12">
                  <c:v>0.1071</c:v>
                </c:pt>
              </c:numCache>
            </c:numRef>
          </c:val>
          <c:extLst>
            <c:ext xmlns:c16="http://schemas.microsoft.com/office/drawing/2014/chart" uri="{C3380CC4-5D6E-409C-BE32-E72D297353CC}">
              <c16:uniqueId val="{00000006-6A3C-4017-B6B6-5809B135E974}"/>
            </c:ext>
          </c:extLst>
        </c:ser>
        <c:ser>
          <c:idx val="7"/>
          <c:order val="7"/>
          <c:tx>
            <c:strRef>
              <c:f>'Task 3 - Material summary'!$L$43</c:f>
              <c:strCache>
                <c:ptCount val="1"/>
                <c:pt idx="0">
                  <c:v>Plastic</c:v>
                </c:pt>
              </c:strCache>
            </c:strRef>
          </c:tx>
          <c:spPr>
            <a:solidFill>
              <a:srgbClr val="7030A0"/>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summary'!$L$44:$L$56</c:f>
              <c:numCache>
                <c:formatCode>_-* #,##0_-;\-* #,##0_-;_-* "-"??_-;_-@_-</c:formatCode>
                <c:ptCount val="13"/>
                <c:pt idx="0">
                  <c:v>6.3014000000000001</c:v>
                </c:pt>
                <c:pt idx="1">
                  <c:v>21.49763075522668</c:v>
                </c:pt>
                <c:pt idx="2">
                  <c:v>17.2453</c:v>
                </c:pt>
                <c:pt idx="3">
                  <c:v>18.561</c:v>
                </c:pt>
                <c:pt idx="4">
                  <c:v>25.989612931524874</c:v>
                </c:pt>
                <c:pt idx="5">
                  <c:v>20.660499999999995</c:v>
                </c:pt>
                <c:pt idx="6">
                  <c:v>1.4006000000000001</c:v>
                </c:pt>
                <c:pt idx="7">
                  <c:v>58.927599999999998</c:v>
                </c:pt>
                <c:pt idx="8">
                  <c:v>46.113510498012893</c:v>
                </c:pt>
                <c:pt idx="9">
                  <c:v>34.695500000000003</c:v>
                </c:pt>
                <c:pt idx="10">
                  <c:v>52.943899999999999</c:v>
                </c:pt>
                <c:pt idx="11">
                  <c:v>76.163399999999996</c:v>
                </c:pt>
                <c:pt idx="12">
                  <c:v>4744.3033999999998</c:v>
                </c:pt>
              </c:numCache>
            </c:numRef>
          </c:val>
          <c:extLst>
            <c:ext xmlns:c16="http://schemas.microsoft.com/office/drawing/2014/chart" uri="{C3380CC4-5D6E-409C-BE32-E72D297353CC}">
              <c16:uniqueId val="{00000007-6A3C-4017-B6B6-5809B135E974}"/>
            </c:ext>
          </c:extLst>
        </c:ser>
        <c:ser>
          <c:idx val="8"/>
          <c:order val="8"/>
          <c:tx>
            <c:strRef>
              <c:f>'Task 3 - Material summary'!$M$43</c:f>
              <c:strCache>
                <c:ptCount val="1"/>
                <c:pt idx="0">
                  <c:v>Material transport </c:v>
                </c:pt>
              </c:strCache>
            </c:strRef>
          </c:tx>
          <c:spPr>
            <a:solidFill>
              <a:srgbClr val="FF61A1"/>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summary'!$M$44:$M$56</c:f>
              <c:numCache>
                <c:formatCode>_-* #,##0_-;\-* #,##0_-;_-* "-"??_-;_-@_-</c:formatCode>
                <c:ptCount val="13"/>
                <c:pt idx="0">
                  <c:v>23.1</c:v>
                </c:pt>
                <c:pt idx="1">
                  <c:v>291.25717952148528</c:v>
                </c:pt>
                <c:pt idx="2">
                  <c:v>78.5</c:v>
                </c:pt>
                <c:pt idx="3">
                  <c:v>67.099999999999994</c:v>
                </c:pt>
                <c:pt idx="4">
                  <c:v>104.4575019952115</c:v>
                </c:pt>
                <c:pt idx="5">
                  <c:v>70.5</c:v>
                </c:pt>
                <c:pt idx="6">
                  <c:v>19.5</c:v>
                </c:pt>
                <c:pt idx="7">
                  <c:v>431.3</c:v>
                </c:pt>
                <c:pt idx="8">
                  <c:v>174.35031013579282</c:v>
                </c:pt>
                <c:pt idx="9">
                  <c:v>142</c:v>
                </c:pt>
                <c:pt idx="10">
                  <c:v>68.3</c:v>
                </c:pt>
                <c:pt idx="11">
                  <c:v>98.2</c:v>
                </c:pt>
                <c:pt idx="12">
                  <c:v>1808.2</c:v>
                </c:pt>
              </c:numCache>
            </c:numRef>
          </c:val>
          <c:extLst>
            <c:ext xmlns:c16="http://schemas.microsoft.com/office/drawing/2014/chart" uri="{C3380CC4-5D6E-409C-BE32-E72D297353CC}">
              <c16:uniqueId val="{00000008-6A3C-4017-B6B6-5809B135E974}"/>
            </c:ext>
          </c:extLst>
        </c:ser>
        <c:ser>
          <c:idx val="9"/>
          <c:order val="9"/>
          <c:tx>
            <c:strRef>
              <c:f>'Task 3 - Material summary'!$N$43</c:f>
              <c:strCache>
                <c:ptCount val="1"/>
                <c:pt idx="0">
                  <c:v>Plant Use</c:v>
                </c:pt>
              </c:strCache>
            </c:strRef>
          </c:tx>
          <c:spPr>
            <a:solidFill>
              <a:srgbClr val="33CCCC"/>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summary'!$N$44:$N$56</c:f>
              <c:numCache>
                <c:formatCode>_-* #,##0_-;\-* #,##0_-;_-* "-"??_-;_-@_-</c:formatCode>
                <c:ptCount val="13"/>
                <c:pt idx="0">
                  <c:v>67.400000000000006</c:v>
                </c:pt>
                <c:pt idx="1">
                  <c:v>297.25455970695299</c:v>
                </c:pt>
                <c:pt idx="2">
                  <c:v>129.30000000000001</c:v>
                </c:pt>
                <c:pt idx="3">
                  <c:v>88.7</c:v>
                </c:pt>
                <c:pt idx="4">
                  <c:v>163.45842286205414</c:v>
                </c:pt>
                <c:pt idx="5">
                  <c:v>310</c:v>
                </c:pt>
                <c:pt idx="6">
                  <c:v>43.2</c:v>
                </c:pt>
                <c:pt idx="7">
                  <c:v>595.5</c:v>
                </c:pt>
                <c:pt idx="8">
                  <c:v>407.8831539788552</c:v>
                </c:pt>
                <c:pt idx="9">
                  <c:v>410.2</c:v>
                </c:pt>
                <c:pt idx="10">
                  <c:v>886.2</c:v>
                </c:pt>
                <c:pt idx="11">
                  <c:v>1215.3</c:v>
                </c:pt>
                <c:pt idx="12">
                  <c:v>29258.7</c:v>
                </c:pt>
              </c:numCache>
            </c:numRef>
          </c:val>
          <c:extLst>
            <c:ext xmlns:c16="http://schemas.microsoft.com/office/drawing/2014/chart" uri="{C3380CC4-5D6E-409C-BE32-E72D297353CC}">
              <c16:uniqueId val="{00000009-6A3C-4017-B6B6-5809B135E974}"/>
            </c:ext>
          </c:extLst>
        </c:ser>
        <c:ser>
          <c:idx val="10"/>
          <c:order val="10"/>
          <c:tx>
            <c:strRef>
              <c:f>'Task 3 - Material summary'!$O$43</c:f>
              <c:strCache>
                <c:ptCount val="1"/>
                <c:pt idx="0">
                  <c:v>Worker Transport</c:v>
                </c:pt>
              </c:strCache>
            </c:strRef>
          </c:tx>
          <c:spPr>
            <a:solidFill>
              <a:srgbClr val="59A089"/>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summary'!$O$44:$O$56</c:f>
              <c:numCache>
                <c:formatCode>_-* #,##0_-;\-* #,##0_-;_-* "-"??_-;_-@_-</c:formatCode>
                <c:ptCount val="13"/>
                <c:pt idx="0">
                  <c:v>31.7</c:v>
                </c:pt>
                <c:pt idx="1">
                  <c:v>91.249224561293033</c:v>
                </c:pt>
                <c:pt idx="2">
                  <c:v>30.299999999999997</c:v>
                </c:pt>
                <c:pt idx="3">
                  <c:v>25.3</c:v>
                </c:pt>
                <c:pt idx="4">
                  <c:v>61.222346368715087</c:v>
                </c:pt>
                <c:pt idx="5">
                  <c:v>77.7</c:v>
                </c:pt>
                <c:pt idx="6">
                  <c:v>14.2</c:v>
                </c:pt>
                <c:pt idx="7">
                  <c:v>235.79999999999998</c:v>
                </c:pt>
                <c:pt idx="8">
                  <c:v>137.64741473193203</c:v>
                </c:pt>
                <c:pt idx="9">
                  <c:v>94.4</c:v>
                </c:pt>
                <c:pt idx="10">
                  <c:v>124.8</c:v>
                </c:pt>
                <c:pt idx="11">
                  <c:v>152.30000000000001</c:v>
                </c:pt>
                <c:pt idx="12">
                  <c:v>2609.1</c:v>
                </c:pt>
              </c:numCache>
            </c:numRef>
          </c:val>
          <c:extLst>
            <c:ext xmlns:c16="http://schemas.microsoft.com/office/drawing/2014/chart" uri="{C3380CC4-5D6E-409C-BE32-E72D297353CC}">
              <c16:uniqueId val="{0000000A-6A3C-4017-B6B6-5809B135E974}"/>
            </c:ext>
          </c:extLst>
        </c:ser>
        <c:ser>
          <c:idx val="11"/>
          <c:order val="11"/>
          <c:tx>
            <c:strRef>
              <c:f>'Task 3 - Material summary'!$P$43</c:f>
              <c:strCache>
                <c:ptCount val="1"/>
                <c:pt idx="0">
                  <c:v>Operational energy</c:v>
                </c:pt>
              </c:strCache>
            </c:strRef>
          </c:tx>
          <c:spPr>
            <a:solidFill>
              <a:schemeClr val="accent6">
                <a:lumMod val="60000"/>
              </a:schemeClr>
            </a:solidFill>
            <a:ln>
              <a:noFill/>
            </a:ln>
            <a:effectLst/>
          </c:spPr>
          <c:invertIfNegative val="0"/>
          <c:cat>
            <c:strRef>
              <c:f>'Task 3 - Material summary'!$C$44:$C$56</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3 - Material summary'!$P$44:$P$56</c:f>
              <c:numCache>
                <c:formatCode>_-* #,##0_-;\-* #,##0_-;_-* "-"??_-;_-@_-</c:formatCode>
                <c:ptCount val="13"/>
                <c:pt idx="0">
                  <c:v>0</c:v>
                </c:pt>
                <c:pt idx="1">
                  <c:v>0</c:v>
                </c:pt>
                <c:pt idx="2">
                  <c:v>0</c:v>
                </c:pt>
                <c:pt idx="3">
                  <c:v>0</c:v>
                </c:pt>
                <c:pt idx="4">
                  <c:v>0</c:v>
                </c:pt>
                <c:pt idx="5">
                  <c:v>0</c:v>
                </c:pt>
                <c:pt idx="6">
                  <c:v>0</c:v>
                </c:pt>
                <c:pt idx="7">
                  <c:v>0</c:v>
                </c:pt>
                <c:pt idx="8">
                  <c:v>101.18</c:v>
                </c:pt>
                <c:pt idx="9">
                  <c:v>0</c:v>
                </c:pt>
                <c:pt idx="10">
                  <c:v>0</c:v>
                </c:pt>
                <c:pt idx="11">
                  <c:v>1663.3799999999999</c:v>
                </c:pt>
                <c:pt idx="12">
                  <c:v>63.91</c:v>
                </c:pt>
              </c:numCache>
            </c:numRef>
          </c:val>
          <c:extLst>
            <c:ext xmlns:c16="http://schemas.microsoft.com/office/drawing/2014/chart" uri="{C3380CC4-5D6E-409C-BE32-E72D297353CC}">
              <c16:uniqueId val="{00000000-95FD-42A1-9245-88DA11C8D25B}"/>
            </c:ext>
          </c:extLst>
        </c:ser>
        <c:dLbls>
          <c:showLegendKey val="0"/>
          <c:showVal val="0"/>
          <c:showCatName val="0"/>
          <c:showSerName val="0"/>
          <c:showPercent val="0"/>
          <c:showBubbleSize val="0"/>
        </c:dLbls>
        <c:gapWidth val="150"/>
        <c:overlap val="100"/>
        <c:axId val="761334207"/>
        <c:axId val="761344767"/>
      </c:barChart>
      <c:catAx>
        <c:axId val="7613342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a:solidFill>
                      <a:sysClr val="windowText" lastClr="000000"/>
                    </a:solidFill>
                    <a:latin typeface="Arial" panose="020B0604020202020204" pitchFamily="34" charset="0"/>
                    <a:cs typeface="Arial" panose="020B0604020202020204" pitchFamily="34" charset="0"/>
                  </a:rPr>
                  <a:t>Structure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61344767"/>
        <c:crosses val="autoZero"/>
        <c:auto val="1"/>
        <c:lblAlgn val="ctr"/>
        <c:lblOffset val="100"/>
        <c:noMultiLvlLbl val="0"/>
      </c:catAx>
      <c:valAx>
        <c:axId val="761344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layout>
            <c:manualLayout>
              <c:xMode val="edge"/>
              <c:yMode val="edge"/>
              <c:x val="4.2429063908777515E-3"/>
              <c:y val="0.289110988019288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61334207"/>
        <c:crosses val="autoZero"/>
        <c:crossBetween val="between"/>
      </c:valAx>
      <c:spPr>
        <a:noFill/>
        <a:ln>
          <a:noFill/>
        </a:ln>
        <a:effectLst/>
      </c:spPr>
    </c:plotArea>
    <c:legend>
      <c:legendPos val="b"/>
      <c:layout>
        <c:manualLayout>
          <c:xMode val="edge"/>
          <c:yMode val="edge"/>
          <c:x val="0.13427007663085924"/>
          <c:y val="0.93297534068222066"/>
          <c:w val="0.71961300018113106"/>
          <c:h val="4.417758534804414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'Task 4 - Maintenance summary'!$E$26</c:f>
              <c:strCache>
                <c:ptCount val="1"/>
                <c:pt idx="0">
                  <c:v>Aggregate</c:v>
                </c:pt>
              </c:strCache>
            </c:strRef>
          </c:tx>
          <c:spPr>
            <a:solidFill>
              <a:schemeClr val="accent2">
                <a:lumMod val="50000"/>
              </a:schemeClr>
            </a:solidFill>
            <a:ln>
              <a:noFill/>
            </a:ln>
            <a:effectLst/>
          </c:spPr>
          <c:invertIfNegative val="0"/>
          <c:cat>
            <c:strRef>
              <c:f>'Task 4 - Maintenance summary'!$C$27:$C$39</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4 - Maintenance summary'!$E$27:$E$39</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180.18530000000001</c:v>
                </c:pt>
                <c:pt idx="12">
                  <c:v>0</c:v>
                </c:pt>
              </c:numCache>
            </c:numRef>
          </c:val>
          <c:extLst>
            <c:ext xmlns:c16="http://schemas.microsoft.com/office/drawing/2014/chart" uri="{C3380CC4-5D6E-409C-BE32-E72D297353CC}">
              <c16:uniqueId val="{00000000-4947-4E05-B3B0-17F9BFC24532}"/>
            </c:ext>
          </c:extLst>
        </c:ser>
        <c:ser>
          <c:idx val="1"/>
          <c:order val="1"/>
          <c:tx>
            <c:strRef>
              <c:f>'Task 4 - Maintenance summary'!$F$26</c:f>
              <c:strCache>
                <c:ptCount val="1"/>
                <c:pt idx="0">
                  <c:v>Asphalt</c:v>
                </c:pt>
              </c:strCache>
            </c:strRef>
          </c:tx>
          <c:spPr>
            <a:solidFill>
              <a:srgbClr val="0070C0"/>
            </a:solidFill>
            <a:ln>
              <a:noFill/>
            </a:ln>
            <a:effectLst/>
          </c:spPr>
          <c:invertIfNegative val="0"/>
          <c:cat>
            <c:strRef>
              <c:f>'Task 4 - Maintenance summary'!$C$27:$C$39</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4 - Maintenance summary'!$F$27:$F$39</c:f>
              <c:numCache>
                <c:formatCode>_-* #,##0_-;\-* #,##0_-;_-* "-"??_-;_-@_-</c:formatCode>
                <c:ptCount val="13"/>
                <c:pt idx="0">
                  <c:v>0</c:v>
                </c:pt>
                <c:pt idx="1">
                  <c:v>0</c:v>
                </c:pt>
                <c:pt idx="2">
                  <c:v>0</c:v>
                </c:pt>
                <c:pt idx="3">
                  <c:v>0</c:v>
                </c:pt>
                <c:pt idx="4">
                  <c:v>0</c:v>
                </c:pt>
                <c:pt idx="5">
                  <c:v>0</c:v>
                </c:pt>
                <c:pt idx="6">
                  <c:v>0</c:v>
                </c:pt>
                <c:pt idx="7">
                  <c:v>0</c:v>
                </c:pt>
                <c:pt idx="8">
                  <c:v>0</c:v>
                </c:pt>
                <c:pt idx="9">
                  <c:v>0</c:v>
                </c:pt>
                <c:pt idx="10">
                  <c:v>746.75420000000008</c:v>
                </c:pt>
                <c:pt idx="11">
                  <c:v>1001.0226999999999</c:v>
                </c:pt>
                <c:pt idx="12">
                  <c:v>16488.1456</c:v>
                </c:pt>
              </c:numCache>
            </c:numRef>
          </c:val>
          <c:extLst>
            <c:ext xmlns:c16="http://schemas.microsoft.com/office/drawing/2014/chart" uri="{C3380CC4-5D6E-409C-BE32-E72D297353CC}">
              <c16:uniqueId val="{00000001-4947-4E05-B3B0-17F9BFC24532}"/>
            </c:ext>
          </c:extLst>
        </c:ser>
        <c:ser>
          <c:idx val="2"/>
          <c:order val="2"/>
          <c:tx>
            <c:strRef>
              <c:f>'Task 4 - Maintenance summary'!$G$26</c:f>
              <c:strCache>
                <c:ptCount val="1"/>
                <c:pt idx="0">
                  <c:v>Steel</c:v>
                </c:pt>
              </c:strCache>
            </c:strRef>
          </c:tx>
          <c:spPr>
            <a:solidFill>
              <a:schemeClr val="tx1">
                <a:lumMod val="50000"/>
                <a:lumOff val="50000"/>
              </a:schemeClr>
            </a:solidFill>
            <a:ln>
              <a:noFill/>
            </a:ln>
            <a:effectLst/>
          </c:spPr>
          <c:invertIfNegative val="0"/>
          <c:cat>
            <c:strRef>
              <c:f>'Task 4 - Maintenance summary'!$C$27:$C$39</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4 - Maintenance summary'!$G$27:$G$39</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98.117999999999995</c:v>
                </c:pt>
              </c:numCache>
            </c:numRef>
          </c:val>
          <c:extLst>
            <c:ext xmlns:c16="http://schemas.microsoft.com/office/drawing/2014/chart" uri="{C3380CC4-5D6E-409C-BE32-E72D297353CC}">
              <c16:uniqueId val="{00000002-4947-4E05-B3B0-17F9BFC24532}"/>
            </c:ext>
          </c:extLst>
        </c:ser>
        <c:ser>
          <c:idx val="3"/>
          <c:order val="3"/>
          <c:tx>
            <c:strRef>
              <c:f>'Task 4 - Maintenance summary'!$H$26</c:f>
              <c:strCache>
                <c:ptCount val="1"/>
                <c:pt idx="0">
                  <c:v>Cement and Concrete</c:v>
                </c:pt>
              </c:strCache>
            </c:strRef>
          </c:tx>
          <c:spPr>
            <a:solidFill>
              <a:srgbClr val="FFC000"/>
            </a:solidFill>
            <a:ln>
              <a:noFill/>
            </a:ln>
            <a:effectLst/>
          </c:spPr>
          <c:invertIfNegative val="0"/>
          <c:cat>
            <c:strRef>
              <c:f>'Task 4 - Maintenance summary'!$C$27:$C$39</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4 - Maintenance summary'!$H$27:$H$39</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947-4E05-B3B0-17F9BFC24532}"/>
            </c:ext>
          </c:extLst>
        </c:ser>
        <c:ser>
          <c:idx val="4"/>
          <c:order val="4"/>
          <c:tx>
            <c:strRef>
              <c:f>'Task 4 - Maintenance summary'!$I$26</c:f>
              <c:strCache>
                <c:ptCount val="1"/>
                <c:pt idx="0">
                  <c:v>Wood</c:v>
                </c:pt>
              </c:strCache>
            </c:strRef>
          </c:tx>
          <c:spPr>
            <a:solidFill>
              <a:srgbClr val="00B050"/>
            </a:solidFill>
            <a:ln>
              <a:noFill/>
            </a:ln>
            <a:effectLst/>
          </c:spPr>
          <c:invertIfNegative val="0"/>
          <c:cat>
            <c:strRef>
              <c:f>'Task 4 - Maintenance summary'!$C$27:$C$39</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4 - Maintenance summary'!$I$27:$I$39</c:f>
              <c:numCache>
                <c:formatCode>_-* #,##0_-;\-* #,##0_-;_-* "-"??_-;_-@_-</c:formatCode>
                <c:ptCount val="13"/>
                <c:pt idx="0">
                  <c:v>0.1147</c:v>
                </c:pt>
                <c:pt idx="1">
                  <c:v>1.5208496598650314</c:v>
                </c:pt>
                <c:pt idx="2">
                  <c:v>0.24799999999999997</c:v>
                </c:pt>
                <c:pt idx="3">
                  <c:v>0.1464</c:v>
                </c:pt>
                <c:pt idx="4">
                  <c:v>0.36600078734115044</c:v>
                </c:pt>
                <c:pt idx="5">
                  <c:v>0.53110000000000002</c:v>
                </c:pt>
                <c:pt idx="6">
                  <c:v>0.16739999999999999</c:v>
                </c:pt>
                <c:pt idx="7">
                  <c:v>0.95929999999999982</c:v>
                </c:pt>
                <c:pt idx="8">
                  <c:v>0.73189782741106968</c:v>
                </c:pt>
                <c:pt idx="9">
                  <c:v>0.3921</c:v>
                </c:pt>
                <c:pt idx="10">
                  <c:v>0</c:v>
                </c:pt>
                <c:pt idx="11">
                  <c:v>0</c:v>
                </c:pt>
                <c:pt idx="12">
                  <c:v>0</c:v>
                </c:pt>
              </c:numCache>
            </c:numRef>
          </c:val>
          <c:extLst>
            <c:ext xmlns:c16="http://schemas.microsoft.com/office/drawing/2014/chart" uri="{C3380CC4-5D6E-409C-BE32-E72D297353CC}">
              <c16:uniqueId val="{00000004-4947-4E05-B3B0-17F9BFC24532}"/>
            </c:ext>
          </c:extLst>
        </c:ser>
        <c:ser>
          <c:idx val="5"/>
          <c:order val="5"/>
          <c:tx>
            <c:strRef>
              <c:f>'Task 4 - Maintenance summary'!$J$26</c:f>
              <c:strCache>
                <c:ptCount val="1"/>
                <c:pt idx="0">
                  <c:v>Aluminium</c:v>
                </c:pt>
              </c:strCache>
            </c:strRef>
          </c:tx>
          <c:spPr>
            <a:solidFill>
              <a:srgbClr val="FFFF00"/>
            </a:solidFill>
            <a:ln>
              <a:noFill/>
            </a:ln>
            <a:effectLst/>
          </c:spPr>
          <c:invertIfNegative val="0"/>
          <c:cat>
            <c:strRef>
              <c:f>'Task 4 - Maintenance summary'!$C$27:$C$39</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4 - Maintenance summary'!$J$27:$J$39</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11.282999999999999</c:v>
                </c:pt>
              </c:numCache>
            </c:numRef>
          </c:val>
          <c:extLst>
            <c:ext xmlns:c16="http://schemas.microsoft.com/office/drawing/2014/chart" uri="{C3380CC4-5D6E-409C-BE32-E72D297353CC}">
              <c16:uniqueId val="{00000005-4947-4E05-B3B0-17F9BFC24532}"/>
            </c:ext>
          </c:extLst>
        </c:ser>
        <c:ser>
          <c:idx val="6"/>
          <c:order val="6"/>
          <c:tx>
            <c:strRef>
              <c:f>'Task 4 - Maintenance summary'!$K$26</c:f>
              <c:strCache>
                <c:ptCount val="1"/>
                <c:pt idx="0">
                  <c:v>Brick</c:v>
                </c:pt>
              </c:strCache>
            </c:strRef>
          </c:tx>
          <c:spPr>
            <a:solidFill>
              <a:srgbClr val="FF0000"/>
            </a:solidFill>
            <a:ln>
              <a:noFill/>
            </a:ln>
            <a:effectLst/>
          </c:spPr>
          <c:invertIfNegative val="0"/>
          <c:cat>
            <c:strRef>
              <c:f>'Task 4 - Maintenance summary'!$C$27:$C$39</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4 - Maintenance summary'!$K$27:$K$39</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4947-4E05-B3B0-17F9BFC24532}"/>
            </c:ext>
          </c:extLst>
        </c:ser>
        <c:ser>
          <c:idx val="7"/>
          <c:order val="7"/>
          <c:tx>
            <c:strRef>
              <c:f>'Task 4 - Maintenance summary'!$L$26</c:f>
              <c:strCache>
                <c:ptCount val="1"/>
                <c:pt idx="0">
                  <c:v>Plastic</c:v>
                </c:pt>
              </c:strCache>
            </c:strRef>
          </c:tx>
          <c:spPr>
            <a:solidFill>
              <a:srgbClr val="7030A0"/>
            </a:solidFill>
            <a:ln>
              <a:noFill/>
            </a:ln>
            <a:effectLst/>
          </c:spPr>
          <c:invertIfNegative val="0"/>
          <c:cat>
            <c:strRef>
              <c:f>'Task 4 - Maintenance summary'!$C$27:$C$39</c:f>
              <c:strCache>
                <c:ptCount val="13"/>
                <c:pt idx="0">
                  <c:v>Accommodation Overbridge</c:v>
                </c:pt>
                <c:pt idx="1">
                  <c:v>Accommodation Underbridges</c:v>
                </c:pt>
                <c:pt idx="2">
                  <c:v>Combined Accommodation Underbridges</c:v>
                </c:pt>
                <c:pt idx="3">
                  <c:v>Combined Underbridge</c:v>
                </c:pt>
                <c:pt idx="4">
                  <c:v>Junction Underbridges</c:v>
                </c:pt>
                <c:pt idx="5">
                  <c:v>Overbridges</c:v>
                </c:pt>
                <c:pt idx="6">
                  <c:v>Pedestrian Underpass</c:v>
                </c:pt>
                <c:pt idx="7">
                  <c:v>River Bridges </c:v>
                </c:pt>
                <c:pt idx="8">
                  <c:v>Underbridges </c:v>
                </c:pt>
                <c:pt idx="9">
                  <c:v>Culverts </c:v>
                </c:pt>
                <c:pt idx="10">
                  <c:v>Side roads</c:v>
                </c:pt>
                <c:pt idx="11">
                  <c:v>Junctions</c:v>
                </c:pt>
                <c:pt idx="12">
                  <c:v>Mainline</c:v>
                </c:pt>
              </c:strCache>
            </c:strRef>
          </c:cat>
          <c:val>
            <c:numRef>
              <c:f>'Task 4 - Maintenance summary'!$L$27:$L$39</c:f>
              <c:numCache>
                <c:formatCode>_-* #,##0_-;\-* #,##0_-;_-* "-"??_-;_-@_-</c:formatCode>
                <c:ptCount val="13"/>
                <c:pt idx="0">
                  <c:v>0</c:v>
                </c:pt>
                <c:pt idx="1">
                  <c:v>0</c:v>
                </c:pt>
                <c:pt idx="2">
                  <c:v>0</c:v>
                </c:pt>
                <c:pt idx="3">
                  <c:v>0</c:v>
                </c:pt>
                <c:pt idx="4">
                  <c:v>0</c:v>
                </c:pt>
                <c:pt idx="5">
                  <c:v>0</c:v>
                </c:pt>
                <c:pt idx="6">
                  <c:v>0</c:v>
                </c:pt>
                <c:pt idx="7">
                  <c:v>0</c:v>
                </c:pt>
                <c:pt idx="8">
                  <c:v>0</c:v>
                </c:pt>
                <c:pt idx="9">
                  <c:v>0</c:v>
                </c:pt>
                <c:pt idx="10">
                  <c:v>10.6889</c:v>
                </c:pt>
                <c:pt idx="11">
                  <c:v>15.381499999999999</c:v>
                </c:pt>
                <c:pt idx="12">
                  <c:v>353.02559999999994</c:v>
                </c:pt>
              </c:numCache>
            </c:numRef>
          </c:val>
          <c:extLst>
            <c:ext xmlns:c16="http://schemas.microsoft.com/office/drawing/2014/chart" uri="{C3380CC4-5D6E-409C-BE32-E72D297353CC}">
              <c16:uniqueId val="{00000007-4947-4E05-B3B0-17F9BFC24532}"/>
            </c:ext>
          </c:extLst>
        </c:ser>
        <c:dLbls>
          <c:showLegendKey val="0"/>
          <c:showVal val="0"/>
          <c:showCatName val="0"/>
          <c:showSerName val="0"/>
          <c:showPercent val="0"/>
          <c:showBubbleSize val="0"/>
        </c:dLbls>
        <c:gapWidth val="150"/>
        <c:overlap val="100"/>
        <c:axId val="774492063"/>
        <c:axId val="774492543"/>
      </c:barChart>
      <c:catAx>
        <c:axId val="7744920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Structure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4492543"/>
        <c:crosses val="autoZero"/>
        <c:auto val="1"/>
        <c:lblAlgn val="ctr"/>
        <c:lblOffset val="100"/>
        <c:noMultiLvlLbl val="0"/>
      </c:catAx>
      <c:valAx>
        <c:axId val="7744925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449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AOB!$B$6</c:f>
              <c:strCache>
                <c:ptCount val="1"/>
                <c:pt idx="0">
                  <c:v>S02C - Accommodation Overbridge</c:v>
                </c:pt>
              </c:strCache>
            </c:strRef>
          </c:cat>
          <c:val>
            <c:numRef>
              <c:f>AOB!$D$6</c:f>
              <c:numCache>
                <c:formatCode>0</c:formatCode>
                <c:ptCount val="1"/>
                <c:pt idx="0">
                  <c:v>593.13259999999991</c:v>
                </c:pt>
              </c:numCache>
            </c:numRef>
          </c:val>
          <c:extLst>
            <c:ext xmlns:c16="http://schemas.microsoft.com/office/drawing/2014/chart" uri="{C3380CC4-5D6E-409C-BE32-E72D297353CC}">
              <c16:uniqueId val="{00000000-AD31-4A81-AE9D-778A21326463}"/>
            </c:ext>
          </c:extLst>
        </c:ser>
        <c:dLbls>
          <c:showLegendKey val="0"/>
          <c:showVal val="0"/>
          <c:showCatName val="0"/>
          <c:showSerName val="0"/>
          <c:showPercent val="0"/>
          <c:showBubbleSize val="0"/>
        </c:dLbls>
        <c:gapWidth val="182"/>
        <c:axId val="1408237487"/>
        <c:axId val="684474671"/>
      </c:barChart>
      <c:catAx>
        <c:axId val="1408237487"/>
        <c:scaling>
          <c:orientation val="minMax"/>
        </c:scaling>
        <c:delete val="0"/>
        <c:axPos val="l"/>
        <c:title>
          <c:tx>
            <c:strRef>
              <c:f>AOB!$B$4</c:f>
              <c:strCache>
                <c:ptCount val="1"/>
                <c:pt idx="0">
                  <c:v>Structure name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474671"/>
        <c:crosses val="autoZero"/>
        <c:auto val="1"/>
        <c:lblAlgn val="ctr"/>
        <c:lblOffset val="100"/>
        <c:noMultiLvlLbl val="0"/>
      </c:catAx>
      <c:valAx>
        <c:axId val="6844746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08237487"/>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031100159422116"/>
          <c:y val="0.15509559404092174"/>
          <c:w val="0.63262264849756755"/>
          <c:h val="0.61741146364607968"/>
        </c:manualLayout>
      </c:layout>
      <c:barChart>
        <c:barDir val="bar"/>
        <c:grouping val="clustered"/>
        <c:varyColors val="0"/>
        <c:ser>
          <c:idx val="0"/>
          <c:order val="0"/>
          <c:tx>
            <c:strRef>
              <c:f>AOB!$B$6</c:f>
              <c:strCache>
                <c:ptCount val="1"/>
                <c:pt idx="0">
                  <c:v>S02C - Accommodation Overbridge</c:v>
                </c:pt>
              </c:strCache>
            </c:strRef>
          </c:tx>
          <c:spPr>
            <a:solidFill>
              <a:srgbClr val="59A089"/>
            </a:solidFill>
            <a:ln>
              <a:noFill/>
            </a:ln>
            <a:effectLst/>
          </c:spPr>
          <c:invertIfNegative val="0"/>
          <c:cat>
            <c:strRef>
              <c:f>AOB!$I$5:$N$5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AOB!$I$6:$N$6</c:f>
              <c:numCache>
                <c:formatCode>0.0</c:formatCode>
                <c:ptCount val="6"/>
                <c:pt idx="0">
                  <c:v>470.93259999999987</c:v>
                </c:pt>
                <c:pt idx="1">
                  <c:v>23.1</c:v>
                </c:pt>
                <c:pt idx="2">
                  <c:v>67.400000000000006</c:v>
                </c:pt>
                <c:pt idx="3">
                  <c:v>31.7</c:v>
                </c:pt>
                <c:pt idx="4">
                  <c:v>0.1147</c:v>
                </c:pt>
                <c:pt idx="5">
                  <c:v>0</c:v>
                </c:pt>
              </c:numCache>
            </c:numRef>
          </c:val>
          <c:extLst>
            <c:ext xmlns:c16="http://schemas.microsoft.com/office/drawing/2014/chart" uri="{C3380CC4-5D6E-409C-BE32-E72D297353CC}">
              <c16:uniqueId val="{00000000-4DB8-4751-923B-462CD763AB40}"/>
            </c:ext>
          </c:extLst>
        </c:ser>
        <c:dLbls>
          <c:showLegendKey val="0"/>
          <c:showVal val="0"/>
          <c:showCatName val="0"/>
          <c:showSerName val="0"/>
          <c:showPercent val="0"/>
          <c:showBubbleSize val="0"/>
        </c:dLbls>
        <c:gapWidth val="182"/>
        <c:axId val="862064799"/>
        <c:axId val="684593615"/>
      </c:barChart>
      <c:catAx>
        <c:axId val="862064799"/>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93615"/>
        <c:crosses val="autoZero"/>
        <c:auto val="1"/>
        <c:lblAlgn val="ctr"/>
        <c:lblOffset val="100"/>
        <c:noMultiLvlLbl val="0"/>
      </c:catAx>
      <c:valAx>
        <c:axId val="6845936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2064799"/>
        <c:crosses val="autoZero"/>
        <c:crossBetween val="between"/>
      </c:valAx>
      <c:spPr>
        <a:noFill/>
        <a:ln>
          <a:noFill/>
        </a:ln>
        <a:effectLst/>
      </c:spPr>
    </c:plotArea>
    <c:legend>
      <c:legendPos val="r"/>
      <c:layout>
        <c:manualLayout>
          <c:xMode val="edge"/>
          <c:yMode val="edge"/>
          <c:x val="0.38709196476528279"/>
          <c:y val="0.90397364076554254"/>
          <c:w val="0.51301795801610439"/>
          <c:h val="9.60263592344574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aseline="0">
                <a:solidFill>
                  <a:sysClr val="windowText" lastClr="000000"/>
                </a:solidFill>
                <a:latin typeface="Arial" panose="020B0604020202020204" pitchFamily="34" charset="0"/>
                <a:cs typeface="Arial" panose="020B0604020202020204" pitchFamily="34" charset="0"/>
              </a:rPr>
              <a:t>Embodied carbon material breakdown</a:t>
            </a:r>
            <a:endParaRPr lang="en-GB">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4-70BF-4FBD-B46B-8924F586B2B4}"/>
              </c:ext>
            </c:extLst>
          </c:dPt>
          <c:dPt>
            <c:idx val="1"/>
            <c:bubble3D val="0"/>
            <c:spPr>
              <a:solidFill>
                <a:srgbClr val="0070C0"/>
              </a:solidFill>
            </c:spPr>
            <c:extLst>
              <c:ext xmlns:c16="http://schemas.microsoft.com/office/drawing/2014/chart" uri="{C3380CC4-5D6E-409C-BE32-E72D297353CC}">
                <c16:uniqueId val="{00000005-70BF-4FBD-B46B-8924F586B2B4}"/>
              </c:ext>
            </c:extLst>
          </c:dPt>
          <c:dPt>
            <c:idx val="2"/>
            <c:bubble3D val="0"/>
            <c:spPr>
              <a:solidFill>
                <a:schemeClr val="tx1">
                  <a:lumMod val="50000"/>
                  <a:lumOff val="50000"/>
                </a:schemeClr>
              </a:solidFill>
            </c:spPr>
            <c:extLst>
              <c:ext xmlns:c16="http://schemas.microsoft.com/office/drawing/2014/chart" uri="{C3380CC4-5D6E-409C-BE32-E72D297353CC}">
                <c16:uniqueId val="{00000008-70BF-4FBD-B46B-8924F586B2B4}"/>
              </c:ext>
            </c:extLst>
          </c:dPt>
          <c:dPt>
            <c:idx val="3"/>
            <c:bubble3D val="0"/>
            <c:spPr>
              <a:solidFill>
                <a:srgbClr val="FFC000"/>
              </a:solidFill>
            </c:spPr>
            <c:extLst>
              <c:ext xmlns:c16="http://schemas.microsoft.com/office/drawing/2014/chart" uri="{C3380CC4-5D6E-409C-BE32-E72D297353CC}">
                <c16:uniqueId val="{00000009-70BF-4FBD-B46B-8924F586B2B4}"/>
              </c:ext>
            </c:extLst>
          </c:dPt>
          <c:dPt>
            <c:idx val="4"/>
            <c:bubble3D val="0"/>
            <c:spPr>
              <a:solidFill>
                <a:srgbClr val="00B050"/>
              </a:solidFill>
            </c:spPr>
            <c:extLst>
              <c:ext xmlns:c16="http://schemas.microsoft.com/office/drawing/2014/chart" uri="{C3380CC4-5D6E-409C-BE32-E72D297353CC}">
                <c16:uniqueId val="{00000006-70BF-4FBD-B46B-8924F586B2B4}"/>
              </c:ext>
            </c:extLst>
          </c:dPt>
          <c:dPt>
            <c:idx val="5"/>
            <c:bubble3D val="0"/>
            <c:spPr>
              <a:solidFill>
                <a:srgbClr val="FFFF00"/>
              </a:solidFill>
            </c:spPr>
            <c:extLst>
              <c:ext xmlns:c16="http://schemas.microsoft.com/office/drawing/2014/chart" uri="{C3380CC4-5D6E-409C-BE32-E72D297353CC}">
                <c16:uniqueId val="{00000007-70BF-4FBD-B46B-8924F586B2B4}"/>
              </c:ext>
            </c:extLst>
          </c:dPt>
          <c:dPt>
            <c:idx val="6"/>
            <c:bubble3D val="0"/>
            <c:spPr>
              <a:solidFill>
                <a:srgbClr val="FF0000"/>
              </a:solidFill>
              <a:ln w="19050">
                <a:solidFill>
                  <a:schemeClr val="lt1"/>
                </a:solidFill>
              </a:ln>
              <a:effectLst/>
            </c:spPr>
            <c:extLst>
              <c:ext xmlns:c16="http://schemas.microsoft.com/office/drawing/2014/chart" uri="{C3380CC4-5D6E-409C-BE32-E72D297353CC}">
                <c16:uniqueId val="{00000009-6BCC-43A7-8EB0-303BF763D9FE}"/>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0B-6BCC-43A7-8EB0-303BF763D9FE}"/>
              </c:ext>
            </c:extLst>
          </c:dPt>
          <c:cat>
            <c:strRef>
              <c:f>AOB!$B$43:$B$50</c:f>
              <c:strCache>
                <c:ptCount val="8"/>
                <c:pt idx="0">
                  <c:v>Aggregate</c:v>
                </c:pt>
                <c:pt idx="1">
                  <c:v>Asphalt</c:v>
                </c:pt>
                <c:pt idx="2">
                  <c:v>Steel</c:v>
                </c:pt>
                <c:pt idx="3">
                  <c:v>Cement and Concrete</c:v>
                </c:pt>
                <c:pt idx="4">
                  <c:v>Wood</c:v>
                </c:pt>
                <c:pt idx="5">
                  <c:v>Aluminium</c:v>
                </c:pt>
                <c:pt idx="6">
                  <c:v>Brick</c:v>
                </c:pt>
                <c:pt idx="7">
                  <c:v>Plastic</c:v>
                </c:pt>
              </c:strCache>
            </c:strRef>
          </c:cat>
          <c:val>
            <c:numRef>
              <c:f>AOB!$C$43:$C$50</c:f>
              <c:numCache>
                <c:formatCode>_-* #,##0_-;\-* #,##0_-;_-* "-"??_-;_-@_-</c:formatCode>
                <c:ptCount val="8"/>
                <c:pt idx="0">
                  <c:v>2.0343</c:v>
                </c:pt>
                <c:pt idx="1">
                  <c:v>0</c:v>
                </c:pt>
                <c:pt idx="2">
                  <c:v>108.57039999999999</c:v>
                </c:pt>
                <c:pt idx="3">
                  <c:v>352.71530000000001</c:v>
                </c:pt>
                <c:pt idx="4">
                  <c:v>1.3111999999999999</c:v>
                </c:pt>
                <c:pt idx="5">
                  <c:v>0</c:v>
                </c:pt>
                <c:pt idx="6">
                  <c:v>0</c:v>
                </c:pt>
                <c:pt idx="7">
                  <c:v>6.3014000000000001</c:v>
                </c:pt>
              </c:numCache>
            </c:numRef>
          </c:val>
          <c:extLst>
            <c:ext xmlns:c16="http://schemas.microsoft.com/office/drawing/2014/chart" uri="{C3380CC4-5D6E-409C-BE32-E72D297353CC}">
              <c16:uniqueId val="{0000000C-6BCC-43A7-8EB0-303BF763D9F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433559069875282"/>
          <c:y val="0.18092016562222324"/>
          <c:w val="0.31039138541304828"/>
          <c:h val="0.65435395918661843"/>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latin typeface="Arial" panose="020B0604020202020204" pitchFamily="34" charset="0"/>
                <a:cs typeface="Arial" panose="020B0604020202020204" pitchFamily="34" charset="0"/>
              </a:rPr>
              <a:t>Maintenance</a:t>
            </a:r>
            <a:r>
              <a:rPr lang="en-GB" baseline="0">
                <a:solidFill>
                  <a:sysClr val="windowText" lastClr="000000"/>
                </a:solidFill>
                <a:latin typeface="Arial" panose="020B0604020202020204" pitchFamily="34" charset="0"/>
                <a:cs typeface="Arial" panose="020B0604020202020204" pitchFamily="34" charset="0"/>
              </a:rPr>
              <a:t>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2F6A-4B7F-B4DB-2380039CAFF5}"/>
              </c:ext>
            </c:extLst>
          </c:dPt>
          <c:dPt>
            <c:idx val="1"/>
            <c:bubble3D val="0"/>
            <c:spPr>
              <a:solidFill>
                <a:srgbClr val="0070C0"/>
              </a:solidFill>
            </c:spPr>
            <c:extLst>
              <c:ext xmlns:c16="http://schemas.microsoft.com/office/drawing/2014/chart" uri="{C3380CC4-5D6E-409C-BE32-E72D297353CC}">
                <c16:uniqueId val="{00000001-2F6A-4B7F-B4DB-2380039CAFF5}"/>
              </c:ext>
            </c:extLst>
          </c:dPt>
          <c:dPt>
            <c:idx val="2"/>
            <c:bubble3D val="0"/>
            <c:spPr>
              <a:solidFill>
                <a:schemeClr val="tx1">
                  <a:lumMod val="50000"/>
                  <a:lumOff val="50000"/>
                </a:schemeClr>
              </a:solidFill>
            </c:spPr>
            <c:extLst>
              <c:ext xmlns:c16="http://schemas.microsoft.com/office/drawing/2014/chart" uri="{C3380CC4-5D6E-409C-BE32-E72D297353CC}">
                <c16:uniqueId val="{00000002-2F6A-4B7F-B4DB-2380039CAFF5}"/>
              </c:ext>
            </c:extLst>
          </c:dPt>
          <c:dPt>
            <c:idx val="3"/>
            <c:bubble3D val="0"/>
            <c:spPr>
              <a:solidFill>
                <a:srgbClr val="FFC000"/>
              </a:solidFill>
            </c:spPr>
            <c:extLst>
              <c:ext xmlns:c16="http://schemas.microsoft.com/office/drawing/2014/chart" uri="{C3380CC4-5D6E-409C-BE32-E72D297353CC}">
                <c16:uniqueId val="{00000003-2F6A-4B7F-B4DB-2380039CAFF5}"/>
              </c:ext>
            </c:extLst>
          </c:dPt>
          <c:dPt>
            <c:idx val="4"/>
            <c:bubble3D val="0"/>
            <c:spPr>
              <a:solidFill>
                <a:srgbClr val="00B050"/>
              </a:solidFill>
            </c:spPr>
            <c:extLst>
              <c:ext xmlns:c16="http://schemas.microsoft.com/office/drawing/2014/chart" uri="{C3380CC4-5D6E-409C-BE32-E72D297353CC}">
                <c16:uniqueId val="{00000004-2F6A-4B7F-B4DB-2380039CAFF5}"/>
              </c:ext>
            </c:extLst>
          </c:dPt>
          <c:dPt>
            <c:idx val="5"/>
            <c:bubble3D val="0"/>
            <c:spPr>
              <a:solidFill>
                <a:srgbClr val="FFFF00"/>
              </a:solidFill>
            </c:spPr>
            <c:extLst>
              <c:ext xmlns:c16="http://schemas.microsoft.com/office/drawing/2014/chart" uri="{C3380CC4-5D6E-409C-BE32-E72D297353CC}">
                <c16:uniqueId val="{00000005-2F6A-4B7F-B4DB-2380039CAFF5}"/>
              </c:ext>
            </c:extLst>
          </c:dPt>
          <c:dPt>
            <c:idx val="6"/>
            <c:bubble3D val="0"/>
            <c:spPr>
              <a:solidFill>
                <a:srgbClr val="FF0000"/>
              </a:solidFill>
            </c:spPr>
            <c:extLst>
              <c:ext xmlns:c16="http://schemas.microsoft.com/office/drawing/2014/chart" uri="{C3380CC4-5D6E-409C-BE32-E72D297353CC}">
                <c16:uniqueId val="{00000006-2F6A-4B7F-B4DB-2380039CAFF5}"/>
              </c:ext>
            </c:extLst>
          </c:dPt>
          <c:dPt>
            <c:idx val="7"/>
            <c:bubble3D val="0"/>
            <c:spPr>
              <a:solidFill>
                <a:srgbClr val="7030A0"/>
              </a:solidFill>
            </c:spPr>
            <c:extLst>
              <c:ext xmlns:c16="http://schemas.microsoft.com/office/drawing/2014/chart" uri="{C3380CC4-5D6E-409C-BE32-E72D297353CC}">
                <c16:uniqueId val="{00000007-2F6A-4B7F-B4DB-2380039CAFF5}"/>
              </c:ext>
            </c:extLst>
          </c:dPt>
          <c:cat>
            <c:strRef>
              <c:f>AOB!$B$43:$B$50</c:f>
              <c:strCache>
                <c:ptCount val="8"/>
                <c:pt idx="0">
                  <c:v>Aggregate</c:v>
                </c:pt>
                <c:pt idx="1">
                  <c:v>Asphalt</c:v>
                </c:pt>
                <c:pt idx="2">
                  <c:v>Steel</c:v>
                </c:pt>
                <c:pt idx="3">
                  <c:v>Cement and Concrete</c:v>
                </c:pt>
                <c:pt idx="4">
                  <c:v>Wood</c:v>
                </c:pt>
                <c:pt idx="5">
                  <c:v>Aluminium</c:v>
                </c:pt>
                <c:pt idx="6">
                  <c:v>Brick</c:v>
                </c:pt>
                <c:pt idx="7">
                  <c:v>Plastic</c:v>
                </c:pt>
              </c:strCache>
            </c:strRef>
          </c:cat>
          <c:val>
            <c:numRef>
              <c:f>AOB!$E$43:$E$50</c:f>
              <c:numCache>
                <c:formatCode>_-* #,##0_-;\-* #,##0_-;_-* "-"??_-;_-@_-</c:formatCode>
                <c:ptCount val="8"/>
                <c:pt idx="0">
                  <c:v>0</c:v>
                </c:pt>
                <c:pt idx="1">
                  <c:v>0</c:v>
                </c:pt>
                <c:pt idx="2">
                  <c:v>0</c:v>
                </c:pt>
                <c:pt idx="3">
                  <c:v>0</c:v>
                </c:pt>
                <c:pt idx="4" formatCode="_(* #,##0.00_);_(* \(#,##0.00\);_(* &quot;-&quot;??_);_(@_)">
                  <c:v>0.1147</c:v>
                </c:pt>
                <c:pt idx="5">
                  <c:v>0</c:v>
                </c:pt>
                <c:pt idx="6">
                  <c:v>0</c:v>
                </c:pt>
                <c:pt idx="7">
                  <c:v>0</c:v>
                </c:pt>
              </c:numCache>
            </c:numRef>
          </c:val>
          <c:extLst>
            <c:ext xmlns:c16="http://schemas.microsoft.com/office/drawing/2014/chart" uri="{C3380CC4-5D6E-409C-BE32-E72D297353CC}">
              <c16:uniqueId val="{00000000-D596-400B-9B94-18DE9C6F461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AUB!$B$6:$B$9</c:f>
              <c:strCache>
                <c:ptCount val="4"/>
                <c:pt idx="0">
                  <c:v>S03C - Accommodation Underbridge</c:v>
                </c:pt>
                <c:pt idx="1">
                  <c:v>S11A - Accommodation Underbridge</c:v>
                </c:pt>
                <c:pt idx="2">
                  <c:v>S25A Accommodation Underbridge</c:v>
                </c:pt>
                <c:pt idx="3">
                  <c:v>S28A Accommodation Underbridge</c:v>
                </c:pt>
              </c:strCache>
            </c:strRef>
          </c:cat>
          <c:val>
            <c:numRef>
              <c:f>AUB!$D$6:$D$9</c:f>
              <c:numCache>
                <c:formatCode>0.0000</c:formatCode>
                <c:ptCount val="4"/>
                <c:pt idx="0">
                  <c:v>428.37800000000004</c:v>
                </c:pt>
                <c:pt idx="1">
                  <c:v>312.33000000000004</c:v>
                </c:pt>
                <c:pt idx="2">
                  <c:v>89.196400000000011</c:v>
                </c:pt>
                <c:pt idx="3">
                  <c:v>166.70249999999999</c:v>
                </c:pt>
              </c:numCache>
            </c:numRef>
          </c:val>
          <c:extLst>
            <c:ext xmlns:c16="http://schemas.microsoft.com/office/drawing/2014/chart" uri="{C3380CC4-5D6E-409C-BE32-E72D297353CC}">
              <c16:uniqueId val="{00000000-993D-4D22-9BC0-A9FB86A0A99B}"/>
            </c:ext>
          </c:extLst>
        </c:ser>
        <c:dLbls>
          <c:showLegendKey val="0"/>
          <c:showVal val="0"/>
          <c:showCatName val="0"/>
          <c:showSerName val="0"/>
          <c:showPercent val="0"/>
          <c:showBubbleSize val="0"/>
        </c:dLbls>
        <c:gapWidth val="182"/>
        <c:axId val="888009199"/>
        <c:axId val="169741375"/>
      </c:barChart>
      <c:catAx>
        <c:axId val="888009199"/>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panose="020B0604020202020204" pitchFamily="34" charset="0"/>
                    <a:cs typeface="Arial" panose="020B0604020202020204" pitchFamily="34" charset="0"/>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9741375"/>
        <c:crosses val="autoZero"/>
        <c:auto val="1"/>
        <c:lblAlgn val="ctr"/>
        <c:lblOffset val="100"/>
        <c:noMultiLvlLbl val="0"/>
      </c:catAx>
      <c:valAx>
        <c:axId val="16974137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88009199"/>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0161603228600548"/>
          <c:y val="0.13672271080573301"/>
          <c:w val="0.67148534133071558"/>
          <c:h val="0.53024927833141566"/>
        </c:manualLayout>
      </c:layout>
      <c:barChart>
        <c:barDir val="bar"/>
        <c:grouping val="clustered"/>
        <c:varyColors val="0"/>
        <c:ser>
          <c:idx val="0"/>
          <c:order val="0"/>
          <c:tx>
            <c:strRef>
              <c:f>AUB!$B$6</c:f>
              <c:strCache>
                <c:ptCount val="1"/>
                <c:pt idx="0">
                  <c:v>S03C - Accommodation Underbridge</c:v>
                </c:pt>
              </c:strCache>
            </c:strRef>
          </c:tx>
          <c:spPr>
            <a:solidFill>
              <a:srgbClr val="59A089"/>
            </a:solidFill>
            <a:ln>
              <a:noFill/>
            </a:ln>
            <a:effectLst/>
          </c:spPr>
          <c:invertIfNegative val="0"/>
          <c:cat>
            <c:strRef>
              <c:f>AUB!$I$5:$N$5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AUB!$I$6:$N$6</c:f>
              <c:numCache>
                <c:formatCode>0.0</c:formatCode>
                <c:ptCount val="6"/>
                <c:pt idx="0">
                  <c:v>362.37799999999999</c:v>
                </c:pt>
                <c:pt idx="1">
                  <c:v>35.1</c:v>
                </c:pt>
                <c:pt idx="2">
                  <c:v>25.1</c:v>
                </c:pt>
                <c:pt idx="3">
                  <c:v>5.8</c:v>
                </c:pt>
                <c:pt idx="4">
                  <c:v>0.1176</c:v>
                </c:pt>
                <c:pt idx="5" formatCode="0.00">
                  <c:v>0</c:v>
                </c:pt>
              </c:numCache>
            </c:numRef>
          </c:val>
          <c:extLst>
            <c:ext xmlns:c16="http://schemas.microsoft.com/office/drawing/2014/chart" uri="{C3380CC4-5D6E-409C-BE32-E72D297353CC}">
              <c16:uniqueId val="{00000000-9FBA-401B-8E85-BF89BE65A7FF}"/>
            </c:ext>
          </c:extLst>
        </c:ser>
        <c:ser>
          <c:idx val="1"/>
          <c:order val="1"/>
          <c:tx>
            <c:strRef>
              <c:f>AUB!$B$7</c:f>
              <c:strCache>
                <c:ptCount val="1"/>
                <c:pt idx="0">
                  <c:v>S11A - Accommodation Underbridge</c:v>
                </c:pt>
              </c:strCache>
            </c:strRef>
          </c:tx>
          <c:spPr>
            <a:solidFill>
              <a:schemeClr val="accent6">
                <a:lumMod val="20000"/>
                <a:lumOff val="80000"/>
              </a:schemeClr>
            </a:solidFill>
            <a:ln>
              <a:noFill/>
            </a:ln>
            <a:effectLst/>
          </c:spPr>
          <c:invertIfNegative val="0"/>
          <c:cat>
            <c:strRef>
              <c:f>AUB!$I$5:$N$5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AUB!$I$7:$N$7</c:f>
              <c:numCache>
                <c:formatCode>0.0</c:formatCode>
                <c:ptCount val="6"/>
                <c:pt idx="0">
                  <c:v>257.33</c:v>
                </c:pt>
                <c:pt idx="1">
                  <c:v>22.1</c:v>
                </c:pt>
                <c:pt idx="2">
                  <c:v>24.6</c:v>
                </c:pt>
                <c:pt idx="3">
                  <c:v>8.3000000000000007</c:v>
                </c:pt>
                <c:pt idx="4">
                  <c:v>0.26150000000000001</c:v>
                </c:pt>
                <c:pt idx="5" formatCode="0.00">
                  <c:v>0</c:v>
                </c:pt>
              </c:numCache>
            </c:numRef>
          </c:val>
          <c:extLst>
            <c:ext xmlns:c16="http://schemas.microsoft.com/office/drawing/2014/chart" uri="{C3380CC4-5D6E-409C-BE32-E72D297353CC}">
              <c16:uniqueId val="{00000001-9FBA-401B-8E85-BF89BE65A7FF}"/>
            </c:ext>
          </c:extLst>
        </c:ser>
        <c:ser>
          <c:idx val="2"/>
          <c:order val="2"/>
          <c:tx>
            <c:strRef>
              <c:f>AUB!$B$8</c:f>
              <c:strCache>
                <c:ptCount val="1"/>
                <c:pt idx="0">
                  <c:v>S25A Accommodation Underbridge</c:v>
                </c:pt>
              </c:strCache>
            </c:strRef>
          </c:tx>
          <c:spPr>
            <a:solidFill>
              <a:schemeClr val="accent3"/>
            </a:solidFill>
            <a:ln>
              <a:noFill/>
            </a:ln>
            <a:effectLst/>
          </c:spPr>
          <c:invertIfNegative val="0"/>
          <c:cat>
            <c:strRef>
              <c:f>AUB!$I$5:$N$5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AUB!$I$8:$N$8</c:f>
              <c:numCache>
                <c:formatCode>0.0</c:formatCode>
                <c:ptCount val="6"/>
                <c:pt idx="0">
                  <c:v>60.09640000000001</c:v>
                </c:pt>
                <c:pt idx="1">
                  <c:v>10.8</c:v>
                </c:pt>
                <c:pt idx="2">
                  <c:v>13.8</c:v>
                </c:pt>
                <c:pt idx="3">
                  <c:v>4.5</c:v>
                </c:pt>
                <c:pt idx="4">
                  <c:v>1.83E-2</c:v>
                </c:pt>
                <c:pt idx="5" formatCode="0.00">
                  <c:v>0</c:v>
                </c:pt>
              </c:numCache>
            </c:numRef>
          </c:val>
          <c:extLst>
            <c:ext xmlns:c16="http://schemas.microsoft.com/office/drawing/2014/chart" uri="{C3380CC4-5D6E-409C-BE32-E72D297353CC}">
              <c16:uniqueId val="{00000002-9FBA-401B-8E85-BF89BE65A7FF}"/>
            </c:ext>
          </c:extLst>
        </c:ser>
        <c:ser>
          <c:idx val="3"/>
          <c:order val="3"/>
          <c:tx>
            <c:strRef>
              <c:f>AUB!$B$9</c:f>
              <c:strCache>
                <c:ptCount val="1"/>
                <c:pt idx="0">
                  <c:v>S28A Accommodation Underbridge</c:v>
                </c:pt>
              </c:strCache>
            </c:strRef>
          </c:tx>
          <c:spPr>
            <a:solidFill>
              <a:schemeClr val="accent4"/>
            </a:solidFill>
            <a:ln>
              <a:noFill/>
            </a:ln>
            <a:effectLst/>
          </c:spPr>
          <c:invertIfNegative val="0"/>
          <c:cat>
            <c:strRef>
              <c:f>AUB!$I$5:$N$5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AUB!$I$9:$N$9</c:f>
              <c:numCache>
                <c:formatCode>0.0</c:formatCode>
                <c:ptCount val="6"/>
                <c:pt idx="0">
                  <c:v>122.0025</c:v>
                </c:pt>
                <c:pt idx="1">
                  <c:v>16.3</c:v>
                </c:pt>
                <c:pt idx="2">
                  <c:v>21.2</c:v>
                </c:pt>
                <c:pt idx="3">
                  <c:v>7.2</c:v>
                </c:pt>
                <c:pt idx="4">
                  <c:v>4.6199999999999998E-2</c:v>
                </c:pt>
                <c:pt idx="5" formatCode="0.00">
                  <c:v>0</c:v>
                </c:pt>
              </c:numCache>
            </c:numRef>
          </c:val>
          <c:extLst>
            <c:ext xmlns:c16="http://schemas.microsoft.com/office/drawing/2014/chart" uri="{C3380CC4-5D6E-409C-BE32-E72D297353CC}">
              <c16:uniqueId val="{00000003-9FBA-401B-8E85-BF89BE65A7FF}"/>
            </c:ext>
          </c:extLst>
        </c:ser>
        <c:dLbls>
          <c:showLegendKey val="0"/>
          <c:showVal val="0"/>
          <c:showCatName val="0"/>
          <c:showSerName val="0"/>
          <c:showPercent val="0"/>
          <c:showBubbleSize val="0"/>
        </c:dLbls>
        <c:gapWidth val="182"/>
        <c:axId val="1375970703"/>
        <c:axId val="626488687"/>
      </c:barChart>
      <c:catAx>
        <c:axId val="1375970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6488687"/>
        <c:crosses val="autoZero"/>
        <c:auto val="1"/>
        <c:lblAlgn val="ctr"/>
        <c:lblOffset val="100"/>
        <c:noMultiLvlLbl val="0"/>
      </c:catAx>
      <c:valAx>
        <c:axId val="62648868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layout>
            <c:manualLayout>
              <c:xMode val="edge"/>
              <c:yMode val="edge"/>
              <c:x val="0.53951599693648489"/>
              <c:y val="0.7450913839334094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5970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a:ln>
                <a:noFill/>
              </a:ln>
            </c:spPr>
            <c:extLst>
              <c:ext xmlns:c16="http://schemas.microsoft.com/office/drawing/2014/chart" uri="{C3380CC4-5D6E-409C-BE32-E72D297353CC}">
                <c16:uniqueId val="{0000000C-EECC-4F83-B31A-303E1AFDE9B5}"/>
              </c:ext>
            </c:extLst>
          </c:dPt>
          <c:dPt>
            <c:idx val="1"/>
            <c:bubble3D val="0"/>
            <c:spPr>
              <a:solidFill>
                <a:srgbClr val="0070C0"/>
              </a:solidFill>
            </c:spPr>
            <c:extLst>
              <c:ext xmlns:c16="http://schemas.microsoft.com/office/drawing/2014/chart" uri="{C3380CC4-5D6E-409C-BE32-E72D297353CC}">
                <c16:uniqueId val="{0000000D-EECC-4F83-B31A-303E1AFDE9B5}"/>
              </c:ext>
            </c:extLst>
          </c:dPt>
          <c:dPt>
            <c:idx val="2"/>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5-9890-4CD8-8A84-A0D3D0F5D286}"/>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9890-4CD8-8A84-A0D3D0F5D2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9890-4CD8-8A84-A0D3D0F5D286}"/>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9890-4CD8-8A84-A0D3D0F5D286}"/>
              </c:ext>
            </c:extLst>
          </c:dPt>
          <c:dPt>
            <c:idx val="6"/>
            <c:bubble3D val="0"/>
            <c:spPr>
              <a:solidFill>
                <a:srgbClr val="FF0000"/>
              </a:solidFill>
              <a:ln w="19050">
                <a:solidFill>
                  <a:schemeClr val="lt1"/>
                </a:solidFill>
              </a:ln>
              <a:effectLst/>
            </c:spPr>
            <c:extLst>
              <c:ext xmlns:c16="http://schemas.microsoft.com/office/drawing/2014/chart" uri="{C3380CC4-5D6E-409C-BE32-E72D297353CC}">
                <c16:uniqueId val="{0000000D-9890-4CD8-8A84-A0D3D0F5D286}"/>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0F-9890-4CD8-8A84-A0D3D0F5D286}"/>
              </c:ext>
            </c:extLst>
          </c:dPt>
          <c:cat>
            <c:strRef>
              <c:f>AUB!$B$55:$B$62</c:f>
              <c:strCache>
                <c:ptCount val="8"/>
                <c:pt idx="0">
                  <c:v>Aggregate</c:v>
                </c:pt>
                <c:pt idx="1">
                  <c:v>Asphalt</c:v>
                </c:pt>
                <c:pt idx="2">
                  <c:v>Steel</c:v>
                </c:pt>
                <c:pt idx="3">
                  <c:v>Cement and Concrete</c:v>
                </c:pt>
                <c:pt idx="4">
                  <c:v>Wood</c:v>
                </c:pt>
                <c:pt idx="5">
                  <c:v>Aluminium</c:v>
                </c:pt>
                <c:pt idx="6">
                  <c:v>Brick</c:v>
                </c:pt>
                <c:pt idx="7">
                  <c:v>Plastic</c:v>
                </c:pt>
              </c:strCache>
            </c:strRef>
          </c:cat>
          <c:val>
            <c:numRef>
              <c:f>AUB!$C$55:$C$62</c:f>
              <c:numCache>
                <c:formatCode>_-* #,##0_-;\-* #,##0_-;_-* "-"??_-;_-@_-</c:formatCode>
                <c:ptCount val="8"/>
                <c:pt idx="0">
                  <c:v>43.796400000000006</c:v>
                </c:pt>
                <c:pt idx="1">
                  <c:v>0</c:v>
                </c:pt>
                <c:pt idx="2">
                  <c:v>110.51089999999999</c:v>
                </c:pt>
                <c:pt idx="3">
                  <c:v>636.13089999999988</c:v>
                </c:pt>
                <c:pt idx="4">
                  <c:v>5.0731999999999999</c:v>
                </c:pt>
                <c:pt idx="5">
                  <c:v>0</c:v>
                </c:pt>
                <c:pt idx="6">
                  <c:v>0</c:v>
                </c:pt>
                <c:pt idx="7">
                  <c:v>6.2954999999999997</c:v>
                </c:pt>
              </c:numCache>
            </c:numRef>
          </c:val>
          <c:extLst>
            <c:ext xmlns:c16="http://schemas.microsoft.com/office/drawing/2014/chart" uri="{C3380CC4-5D6E-409C-BE32-E72D297353CC}">
              <c16:uniqueId val="{00000010-9890-4CD8-8A84-A0D3D0F5D28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chemeClr val="tx1"/>
      </a:solidFill>
    </a:ln>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7-CB78-4A2B-BB59-282EEDBC411E}"/>
              </c:ext>
            </c:extLst>
          </c:dPt>
          <c:dPt>
            <c:idx val="1"/>
            <c:bubble3D val="0"/>
            <c:spPr>
              <a:solidFill>
                <a:srgbClr val="0070C0"/>
              </a:solidFill>
            </c:spPr>
            <c:extLst>
              <c:ext xmlns:c16="http://schemas.microsoft.com/office/drawing/2014/chart" uri="{C3380CC4-5D6E-409C-BE32-E72D297353CC}">
                <c16:uniqueId val="{00000006-CB78-4A2B-BB59-282EEDBC411E}"/>
              </c:ext>
            </c:extLst>
          </c:dPt>
          <c:dPt>
            <c:idx val="2"/>
            <c:bubble3D val="0"/>
            <c:spPr>
              <a:solidFill>
                <a:schemeClr val="tx1">
                  <a:lumMod val="50000"/>
                  <a:lumOff val="50000"/>
                </a:schemeClr>
              </a:solidFill>
            </c:spPr>
            <c:extLst>
              <c:ext xmlns:c16="http://schemas.microsoft.com/office/drawing/2014/chart" uri="{C3380CC4-5D6E-409C-BE32-E72D297353CC}">
                <c16:uniqueId val="{00000005-CB78-4A2B-BB59-282EEDBC411E}"/>
              </c:ext>
            </c:extLst>
          </c:dPt>
          <c:dPt>
            <c:idx val="3"/>
            <c:bubble3D val="0"/>
            <c:spPr>
              <a:solidFill>
                <a:srgbClr val="FFC000"/>
              </a:solidFill>
            </c:spPr>
            <c:extLst>
              <c:ext xmlns:c16="http://schemas.microsoft.com/office/drawing/2014/chart" uri="{C3380CC4-5D6E-409C-BE32-E72D297353CC}">
                <c16:uniqueId val="{00000004-CB78-4A2B-BB59-282EEDBC411E}"/>
              </c:ext>
            </c:extLst>
          </c:dPt>
          <c:dPt>
            <c:idx val="4"/>
            <c:bubble3D val="0"/>
            <c:spPr>
              <a:solidFill>
                <a:srgbClr val="00B050"/>
              </a:solidFill>
            </c:spPr>
            <c:extLst>
              <c:ext xmlns:c16="http://schemas.microsoft.com/office/drawing/2014/chart" uri="{C3380CC4-5D6E-409C-BE32-E72D297353CC}">
                <c16:uniqueId val="{00000003-CB78-4A2B-BB59-282EEDBC411E}"/>
              </c:ext>
            </c:extLst>
          </c:dPt>
          <c:dPt>
            <c:idx val="5"/>
            <c:bubble3D val="0"/>
            <c:spPr>
              <a:solidFill>
                <a:srgbClr val="FFFF00"/>
              </a:solidFill>
            </c:spPr>
            <c:extLst>
              <c:ext xmlns:c16="http://schemas.microsoft.com/office/drawing/2014/chart" uri="{C3380CC4-5D6E-409C-BE32-E72D297353CC}">
                <c16:uniqueId val="{00000002-CB78-4A2B-BB59-282EEDBC411E}"/>
              </c:ext>
            </c:extLst>
          </c:dPt>
          <c:dPt>
            <c:idx val="6"/>
            <c:bubble3D val="0"/>
            <c:spPr>
              <a:solidFill>
                <a:srgbClr val="FF0000"/>
              </a:solidFill>
            </c:spPr>
            <c:extLst>
              <c:ext xmlns:c16="http://schemas.microsoft.com/office/drawing/2014/chart" uri="{C3380CC4-5D6E-409C-BE32-E72D297353CC}">
                <c16:uniqueId val="{00000001-CB78-4A2B-BB59-282EEDBC411E}"/>
              </c:ext>
            </c:extLst>
          </c:dPt>
          <c:dPt>
            <c:idx val="7"/>
            <c:bubble3D val="0"/>
            <c:spPr>
              <a:solidFill>
                <a:srgbClr val="7030A0"/>
              </a:solidFill>
            </c:spPr>
            <c:extLst>
              <c:ext xmlns:c16="http://schemas.microsoft.com/office/drawing/2014/chart" uri="{C3380CC4-5D6E-409C-BE32-E72D297353CC}">
                <c16:uniqueId val="{00000000-CB78-4A2B-BB59-282EEDBC411E}"/>
              </c:ext>
            </c:extLst>
          </c:dPt>
          <c:cat>
            <c:strRef>
              <c:f>AUB!$B$55:$B$62</c:f>
              <c:strCache>
                <c:ptCount val="8"/>
                <c:pt idx="0">
                  <c:v>Aggregate</c:v>
                </c:pt>
                <c:pt idx="1">
                  <c:v>Asphalt</c:v>
                </c:pt>
                <c:pt idx="2">
                  <c:v>Steel</c:v>
                </c:pt>
                <c:pt idx="3">
                  <c:v>Cement and Concrete</c:v>
                </c:pt>
                <c:pt idx="4">
                  <c:v>Wood</c:v>
                </c:pt>
                <c:pt idx="5">
                  <c:v>Aluminium</c:v>
                </c:pt>
                <c:pt idx="6">
                  <c:v>Brick</c:v>
                </c:pt>
                <c:pt idx="7">
                  <c:v>Plastic</c:v>
                </c:pt>
              </c:strCache>
            </c:strRef>
          </c:cat>
          <c:val>
            <c:numRef>
              <c:f>AUB!$E$55:$E$62</c:f>
              <c:numCache>
                <c:formatCode>_-* #,##0_-;\-* #,##0_-;_-* "-"??_-;_-@_-</c:formatCode>
                <c:ptCount val="8"/>
                <c:pt idx="0">
                  <c:v>0</c:v>
                </c:pt>
                <c:pt idx="1">
                  <c:v>0</c:v>
                </c:pt>
                <c:pt idx="2">
                  <c:v>0</c:v>
                </c:pt>
                <c:pt idx="3">
                  <c:v>0</c:v>
                </c:pt>
                <c:pt idx="4" formatCode="_(* #,##0.00_);_(* \(#,##0.00\);_(* &quot;-&quot;??_);_(@_)">
                  <c:v>0.44359999999999999</c:v>
                </c:pt>
                <c:pt idx="5">
                  <c:v>0</c:v>
                </c:pt>
                <c:pt idx="6">
                  <c:v>0</c:v>
                </c:pt>
                <c:pt idx="7">
                  <c:v>0</c:v>
                </c:pt>
              </c:numCache>
            </c:numRef>
          </c:val>
          <c:extLst>
            <c:ext xmlns:c16="http://schemas.microsoft.com/office/drawing/2014/chart" uri="{C3380CC4-5D6E-409C-BE32-E72D297353CC}">
              <c16:uniqueId val="{00000000-DE48-4743-BB54-644B3E3B5B2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chemeClr val="tx1"/>
      </a:solidFill>
    </a:ln>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CAUB!$B$6:$B$8</c:f>
              <c:strCache>
                <c:ptCount val="3"/>
                <c:pt idx="0">
                  <c:v>S10A/S10B - Combined Accommodation Underbridge</c:v>
                </c:pt>
                <c:pt idx="1">
                  <c:v>S13A - Combined Accommodation Underbridge</c:v>
                </c:pt>
                <c:pt idx="2">
                  <c:v>S16A/S16B - Combined Accommodation Underbridge</c:v>
                </c:pt>
              </c:strCache>
            </c:strRef>
          </c:cat>
          <c:val>
            <c:numRef>
              <c:f>CAUB!$D$6:$D$8</c:f>
              <c:numCache>
                <c:formatCode>0</c:formatCode>
                <c:ptCount val="3"/>
                <c:pt idx="0">
                  <c:v>641.22220000000016</c:v>
                </c:pt>
                <c:pt idx="1">
                  <c:v>552.56999999999994</c:v>
                </c:pt>
                <c:pt idx="2">
                  <c:v>798.42349999999988</c:v>
                </c:pt>
              </c:numCache>
            </c:numRef>
          </c:val>
          <c:extLst>
            <c:ext xmlns:c16="http://schemas.microsoft.com/office/drawing/2014/chart" uri="{C3380CC4-5D6E-409C-BE32-E72D297353CC}">
              <c16:uniqueId val="{00000000-C1B4-4B5E-9A1B-795729DB8216}"/>
            </c:ext>
          </c:extLst>
        </c:ser>
        <c:dLbls>
          <c:showLegendKey val="0"/>
          <c:showVal val="0"/>
          <c:showCatName val="0"/>
          <c:showSerName val="0"/>
          <c:showPercent val="0"/>
          <c:showBubbleSize val="0"/>
        </c:dLbls>
        <c:gapWidth val="182"/>
        <c:axId val="862055055"/>
        <c:axId val="684592655"/>
      </c:barChart>
      <c:catAx>
        <c:axId val="862055055"/>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Structure</a:t>
                </a:r>
                <a:r>
                  <a:rPr lang="en-GB" baseline="0">
                    <a:solidFill>
                      <a:sysClr val="windowText" lastClr="000000"/>
                    </a:solidFill>
                  </a:rPr>
                  <a:t> name</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GB"/>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92655"/>
        <c:crosses val="autoZero"/>
        <c:auto val="1"/>
        <c:lblAlgn val="ctr"/>
        <c:lblOffset val="100"/>
        <c:noMultiLvlLbl val="0"/>
      </c:catAx>
      <c:valAx>
        <c:axId val="6845926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sz="1000" b="0" i="0" u="none" strike="noStrike" kern="1200" baseline="0">
                    <a:solidFill>
                      <a:sysClr val="windowText" lastClr="000000"/>
                    </a:solidFill>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2055055"/>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solidFill>
              </a:rPr>
              <a:t>Carbon Breakdown per Lifecycle Stage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28432507975821875"/>
          <c:y val="0.15684138064173236"/>
          <c:w val="0.68829672172818368"/>
          <c:h val="0.5331660752653361"/>
        </c:manualLayout>
      </c:layout>
      <c:barChart>
        <c:barDir val="bar"/>
        <c:grouping val="clustered"/>
        <c:varyColors val="0"/>
        <c:ser>
          <c:idx val="0"/>
          <c:order val="0"/>
          <c:tx>
            <c:strRef>
              <c:f>CAUB!$B$6</c:f>
              <c:strCache>
                <c:ptCount val="1"/>
                <c:pt idx="0">
                  <c:v>S10A/S10B - Combined Accommodation Underbridge</c:v>
                </c:pt>
              </c:strCache>
            </c:strRef>
          </c:tx>
          <c:spPr>
            <a:solidFill>
              <a:schemeClr val="accent6">
                <a:lumMod val="20000"/>
                <a:lumOff val="80000"/>
              </a:schemeClr>
            </a:solidFill>
            <a:ln>
              <a:noFill/>
            </a:ln>
            <a:effectLst/>
          </c:spPr>
          <c:invertIfNegative val="0"/>
          <c:cat>
            <c:strRef>
              <c:f>CAUB!$I$5:$N$5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CAUB!$I$6:$N$6</c:f>
              <c:numCache>
                <c:formatCode>0.0</c:formatCode>
                <c:ptCount val="6"/>
                <c:pt idx="0">
                  <c:v>570.12220000000013</c:v>
                </c:pt>
                <c:pt idx="1">
                  <c:v>27</c:v>
                </c:pt>
                <c:pt idx="2">
                  <c:v>34.4</c:v>
                </c:pt>
                <c:pt idx="3">
                  <c:v>9.6999999999999993</c:v>
                </c:pt>
                <c:pt idx="4">
                  <c:v>0.11609999999999999</c:v>
                </c:pt>
                <c:pt idx="5">
                  <c:v>0</c:v>
                </c:pt>
              </c:numCache>
            </c:numRef>
          </c:val>
          <c:extLst>
            <c:ext xmlns:c16="http://schemas.microsoft.com/office/drawing/2014/chart" uri="{C3380CC4-5D6E-409C-BE32-E72D297353CC}">
              <c16:uniqueId val="{00000000-FFFC-4705-8BC0-D3DD33B732AE}"/>
            </c:ext>
          </c:extLst>
        </c:ser>
        <c:ser>
          <c:idx val="1"/>
          <c:order val="1"/>
          <c:tx>
            <c:strRef>
              <c:f>CAUB!$B$7</c:f>
              <c:strCache>
                <c:ptCount val="1"/>
                <c:pt idx="0">
                  <c:v>S13A - Combined Accommodation Underbridge</c:v>
                </c:pt>
              </c:strCache>
            </c:strRef>
          </c:tx>
          <c:spPr>
            <a:solidFill>
              <a:srgbClr val="59A089"/>
            </a:solidFill>
            <a:ln>
              <a:noFill/>
            </a:ln>
            <a:effectLst/>
          </c:spPr>
          <c:invertIfNegative val="0"/>
          <c:cat>
            <c:strRef>
              <c:f>CAUB!$I$5:$N$5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CAUB!$I$7:$N$7</c:f>
              <c:numCache>
                <c:formatCode>0.0</c:formatCode>
                <c:ptCount val="6"/>
                <c:pt idx="0">
                  <c:v>448.66999999999996</c:v>
                </c:pt>
                <c:pt idx="1">
                  <c:v>26.2</c:v>
                </c:pt>
                <c:pt idx="2">
                  <c:v>68</c:v>
                </c:pt>
                <c:pt idx="3">
                  <c:v>9.6999999999999993</c:v>
                </c:pt>
                <c:pt idx="4">
                  <c:v>8.5199999999999998E-2</c:v>
                </c:pt>
                <c:pt idx="5">
                  <c:v>0</c:v>
                </c:pt>
              </c:numCache>
            </c:numRef>
          </c:val>
          <c:extLst>
            <c:ext xmlns:c16="http://schemas.microsoft.com/office/drawing/2014/chart" uri="{C3380CC4-5D6E-409C-BE32-E72D297353CC}">
              <c16:uniqueId val="{00000001-FFFC-4705-8BC0-D3DD33B732AE}"/>
            </c:ext>
          </c:extLst>
        </c:ser>
        <c:ser>
          <c:idx val="2"/>
          <c:order val="2"/>
          <c:tx>
            <c:strRef>
              <c:f>CAUB!$B$8</c:f>
              <c:strCache>
                <c:ptCount val="1"/>
                <c:pt idx="0">
                  <c:v>S16A/S16B - Combined Accommodation Underbridge</c:v>
                </c:pt>
              </c:strCache>
            </c:strRef>
          </c:tx>
          <c:spPr>
            <a:solidFill>
              <a:schemeClr val="accent3"/>
            </a:solidFill>
            <a:ln>
              <a:noFill/>
            </a:ln>
            <a:effectLst/>
          </c:spPr>
          <c:invertIfNegative val="0"/>
          <c:cat>
            <c:strRef>
              <c:f>CAUB!$I$5:$N$5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CAUB!$I$8:$N$8</c:f>
              <c:numCache>
                <c:formatCode>0.0</c:formatCode>
                <c:ptCount val="6"/>
                <c:pt idx="0">
                  <c:v>735.32349999999997</c:v>
                </c:pt>
                <c:pt idx="1">
                  <c:v>25.3</c:v>
                </c:pt>
                <c:pt idx="2">
                  <c:v>26.9</c:v>
                </c:pt>
                <c:pt idx="3">
                  <c:v>10.9</c:v>
                </c:pt>
                <c:pt idx="4" formatCode="0.00">
                  <c:v>4.6699999999999998E-2</c:v>
                </c:pt>
                <c:pt idx="5">
                  <c:v>0</c:v>
                </c:pt>
              </c:numCache>
            </c:numRef>
          </c:val>
          <c:extLst>
            <c:ext xmlns:c16="http://schemas.microsoft.com/office/drawing/2014/chart" uri="{C3380CC4-5D6E-409C-BE32-E72D297353CC}">
              <c16:uniqueId val="{00000002-FFFC-4705-8BC0-D3DD33B732AE}"/>
            </c:ext>
          </c:extLst>
        </c:ser>
        <c:dLbls>
          <c:showLegendKey val="0"/>
          <c:showVal val="0"/>
          <c:showCatName val="0"/>
          <c:showSerName val="0"/>
          <c:showPercent val="0"/>
          <c:showBubbleSize val="0"/>
        </c:dLbls>
        <c:gapWidth val="182"/>
        <c:axId val="226078799"/>
        <c:axId val="627045935"/>
      </c:barChart>
      <c:catAx>
        <c:axId val="2260787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27045935"/>
        <c:crosses val="autoZero"/>
        <c:auto val="1"/>
        <c:lblAlgn val="ctr"/>
        <c:lblOffset val="100"/>
        <c:noMultiLvlLbl val="0"/>
      </c:catAx>
      <c:valAx>
        <c:axId val="627045935"/>
        <c:scaling>
          <c:orientation val="minMax"/>
          <c:max val="9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26078799"/>
        <c:crosses val="autoZero"/>
        <c:crossBetween val="between"/>
      </c:valAx>
      <c:spPr>
        <a:noFill/>
        <a:ln>
          <a:noFill/>
        </a:ln>
        <a:effectLst/>
      </c:spPr>
    </c:plotArea>
    <c:legend>
      <c:legendPos val="b"/>
      <c:layout>
        <c:manualLayout>
          <c:xMode val="edge"/>
          <c:yMode val="edge"/>
          <c:x val="9.0747426719736384E-3"/>
          <c:y val="0.86801134239856015"/>
          <c:w val="0.98824739436338305"/>
          <c:h val="0.117291706306378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a:ln>
                <a:noFill/>
              </a:ln>
            </c:spPr>
            <c:extLst>
              <c:ext xmlns:c16="http://schemas.microsoft.com/office/drawing/2014/chart" uri="{C3380CC4-5D6E-409C-BE32-E72D297353CC}">
                <c16:uniqueId val="{00000004-5511-4079-AABB-6EF21373B5C3}"/>
              </c:ext>
            </c:extLst>
          </c:dPt>
          <c:dPt>
            <c:idx val="1"/>
            <c:bubble3D val="0"/>
            <c:spPr>
              <a:solidFill>
                <a:srgbClr val="0070C0"/>
              </a:solidFill>
              <a:ln>
                <a:noFill/>
              </a:ln>
            </c:spPr>
            <c:extLst>
              <c:ext xmlns:c16="http://schemas.microsoft.com/office/drawing/2014/chart" uri="{C3380CC4-5D6E-409C-BE32-E72D297353CC}">
                <c16:uniqueId val="{00000005-5511-4079-AABB-6EF21373B5C3}"/>
              </c:ext>
            </c:extLst>
          </c:dPt>
          <c:dPt>
            <c:idx val="2"/>
            <c:bubble3D val="0"/>
            <c:spPr>
              <a:solidFill>
                <a:schemeClr val="tx1">
                  <a:lumMod val="50000"/>
                  <a:lumOff val="50000"/>
                </a:schemeClr>
              </a:solidFill>
              <a:ln>
                <a:noFill/>
              </a:ln>
            </c:spPr>
            <c:extLst>
              <c:ext xmlns:c16="http://schemas.microsoft.com/office/drawing/2014/chart" uri="{C3380CC4-5D6E-409C-BE32-E72D297353CC}">
                <c16:uniqueId val="{00000006-5511-4079-AABB-6EF21373B5C3}"/>
              </c:ext>
            </c:extLst>
          </c:dPt>
          <c:dPt>
            <c:idx val="3"/>
            <c:bubble3D val="0"/>
            <c:spPr>
              <a:ln>
                <a:noFill/>
              </a:ln>
            </c:spPr>
            <c:extLst>
              <c:ext xmlns:c16="http://schemas.microsoft.com/office/drawing/2014/chart" uri="{C3380CC4-5D6E-409C-BE32-E72D297353CC}">
                <c16:uniqueId val="{00000007-5511-4079-AABB-6EF21373B5C3}"/>
              </c:ext>
            </c:extLst>
          </c:dPt>
          <c:dPt>
            <c:idx val="4"/>
            <c:bubble3D val="0"/>
            <c:spPr>
              <a:solidFill>
                <a:srgbClr val="00B050"/>
              </a:solidFill>
              <a:ln>
                <a:noFill/>
              </a:ln>
            </c:spPr>
            <c:extLst>
              <c:ext xmlns:c16="http://schemas.microsoft.com/office/drawing/2014/chart" uri="{C3380CC4-5D6E-409C-BE32-E72D297353CC}">
                <c16:uniqueId val="{00000008-5511-4079-AABB-6EF21373B5C3}"/>
              </c:ext>
            </c:extLst>
          </c:dPt>
          <c:dPt>
            <c:idx val="5"/>
            <c:bubble3D val="0"/>
            <c:spPr>
              <a:solidFill>
                <a:srgbClr val="FFFF00"/>
              </a:solidFill>
              <a:ln w="19050">
                <a:noFill/>
              </a:ln>
              <a:effectLst/>
            </c:spPr>
            <c:extLst>
              <c:ext xmlns:c16="http://schemas.microsoft.com/office/drawing/2014/chart" uri="{C3380CC4-5D6E-409C-BE32-E72D297353CC}">
                <c16:uniqueId val="{00000001-32DF-469C-A65B-F4705CE0BC7B}"/>
              </c:ext>
            </c:extLst>
          </c:dPt>
          <c:dPt>
            <c:idx val="6"/>
            <c:bubble3D val="0"/>
            <c:spPr>
              <a:solidFill>
                <a:srgbClr val="FF0000"/>
              </a:solidFill>
              <a:ln w="19050">
                <a:noFill/>
              </a:ln>
              <a:effectLst/>
            </c:spPr>
            <c:extLst>
              <c:ext xmlns:c16="http://schemas.microsoft.com/office/drawing/2014/chart" uri="{C3380CC4-5D6E-409C-BE32-E72D297353CC}">
                <c16:uniqueId val="{00000001-65E2-499B-BEDD-7F8FEEB4F3A7}"/>
              </c:ext>
            </c:extLst>
          </c:dPt>
          <c:dPt>
            <c:idx val="7"/>
            <c:bubble3D val="0"/>
            <c:spPr>
              <a:solidFill>
                <a:srgbClr val="7030A0"/>
              </a:solidFill>
              <a:ln>
                <a:noFill/>
              </a:ln>
            </c:spPr>
            <c:extLst>
              <c:ext xmlns:c16="http://schemas.microsoft.com/office/drawing/2014/chart" uri="{C3380CC4-5D6E-409C-BE32-E72D297353CC}">
                <c16:uniqueId val="{00000009-5511-4079-AABB-6EF21373B5C3}"/>
              </c:ext>
            </c:extLst>
          </c:dPt>
          <c:cat>
            <c:strRef>
              <c:f>CAUB!$B$43:$B$50</c:f>
              <c:strCache>
                <c:ptCount val="8"/>
                <c:pt idx="0">
                  <c:v>Aggregate</c:v>
                </c:pt>
                <c:pt idx="1">
                  <c:v>Asphalt</c:v>
                </c:pt>
                <c:pt idx="2">
                  <c:v>Steel</c:v>
                </c:pt>
                <c:pt idx="3">
                  <c:v>Cement and Concrete</c:v>
                </c:pt>
                <c:pt idx="4">
                  <c:v>Wood</c:v>
                </c:pt>
                <c:pt idx="5">
                  <c:v>Aluminium</c:v>
                </c:pt>
                <c:pt idx="6">
                  <c:v>Brick</c:v>
                </c:pt>
                <c:pt idx="7">
                  <c:v>Plastic</c:v>
                </c:pt>
              </c:strCache>
            </c:strRef>
          </c:cat>
          <c:val>
            <c:numRef>
              <c:f>CAUB!$C$43:$C$50</c:f>
              <c:numCache>
                <c:formatCode>_-* #,##0_-;\-* #,##0_-;_-* "-"??_-;_-@_-</c:formatCode>
                <c:ptCount val="8"/>
                <c:pt idx="0">
                  <c:v>32.816900000000004</c:v>
                </c:pt>
                <c:pt idx="1">
                  <c:v>0</c:v>
                </c:pt>
                <c:pt idx="2">
                  <c:v>110.62910000000001</c:v>
                </c:pt>
                <c:pt idx="3">
                  <c:v>1590.5868000000003</c:v>
                </c:pt>
                <c:pt idx="4">
                  <c:v>2.8376000000000001</c:v>
                </c:pt>
                <c:pt idx="5">
                  <c:v>0</c:v>
                </c:pt>
                <c:pt idx="6">
                  <c:v>0</c:v>
                </c:pt>
                <c:pt idx="7">
                  <c:v>17.2453</c:v>
                </c:pt>
              </c:numCache>
            </c:numRef>
          </c:val>
          <c:extLst>
            <c:ext xmlns:c16="http://schemas.microsoft.com/office/drawing/2014/chart" uri="{C3380CC4-5D6E-409C-BE32-E72D297353CC}">
              <c16:uniqueId val="{00000004-65E2-499B-BEDD-7F8FEEB4F3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a:ln>
                <a:solidFill>
                  <a:schemeClr val="accent2">
                    <a:lumMod val="50000"/>
                  </a:schemeClr>
                </a:solidFill>
              </a:ln>
            </c:spPr>
            <c:extLst>
              <c:ext xmlns:c16="http://schemas.microsoft.com/office/drawing/2014/chart" uri="{C3380CC4-5D6E-409C-BE32-E72D297353CC}">
                <c16:uniqueId val="{00000000-638F-45FE-8989-A9032078111D}"/>
              </c:ext>
            </c:extLst>
          </c:dPt>
          <c:dPt>
            <c:idx val="1"/>
            <c:bubble3D val="0"/>
            <c:spPr>
              <a:solidFill>
                <a:srgbClr val="0070C0"/>
              </a:solidFill>
              <a:ln>
                <a:solidFill>
                  <a:srgbClr val="0070C0"/>
                </a:solidFill>
              </a:ln>
            </c:spPr>
            <c:extLst>
              <c:ext xmlns:c16="http://schemas.microsoft.com/office/drawing/2014/chart" uri="{C3380CC4-5D6E-409C-BE32-E72D297353CC}">
                <c16:uniqueId val="{00000001-638F-45FE-8989-A9032078111D}"/>
              </c:ext>
            </c:extLst>
          </c:dPt>
          <c:dPt>
            <c:idx val="2"/>
            <c:bubble3D val="0"/>
            <c:spPr>
              <a:solidFill>
                <a:schemeClr val="tx1">
                  <a:lumMod val="50000"/>
                  <a:lumOff val="50000"/>
                </a:schemeClr>
              </a:solidFill>
              <a:ln>
                <a:solidFill>
                  <a:schemeClr val="bg2">
                    <a:lumMod val="90000"/>
                  </a:schemeClr>
                </a:solidFill>
              </a:ln>
            </c:spPr>
            <c:extLst>
              <c:ext xmlns:c16="http://schemas.microsoft.com/office/drawing/2014/chart" uri="{C3380CC4-5D6E-409C-BE32-E72D297353CC}">
                <c16:uniqueId val="{00000002-638F-45FE-8989-A9032078111D}"/>
              </c:ext>
            </c:extLst>
          </c:dPt>
          <c:dPt>
            <c:idx val="3"/>
            <c:bubble3D val="0"/>
            <c:spPr>
              <a:solidFill>
                <a:srgbClr val="FFC000"/>
              </a:solidFill>
              <a:ln>
                <a:solidFill>
                  <a:srgbClr val="FFC000"/>
                </a:solidFill>
              </a:ln>
            </c:spPr>
            <c:extLst>
              <c:ext xmlns:c16="http://schemas.microsoft.com/office/drawing/2014/chart" uri="{C3380CC4-5D6E-409C-BE32-E72D297353CC}">
                <c16:uniqueId val="{00000003-638F-45FE-8989-A9032078111D}"/>
              </c:ext>
            </c:extLst>
          </c:dPt>
          <c:dPt>
            <c:idx val="4"/>
            <c:bubble3D val="0"/>
            <c:spPr>
              <a:solidFill>
                <a:srgbClr val="00B050"/>
              </a:solidFill>
              <a:ln>
                <a:solidFill>
                  <a:srgbClr val="00B050"/>
                </a:solidFill>
              </a:ln>
            </c:spPr>
            <c:extLst>
              <c:ext xmlns:c16="http://schemas.microsoft.com/office/drawing/2014/chart" uri="{C3380CC4-5D6E-409C-BE32-E72D297353CC}">
                <c16:uniqueId val="{00000004-638F-45FE-8989-A9032078111D}"/>
              </c:ext>
            </c:extLst>
          </c:dPt>
          <c:dPt>
            <c:idx val="5"/>
            <c:bubble3D val="0"/>
            <c:spPr>
              <a:solidFill>
                <a:srgbClr val="FFFF00"/>
              </a:solidFill>
              <a:ln>
                <a:noFill/>
              </a:ln>
            </c:spPr>
            <c:extLst>
              <c:ext xmlns:c16="http://schemas.microsoft.com/office/drawing/2014/chart" uri="{C3380CC4-5D6E-409C-BE32-E72D297353CC}">
                <c16:uniqueId val="{00000005-638F-45FE-8989-A9032078111D}"/>
              </c:ext>
            </c:extLst>
          </c:dPt>
          <c:dPt>
            <c:idx val="6"/>
            <c:bubble3D val="0"/>
            <c:spPr>
              <a:solidFill>
                <a:srgbClr val="FF0000"/>
              </a:solidFill>
              <a:ln>
                <a:noFill/>
              </a:ln>
            </c:spPr>
            <c:extLst>
              <c:ext xmlns:c16="http://schemas.microsoft.com/office/drawing/2014/chart" uri="{C3380CC4-5D6E-409C-BE32-E72D297353CC}">
                <c16:uniqueId val="{00000006-638F-45FE-8989-A9032078111D}"/>
              </c:ext>
            </c:extLst>
          </c:dPt>
          <c:dPt>
            <c:idx val="7"/>
            <c:bubble3D val="0"/>
            <c:spPr>
              <a:solidFill>
                <a:srgbClr val="7030A0"/>
              </a:solidFill>
              <a:ln>
                <a:noFill/>
              </a:ln>
            </c:spPr>
            <c:extLst>
              <c:ext xmlns:c16="http://schemas.microsoft.com/office/drawing/2014/chart" uri="{C3380CC4-5D6E-409C-BE32-E72D297353CC}">
                <c16:uniqueId val="{00000007-638F-45FE-8989-A9032078111D}"/>
              </c:ext>
            </c:extLst>
          </c:dPt>
          <c:cat>
            <c:strRef>
              <c:f>CAUB!$B$43:$B$50</c:f>
              <c:strCache>
                <c:ptCount val="8"/>
                <c:pt idx="0">
                  <c:v>Aggregate</c:v>
                </c:pt>
                <c:pt idx="1">
                  <c:v>Asphalt</c:v>
                </c:pt>
                <c:pt idx="2">
                  <c:v>Steel</c:v>
                </c:pt>
                <c:pt idx="3">
                  <c:v>Cement and Concrete</c:v>
                </c:pt>
                <c:pt idx="4">
                  <c:v>Wood</c:v>
                </c:pt>
                <c:pt idx="5">
                  <c:v>Aluminium</c:v>
                </c:pt>
                <c:pt idx="6">
                  <c:v>Brick</c:v>
                </c:pt>
                <c:pt idx="7">
                  <c:v>Plastic</c:v>
                </c:pt>
              </c:strCache>
            </c:strRef>
          </c:cat>
          <c:val>
            <c:numRef>
              <c:f>CAUB!$E$43:$E$50</c:f>
              <c:numCache>
                <c:formatCode>_-* #,##0_-;\-* #,##0_-;_-* "-"??_-;_-@_-</c:formatCode>
                <c:ptCount val="8"/>
                <c:pt idx="0">
                  <c:v>0</c:v>
                </c:pt>
                <c:pt idx="1">
                  <c:v>0</c:v>
                </c:pt>
                <c:pt idx="2">
                  <c:v>0</c:v>
                </c:pt>
                <c:pt idx="3">
                  <c:v>0</c:v>
                </c:pt>
                <c:pt idx="4" formatCode="_(* #,##0.00_);_(* \(#,##0.00\);_(* &quot;-&quot;??_);_(@_)">
                  <c:v>0.24799999999999997</c:v>
                </c:pt>
                <c:pt idx="5">
                  <c:v>0</c:v>
                </c:pt>
                <c:pt idx="6">
                  <c:v>0</c:v>
                </c:pt>
                <c:pt idx="7">
                  <c:v>0</c:v>
                </c:pt>
              </c:numCache>
            </c:numRef>
          </c:val>
          <c:extLst>
            <c:ext xmlns:c16="http://schemas.microsoft.com/office/drawing/2014/chart" uri="{C3380CC4-5D6E-409C-BE32-E72D297353CC}">
              <c16:uniqueId val="{00000000-5748-482E-8C45-06D00BBD6A3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CUB!$B$6:$B$7</c:f>
              <c:strCache>
                <c:ptCount val="2"/>
                <c:pt idx="0">
                  <c:v>S07A/S08 – Combined Toonlane Road Underbridge</c:v>
                </c:pt>
                <c:pt idx="1">
                  <c:v>S23 Ballyveerane Underbridge</c:v>
                </c:pt>
              </c:strCache>
            </c:strRef>
          </c:cat>
          <c:val>
            <c:numRef>
              <c:f>CUB!$D$6:$D$7</c:f>
              <c:numCache>
                <c:formatCode>0</c:formatCode>
                <c:ptCount val="2"/>
                <c:pt idx="0">
                  <c:v>879.79230000000018</c:v>
                </c:pt>
                <c:pt idx="1">
                  <c:v>1461.1740000000002</c:v>
                </c:pt>
              </c:numCache>
            </c:numRef>
          </c:val>
          <c:extLst>
            <c:ext xmlns:c16="http://schemas.microsoft.com/office/drawing/2014/chart" uri="{C3380CC4-5D6E-409C-BE32-E72D297353CC}">
              <c16:uniqueId val="{00000000-1E52-4101-B8DB-ABB529FF50EA}"/>
            </c:ext>
          </c:extLst>
        </c:ser>
        <c:dLbls>
          <c:showLegendKey val="0"/>
          <c:showVal val="0"/>
          <c:showCatName val="0"/>
          <c:showSerName val="0"/>
          <c:showPercent val="0"/>
          <c:showBubbleSize val="0"/>
        </c:dLbls>
        <c:gapWidth val="182"/>
        <c:axId val="1408237487"/>
        <c:axId val="684474671"/>
      </c:barChart>
      <c:catAx>
        <c:axId val="1408237487"/>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rPr>
                  <a:t>Structure</a:t>
                </a:r>
                <a:r>
                  <a:rPr lang="en-GB" baseline="0">
                    <a:solidFill>
                      <a:sysClr val="windowText" lastClr="000000"/>
                    </a:solidFill>
                  </a:rPr>
                  <a:t> name</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GB"/>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474671"/>
        <c:crosses val="autoZero"/>
        <c:auto val="1"/>
        <c:lblAlgn val="ctr"/>
        <c:lblOffset val="100"/>
        <c:noMultiLvlLbl val="0"/>
      </c:catAx>
      <c:valAx>
        <c:axId val="6844746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08237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356338405741005"/>
          <c:y val="0.14708090267707968"/>
          <c:w val="0.68272164807474178"/>
          <c:h val="0.63731614486155208"/>
        </c:manualLayout>
      </c:layout>
      <c:barChart>
        <c:barDir val="bar"/>
        <c:grouping val="clustered"/>
        <c:varyColors val="0"/>
        <c:ser>
          <c:idx val="0"/>
          <c:order val="0"/>
          <c:tx>
            <c:strRef>
              <c:f>CUB!$B$6</c:f>
              <c:strCache>
                <c:ptCount val="1"/>
                <c:pt idx="0">
                  <c:v>S07A/S08 – Combined Toonlane Road Underbridge</c:v>
                </c:pt>
              </c:strCache>
            </c:strRef>
          </c:tx>
          <c:spPr>
            <a:solidFill>
              <a:srgbClr val="59A089"/>
            </a:solidFill>
            <a:ln>
              <a:noFill/>
            </a:ln>
            <a:effectLst/>
          </c:spPr>
          <c:invertIfNegative val="0"/>
          <c:cat>
            <c:strRef>
              <c:f>CUB!$I$5:$N$5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CUB!$I$6:$N$6</c:f>
              <c:numCache>
                <c:formatCode>0.0</c:formatCode>
                <c:ptCount val="6"/>
                <c:pt idx="0">
                  <c:v>797.99230000000011</c:v>
                </c:pt>
                <c:pt idx="1">
                  <c:v>26.1</c:v>
                </c:pt>
                <c:pt idx="2">
                  <c:v>44.7</c:v>
                </c:pt>
                <c:pt idx="3">
                  <c:v>11</c:v>
                </c:pt>
                <c:pt idx="4">
                  <c:v>8.2500000000000004E-2</c:v>
                </c:pt>
                <c:pt idx="5">
                  <c:v>0</c:v>
                </c:pt>
              </c:numCache>
            </c:numRef>
          </c:val>
          <c:extLst>
            <c:ext xmlns:c16="http://schemas.microsoft.com/office/drawing/2014/chart" uri="{C3380CC4-5D6E-409C-BE32-E72D297353CC}">
              <c16:uniqueId val="{00000000-76BD-4A8B-8E28-05944E723E43}"/>
            </c:ext>
          </c:extLst>
        </c:ser>
        <c:ser>
          <c:idx val="1"/>
          <c:order val="1"/>
          <c:tx>
            <c:strRef>
              <c:f>CUB!$B$7</c:f>
              <c:strCache>
                <c:ptCount val="1"/>
                <c:pt idx="0">
                  <c:v>S23 Ballyveerane Underbridge</c:v>
                </c:pt>
              </c:strCache>
            </c:strRef>
          </c:tx>
          <c:spPr>
            <a:solidFill>
              <a:schemeClr val="accent2"/>
            </a:solidFill>
            <a:ln>
              <a:noFill/>
            </a:ln>
            <a:effectLst/>
          </c:spPr>
          <c:invertIfNegative val="0"/>
          <c:cat>
            <c:strRef>
              <c:f>CUB!$I$5:$N$5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CUB!$I$7:$N$7</c:f>
              <c:numCache>
                <c:formatCode>0.0</c:formatCode>
                <c:ptCount val="6"/>
                <c:pt idx="0">
                  <c:v>1361.8740000000003</c:v>
                </c:pt>
                <c:pt idx="1">
                  <c:v>41</c:v>
                </c:pt>
                <c:pt idx="2">
                  <c:v>44</c:v>
                </c:pt>
                <c:pt idx="3">
                  <c:v>14.3</c:v>
                </c:pt>
                <c:pt idx="4">
                  <c:v>6.3899999999999998E-2</c:v>
                </c:pt>
                <c:pt idx="5">
                  <c:v>0</c:v>
                </c:pt>
              </c:numCache>
            </c:numRef>
          </c:val>
          <c:extLst>
            <c:ext xmlns:c16="http://schemas.microsoft.com/office/drawing/2014/chart" uri="{C3380CC4-5D6E-409C-BE32-E72D297353CC}">
              <c16:uniqueId val="{00000000-22D1-4AA5-B785-7D25B1100780}"/>
            </c:ext>
          </c:extLst>
        </c:ser>
        <c:dLbls>
          <c:showLegendKey val="0"/>
          <c:showVal val="0"/>
          <c:showCatName val="0"/>
          <c:showSerName val="0"/>
          <c:showPercent val="0"/>
          <c:showBubbleSize val="0"/>
        </c:dLbls>
        <c:gapWidth val="182"/>
        <c:axId val="862064799"/>
        <c:axId val="684593615"/>
      </c:barChart>
      <c:catAx>
        <c:axId val="8620647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layout>
            <c:manualLayout>
              <c:xMode val="edge"/>
              <c:yMode val="edge"/>
              <c:x val="2.5075097778895883E-2"/>
              <c:y val="0.332689816073062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93615"/>
        <c:crosses val="autoZero"/>
        <c:auto val="1"/>
        <c:lblAlgn val="ctr"/>
        <c:lblOffset val="100"/>
        <c:noMultiLvlLbl val="0"/>
      </c:catAx>
      <c:valAx>
        <c:axId val="6845936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2064799"/>
        <c:crosses val="autoZero"/>
        <c:crossBetween val="between"/>
      </c:valAx>
      <c:spPr>
        <a:noFill/>
        <a:ln>
          <a:noFill/>
        </a:ln>
        <a:effectLst/>
      </c:spPr>
    </c:plotArea>
    <c:legend>
      <c:legendPos val="r"/>
      <c:layout>
        <c:manualLayout>
          <c:xMode val="edge"/>
          <c:yMode val="edge"/>
          <c:x val="0"/>
          <c:y val="0.90661050813441091"/>
          <c:w val="0.99158592743404805"/>
          <c:h val="8.35243211058384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a:ln>
                <a:noFill/>
              </a:ln>
            </c:spPr>
            <c:extLst>
              <c:ext xmlns:c16="http://schemas.microsoft.com/office/drawing/2014/chart" uri="{C3380CC4-5D6E-409C-BE32-E72D297353CC}">
                <c16:uniqueId val="{00000004-365F-44B1-8013-E757D69C325F}"/>
              </c:ext>
            </c:extLst>
          </c:dPt>
          <c:dPt>
            <c:idx val="1"/>
            <c:bubble3D val="0"/>
            <c:spPr>
              <a:solidFill>
                <a:srgbClr val="0070C0"/>
              </a:solidFill>
            </c:spPr>
            <c:extLst>
              <c:ext xmlns:c16="http://schemas.microsoft.com/office/drawing/2014/chart" uri="{C3380CC4-5D6E-409C-BE32-E72D297353CC}">
                <c16:uniqueId val="{00000005-365F-44B1-8013-E757D69C325F}"/>
              </c:ext>
            </c:extLst>
          </c:dPt>
          <c:dPt>
            <c:idx val="2"/>
            <c:bubble3D val="0"/>
            <c:spPr>
              <a:solidFill>
                <a:schemeClr val="tx1">
                  <a:lumMod val="50000"/>
                  <a:lumOff val="50000"/>
                </a:schemeClr>
              </a:solidFill>
            </c:spPr>
            <c:extLst>
              <c:ext xmlns:c16="http://schemas.microsoft.com/office/drawing/2014/chart" uri="{C3380CC4-5D6E-409C-BE32-E72D297353CC}">
                <c16:uniqueId val="{00000006-365F-44B1-8013-E757D69C325F}"/>
              </c:ext>
            </c:extLst>
          </c:dPt>
          <c:dPt>
            <c:idx val="3"/>
            <c:bubble3D val="0"/>
            <c:spPr>
              <a:solidFill>
                <a:srgbClr val="FFC000"/>
              </a:solidFill>
              <a:ln>
                <a:noFill/>
              </a:ln>
            </c:spPr>
            <c:extLst>
              <c:ext xmlns:c16="http://schemas.microsoft.com/office/drawing/2014/chart" uri="{C3380CC4-5D6E-409C-BE32-E72D297353CC}">
                <c16:uniqueId val="{00000007-365F-44B1-8013-E757D69C325F}"/>
              </c:ext>
            </c:extLst>
          </c:dPt>
          <c:dPt>
            <c:idx val="4"/>
            <c:bubble3D val="0"/>
            <c:spPr>
              <a:solidFill>
                <a:srgbClr val="00B050"/>
              </a:solidFill>
            </c:spPr>
            <c:extLst>
              <c:ext xmlns:c16="http://schemas.microsoft.com/office/drawing/2014/chart" uri="{C3380CC4-5D6E-409C-BE32-E72D297353CC}">
                <c16:uniqueId val="{00000008-365F-44B1-8013-E757D69C325F}"/>
              </c:ext>
            </c:extLst>
          </c:dPt>
          <c:dPt>
            <c:idx val="5"/>
            <c:bubble3D val="0"/>
            <c:spPr>
              <a:solidFill>
                <a:srgbClr val="FFFF00"/>
              </a:solidFill>
              <a:ln>
                <a:solidFill>
                  <a:srgbClr val="FFFF00"/>
                </a:solidFill>
              </a:ln>
            </c:spPr>
            <c:extLst>
              <c:ext xmlns:c16="http://schemas.microsoft.com/office/drawing/2014/chart" uri="{C3380CC4-5D6E-409C-BE32-E72D297353CC}">
                <c16:uniqueId val="{00000009-365F-44B1-8013-E757D69C325F}"/>
              </c:ext>
            </c:extLst>
          </c:dPt>
          <c:dPt>
            <c:idx val="6"/>
            <c:bubble3D val="0"/>
            <c:spPr>
              <a:solidFill>
                <a:srgbClr val="FF0000"/>
              </a:solidFill>
              <a:ln w="19050">
                <a:solidFill>
                  <a:schemeClr val="lt1"/>
                </a:solidFill>
              </a:ln>
              <a:effectLst/>
            </c:spPr>
            <c:extLst>
              <c:ext xmlns:c16="http://schemas.microsoft.com/office/drawing/2014/chart" uri="{C3380CC4-5D6E-409C-BE32-E72D297353CC}">
                <c16:uniqueId val="{00000001-865A-48D8-AEA6-AD5382CF5D11}"/>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03-865A-48D8-AEA6-AD5382CF5D11}"/>
              </c:ext>
            </c:extLst>
          </c:dPt>
          <c:cat>
            <c:strRef>
              <c:f>CUB!$B$41:$B$48</c:f>
              <c:strCache>
                <c:ptCount val="8"/>
                <c:pt idx="0">
                  <c:v>Aggregate</c:v>
                </c:pt>
                <c:pt idx="1">
                  <c:v>Asphalt</c:v>
                </c:pt>
                <c:pt idx="2">
                  <c:v>Steel</c:v>
                </c:pt>
                <c:pt idx="3">
                  <c:v>Cement and Concrete</c:v>
                </c:pt>
                <c:pt idx="4">
                  <c:v>Wood</c:v>
                </c:pt>
                <c:pt idx="5">
                  <c:v>Aluminium</c:v>
                </c:pt>
                <c:pt idx="6">
                  <c:v>Brick</c:v>
                </c:pt>
                <c:pt idx="7">
                  <c:v>Plastic</c:v>
                </c:pt>
              </c:strCache>
            </c:strRef>
          </c:cat>
          <c:val>
            <c:numRef>
              <c:f>CUB!$C$41:$C$48</c:f>
              <c:numCache>
                <c:formatCode>_-* #,##0_-;\-* #,##0_-;_-* "-"??_-;_-@_-</c:formatCode>
                <c:ptCount val="8"/>
                <c:pt idx="0">
                  <c:v>35.965199999999996</c:v>
                </c:pt>
                <c:pt idx="1">
                  <c:v>0</c:v>
                </c:pt>
                <c:pt idx="2">
                  <c:v>61.095600000000012</c:v>
                </c:pt>
                <c:pt idx="3">
                  <c:v>2042.5704000000003</c:v>
                </c:pt>
                <c:pt idx="4">
                  <c:v>1.6740999999999999</c:v>
                </c:pt>
                <c:pt idx="5">
                  <c:v>0</c:v>
                </c:pt>
                <c:pt idx="6">
                  <c:v>0</c:v>
                </c:pt>
                <c:pt idx="7">
                  <c:v>18.561</c:v>
                </c:pt>
              </c:numCache>
            </c:numRef>
          </c:val>
          <c:extLst>
            <c:ext xmlns:c16="http://schemas.microsoft.com/office/drawing/2014/chart" uri="{C3380CC4-5D6E-409C-BE32-E72D297353CC}">
              <c16:uniqueId val="{00000004-865A-48D8-AEA6-AD5382CF5D1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D3ED-489E-B8F6-1194827C7F3F}"/>
              </c:ext>
            </c:extLst>
          </c:dPt>
          <c:dPt>
            <c:idx val="1"/>
            <c:bubble3D val="0"/>
            <c:spPr>
              <a:solidFill>
                <a:srgbClr val="0070C0"/>
              </a:solidFill>
            </c:spPr>
            <c:extLst>
              <c:ext xmlns:c16="http://schemas.microsoft.com/office/drawing/2014/chart" uri="{C3380CC4-5D6E-409C-BE32-E72D297353CC}">
                <c16:uniqueId val="{00000001-D3ED-489E-B8F6-1194827C7F3F}"/>
              </c:ext>
            </c:extLst>
          </c:dPt>
          <c:dPt>
            <c:idx val="2"/>
            <c:bubble3D val="0"/>
            <c:spPr>
              <a:solidFill>
                <a:schemeClr val="tx1">
                  <a:lumMod val="50000"/>
                  <a:lumOff val="50000"/>
                </a:schemeClr>
              </a:solidFill>
            </c:spPr>
            <c:extLst>
              <c:ext xmlns:c16="http://schemas.microsoft.com/office/drawing/2014/chart" uri="{C3380CC4-5D6E-409C-BE32-E72D297353CC}">
                <c16:uniqueId val="{00000002-D3ED-489E-B8F6-1194827C7F3F}"/>
              </c:ext>
            </c:extLst>
          </c:dPt>
          <c:dPt>
            <c:idx val="3"/>
            <c:bubble3D val="0"/>
            <c:spPr>
              <a:solidFill>
                <a:srgbClr val="FFC000"/>
              </a:solidFill>
            </c:spPr>
            <c:extLst>
              <c:ext xmlns:c16="http://schemas.microsoft.com/office/drawing/2014/chart" uri="{C3380CC4-5D6E-409C-BE32-E72D297353CC}">
                <c16:uniqueId val="{00000003-D3ED-489E-B8F6-1194827C7F3F}"/>
              </c:ext>
            </c:extLst>
          </c:dPt>
          <c:dPt>
            <c:idx val="4"/>
            <c:bubble3D val="0"/>
            <c:spPr>
              <a:solidFill>
                <a:srgbClr val="00B050"/>
              </a:solidFill>
            </c:spPr>
            <c:extLst>
              <c:ext xmlns:c16="http://schemas.microsoft.com/office/drawing/2014/chart" uri="{C3380CC4-5D6E-409C-BE32-E72D297353CC}">
                <c16:uniqueId val="{00000004-D3ED-489E-B8F6-1194827C7F3F}"/>
              </c:ext>
            </c:extLst>
          </c:dPt>
          <c:dPt>
            <c:idx val="5"/>
            <c:bubble3D val="0"/>
            <c:spPr>
              <a:solidFill>
                <a:srgbClr val="FFFF00"/>
              </a:solidFill>
            </c:spPr>
            <c:extLst>
              <c:ext xmlns:c16="http://schemas.microsoft.com/office/drawing/2014/chart" uri="{C3380CC4-5D6E-409C-BE32-E72D297353CC}">
                <c16:uniqueId val="{00000005-D3ED-489E-B8F6-1194827C7F3F}"/>
              </c:ext>
            </c:extLst>
          </c:dPt>
          <c:dPt>
            <c:idx val="6"/>
            <c:bubble3D val="0"/>
            <c:spPr>
              <a:solidFill>
                <a:srgbClr val="FF0000"/>
              </a:solidFill>
            </c:spPr>
            <c:extLst>
              <c:ext xmlns:c16="http://schemas.microsoft.com/office/drawing/2014/chart" uri="{C3380CC4-5D6E-409C-BE32-E72D297353CC}">
                <c16:uniqueId val="{00000006-D3ED-489E-B8F6-1194827C7F3F}"/>
              </c:ext>
            </c:extLst>
          </c:dPt>
          <c:dPt>
            <c:idx val="7"/>
            <c:bubble3D val="0"/>
            <c:spPr>
              <a:solidFill>
                <a:srgbClr val="7030A0"/>
              </a:solidFill>
            </c:spPr>
            <c:extLst>
              <c:ext xmlns:c16="http://schemas.microsoft.com/office/drawing/2014/chart" uri="{C3380CC4-5D6E-409C-BE32-E72D297353CC}">
                <c16:uniqueId val="{00000007-D3ED-489E-B8F6-1194827C7F3F}"/>
              </c:ext>
            </c:extLst>
          </c:dPt>
          <c:cat>
            <c:strRef>
              <c:f>CUB!$B$41:$B$48</c:f>
              <c:strCache>
                <c:ptCount val="8"/>
                <c:pt idx="0">
                  <c:v>Aggregate</c:v>
                </c:pt>
                <c:pt idx="1">
                  <c:v>Asphalt</c:v>
                </c:pt>
                <c:pt idx="2">
                  <c:v>Steel</c:v>
                </c:pt>
                <c:pt idx="3">
                  <c:v>Cement and Concrete</c:v>
                </c:pt>
                <c:pt idx="4">
                  <c:v>Wood</c:v>
                </c:pt>
                <c:pt idx="5">
                  <c:v>Aluminium</c:v>
                </c:pt>
                <c:pt idx="6">
                  <c:v>Brick</c:v>
                </c:pt>
                <c:pt idx="7">
                  <c:v>Plastic</c:v>
                </c:pt>
              </c:strCache>
            </c:strRef>
          </c:cat>
          <c:val>
            <c:numRef>
              <c:f>CUB!$E$41:$E$48</c:f>
              <c:numCache>
                <c:formatCode>_(* #,##0.00_);_(* \(#,##0.00\);_(* "-"??_);_(@_)</c:formatCode>
                <c:ptCount val="8"/>
                <c:pt idx="0">
                  <c:v>0</c:v>
                </c:pt>
                <c:pt idx="1">
                  <c:v>0</c:v>
                </c:pt>
                <c:pt idx="2">
                  <c:v>0</c:v>
                </c:pt>
                <c:pt idx="3">
                  <c:v>0</c:v>
                </c:pt>
                <c:pt idx="4">
                  <c:v>0.1464</c:v>
                </c:pt>
                <c:pt idx="5">
                  <c:v>0</c:v>
                </c:pt>
                <c:pt idx="6">
                  <c:v>0</c:v>
                </c:pt>
                <c:pt idx="7">
                  <c:v>0</c:v>
                </c:pt>
              </c:numCache>
            </c:numRef>
          </c:val>
          <c:extLst>
            <c:ext xmlns:c16="http://schemas.microsoft.com/office/drawing/2014/chart" uri="{C3380CC4-5D6E-409C-BE32-E72D297353CC}">
              <c16:uniqueId val="{00000000-DD9F-4113-887B-233B1DE5289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JUB!$B$6:$B$7</c:f>
              <c:strCache>
                <c:ptCount val="2"/>
                <c:pt idx="0">
                  <c:v>S17 - Carrigaphooca Underbridge</c:v>
                </c:pt>
                <c:pt idx="1">
                  <c:v>S21 - Gurteenroe Underbridge</c:v>
                </c:pt>
              </c:strCache>
            </c:strRef>
          </c:cat>
          <c:val>
            <c:numRef>
              <c:f>JUB!$D$6:$D$7</c:f>
              <c:numCache>
                <c:formatCode>0</c:formatCode>
                <c:ptCount val="2"/>
                <c:pt idx="0">
                  <c:v>2474.8985999999986</c:v>
                </c:pt>
                <c:pt idx="1">
                  <c:v>2541.1393999999996</c:v>
                </c:pt>
              </c:numCache>
            </c:numRef>
          </c:val>
          <c:extLst>
            <c:ext xmlns:c16="http://schemas.microsoft.com/office/drawing/2014/chart" uri="{C3380CC4-5D6E-409C-BE32-E72D297353CC}">
              <c16:uniqueId val="{00000000-AA93-4DF2-BEDF-8ADC98C97449}"/>
            </c:ext>
          </c:extLst>
        </c:ser>
        <c:dLbls>
          <c:showLegendKey val="0"/>
          <c:showVal val="0"/>
          <c:showCatName val="0"/>
          <c:showSerName val="0"/>
          <c:showPercent val="0"/>
          <c:showBubbleSize val="0"/>
        </c:dLbls>
        <c:gapWidth val="182"/>
        <c:axId val="862055055"/>
        <c:axId val="684592655"/>
      </c:barChart>
      <c:catAx>
        <c:axId val="8620550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592655"/>
        <c:crosses val="autoZero"/>
        <c:auto val="1"/>
        <c:lblAlgn val="ctr"/>
        <c:lblOffset val="100"/>
        <c:noMultiLvlLbl val="0"/>
      </c:catAx>
      <c:valAx>
        <c:axId val="684592655"/>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2055055"/>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051563369596315"/>
          <c:y val="0.16154396097885484"/>
          <c:w val="0.62826327693426687"/>
          <c:h val="0.53872041059163489"/>
        </c:manualLayout>
      </c:layout>
      <c:barChart>
        <c:barDir val="bar"/>
        <c:grouping val="clustered"/>
        <c:varyColors val="0"/>
        <c:ser>
          <c:idx val="0"/>
          <c:order val="0"/>
          <c:tx>
            <c:strRef>
              <c:f>JUB!$B$6</c:f>
              <c:strCache>
                <c:ptCount val="1"/>
                <c:pt idx="0">
                  <c:v>S17 - Carrigaphooca Underbridge</c:v>
                </c:pt>
              </c:strCache>
            </c:strRef>
          </c:tx>
          <c:spPr>
            <a:solidFill>
              <a:srgbClr val="FFC000"/>
            </a:solidFill>
            <a:ln>
              <a:noFill/>
            </a:ln>
            <a:effectLst/>
          </c:spPr>
          <c:invertIfNegative val="0"/>
          <c:cat>
            <c:strRef>
              <c:f>JUB!$I$5:$N$5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JUB!$I$6:$N$6</c:f>
              <c:numCache>
                <c:formatCode>0.0</c:formatCode>
                <c:ptCount val="6"/>
                <c:pt idx="0">
                  <c:v>2373.6985999999988</c:v>
                </c:pt>
                <c:pt idx="1">
                  <c:v>31.2</c:v>
                </c:pt>
                <c:pt idx="2">
                  <c:v>51.8</c:v>
                </c:pt>
                <c:pt idx="3">
                  <c:v>18.2</c:v>
                </c:pt>
                <c:pt idx="4">
                  <c:v>8.6499999999999994E-2</c:v>
                </c:pt>
                <c:pt idx="5">
                  <c:v>0</c:v>
                </c:pt>
              </c:numCache>
            </c:numRef>
          </c:val>
          <c:extLst>
            <c:ext xmlns:c16="http://schemas.microsoft.com/office/drawing/2014/chart" uri="{C3380CC4-5D6E-409C-BE32-E72D297353CC}">
              <c16:uniqueId val="{00000000-A3FA-4A37-BF7B-B9CF03517FBB}"/>
            </c:ext>
          </c:extLst>
        </c:ser>
        <c:ser>
          <c:idx val="1"/>
          <c:order val="1"/>
          <c:tx>
            <c:strRef>
              <c:f>JUB!$B$7</c:f>
              <c:strCache>
                <c:ptCount val="1"/>
                <c:pt idx="0">
                  <c:v>S21 - Gurteenroe Underbridge</c:v>
                </c:pt>
              </c:strCache>
            </c:strRef>
          </c:tx>
          <c:spPr>
            <a:solidFill>
              <a:srgbClr val="59A089"/>
            </a:solidFill>
            <a:ln>
              <a:noFill/>
            </a:ln>
            <a:effectLst/>
          </c:spPr>
          <c:invertIfNegative val="0"/>
          <c:cat>
            <c:strRef>
              <c:f>JUB!$I$5:$N$5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JUB!$I$7:$N$7</c:f>
              <c:numCache>
                <c:formatCode>0.0</c:formatCode>
                <c:ptCount val="6"/>
                <c:pt idx="0">
                  <c:v>2461.1393999999996</c:v>
                </c:pt>
                <c:pt idx="1">
                  <c:v>26.3</c:v>
                </c:pt>
                <c:pt idx="2">
                  <c:v>38.200000000000003</c:v>
                </c:pt>
                <c:pt idx="3">
                  <c:v>15.5</c:v>
                </c:pt>
                <c:pt idx="4">
                  <c:v>0.1148</c:v>
                </c:pt>
                <c:pt idx="5">
                  <c:v>0</c:v>
                </c:pt>
              </c:numCache>
            </c:numRef>
          </c:val>
          <c:extLst>
            <c:ext xmlns:c16="http://schemas.microsoft.com/office/drawing/2014/chart" uri="{C3380CC4-5D6E-409C-BE32-E72D297353CC}">
              <c16:uniqueId val="{00000001-A3FA-4A37-BF7B-B9CF03517FBB}"/>
            </c:ext>
          </c:extLst>
        </c:ser>
        <c:dLbls>
          <c:showLegendKey val="0"/>
          <c:showVal val="0"/>
          <c:showCatName val="0"/>
          <c:showSerName val="0"/>
          <c:showPercent val="0"/>
          <c:showBubbleSize val="0"/>
        </c:dLbls>
        <c:gapWidth val="182"/>
        <c:axId val="226078799"/>
        <c:axId val="627045935"/>
      </c:barChart>
      <c:catAx>
        <c:axId val="226078799"/>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panose="020B0604020202020204" pitchFamily="34" charset="0"/>
                    <a:cs typeface="Arial" panose="020B0604020202020204" pitchFamily="34" charset="0"/>
                  </a:rPr>
                  <a:t>Lifecycle</a:t>
                </a:r>
                <a:r>
                  <a:rPr lang="en-GB" baseline="0">
                    <a:solidFill>
                      <a:sysClr val="windowText" lastClr="000000"/>
                    </a:solidFill>
                    <a:latin typeface="Arial" panose="020B0604020202020204" pitchFamily="34" charset="0"/>
                    <a:cs typeface="Arial" panose="020B0604020202020204" pitchFamily="34" charset="0"/>
                  </a:rPr>
                  <a:t> Stage</a:t>
                </a:r>
                <a:endParaRPr lang="en-GB">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GB"/>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7045935"/>
        <c:crosses val="autoZero"/>
        <c:auto val="1"/>
        <c:lblAlgn val="ctr"/>
        <c:lblOffset val="100"/>
        <c:noMultiLvlLbl val="0"/>
      </c:catAx>
      <c:valAx>
        <c:axId val="62704593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0787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4-DFEF-4C15-A683-63A3E72D1AA9}"/>
              </c:ext>
            </c:extLst>
          </c:dPt>
          <c:dPt>
            <c:idx val="1"/>
            <c:bubble3D val="0"/>
            <c:spPr>
              <a:solidFill>
                <a:srgbClr val="0070C0"/>
              </a:solidFill>
            </c:spPr>
            <c:extLst>
              <c:ext xmlns:c16="http://schemas.microsoft.com/office/drawing/2014/chart" uri="{C3380CC4-5D6E-409C-BE32-E72D297353CC}">
                <c16:uniqueId val="{00000005-DFEF-4C15-A683-63A3E72D1AA9}"/>
              </c:ext>
            </c:extLst>
          </c:dPt>
          <c:dPt>
            <c:idx val="2"/>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C2BD-40EF-A261-73486FCCA8D8}"/>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3-C2BD-40EF-A261-73486FCCA8D8}"/>
              </c:ext>
            </c:extLst>
          </c:dPt>
          <c:dPt>
            <c:idx val="4"/>
            <c:bubble3D val="0"/>
            <c:spPr>
              <a:solidFill>
                <a:srgbClr val="00B050"/>
              </a:solidFill>
            </c:spPr>
            <c:extLst>
              <c:ext xmlns:c16="http://schemas.microsoft.com/office/drawing/2014/chart" uri="{C3380CC4-5D6E-409C-BE32-E72D297353CC}">
                <c16:uniqueId val="{00000006-DFEF-4C15-A683-63A3E72D1AA9}"/>
              </c:ext>
            </c:extLst>
          </c:dPt>
          <c:dPt>
            <c:idx val="5"/>
            <c:bubble3D val="0"/>
            <c:spPr>
              <a:solidFill>
                <a:srgbClr val="FFFF00"/>
              </a:solidFill>
            </c:spPr>
            <c:extLst>
              <c:ext xmlns:c16="http://schemas.microsoft.com/office/drawing/2014/chart" uri="{C3380CC4-5D6E-409C-BE32-E72D297353CC}">
                <c16:uniqueId val="{00000007-DFEF-4C15-A683-63A3E72D1AA9}"/>
              </c:ext>
            </c:extLst>
          </c:dPt>
          <c:dPt>
            <c:idx val="6"/>
            <c:bubble3D val="0"/>
            <c:spPr>
              <a:solidFill>
                <a:srgbClr val="FF0000"/>
              </a:solidFill>
            </c:spPr>
            <c:extLst>
              <c:ext xmlns:c16="http://schemas.microsoft.com/office/drawing/2014/chart" uri="{C3380CC4-5D6E-409C-BE32-E72D297353CC}">
                <c16:uniqueId val="{00000008-DFEF-4C15-A683-63A3E72D1AA9}"/>
              </c:ext>
            </c:extLst>
          </c:dPt>
          <c:dPt>
            <c:idx val="7"/>
            <c:bubble3D val="0"/>
            <c:spPr>
              <a:solidFill>
                <a:srgbClr val="7030A0"/>
              </a:solidFill>
            </c:spPr>
            <c:extLst>
              <c:ext xmlns:c16="http://schemas.microsoft.com/office/drawing/2014/chart" uri="{C3380CC4-5D6E-409C-BE32-E72D297353CC}">
                <c16:uniqueId val="{00000009-DFEF-4C15-A683-63A3E72D1AA9}"/>
              </c:ext>
            </c:extLst>
          </c:dPt>
          <c:cat>
            <c:strRef>
              <c:f>JUB!$B$53:$B$60</c:f>
              <c:strCache>
                <c:ptCount val="8"/>
                <c:pt idx="0">
                  <c:v>Aggregate</c:v>
                </c:pt>
                <c:pt idx="1">
                  <c:v>Asphalt</c:v>
                </c:pt>
                <c:pt idx="2">
                  <c:v>Steel</c:v>
                </c:pt>
                <c:pt idx="3">
                  <c:v>Cement and Concrete</c:v>
                </c:pt>
                <c:pt idx="4">
                  <c:v>Wood</c:v>
                </c:pt>
                <c:pt idx="5">
                  <c:v>Aluminium</c:v>
                </c:pt>
                <c:pt idx="6">
                  <c:v>Brick</c:v>
                </c:pt>
                <c:pt idx="7">
                  <c:v>Plastic</c:v>
                </c:pt>
              </c:strCache>
            </c:strRef>
          </c:cat>
          <c:val>
            <c:numRef>
              <c:f>JUB!$C$53:$C$60</c:f>
              <c:numCache>
                <c:formatCode>_-* #,##0_-;\-* #,##0_-;_-* "-"??_-;_-@_-</c:formatCode>
                <c:ptCount val="8"/>
                <c:pt idx="0">
                  <c:v>36.423499999999997</c:v>
                </c:pt>
                <c:pt idx="1">
                  <c:v>0</c:v>
                </c:pt>
                <c:pt idx="2">
                  <c:v>92.624299999999991</c:v>
                </c:pt>
                <c:pt idx="3">
                  <c:v>4689.1874000000007</c:v>
                </c:pt>
                <c:pt idx="4">
                  <c:v>2.302</c:v>
                </c:pt>
                <c:pt idx="5">
                  <c:v>0</c:v>
                </c:pt>
                <c:pt idx="6">
                  <c:v>0</c:v>
                </c:pt>
                <c:pt idx="7">
                  <c:v>14.300799999999997</c:v>
                </c:pt>
              </c:numCache>
            </c:numRef>
          </c:val>
          <c:extLst>
            <c:ext xmlns:c16="http://schemas.microsoft.com/office/drawing/2014/chart" uri="{C3380CC4-5D6E-409C-BE32-E72D297353CC}">
              <c16:uniqueId val="{00000004-8E3B-4E31-8AD5-51B209DF6A3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97AB-4057-83F7-9F45F61D67A2}"/>
              </c:ext>
            </c:extLst>
          </c:dPt>
          <c:dPt>
            <c:idx val="1"/>
            <c:bubble3D val="0"/>
            <c:spPr>
              <a:solidFill>
                <a:srgbClr val="0070C0"/>
              </a:solidFill>
            </c:spPr>
            <c:extLst>
              <c:ext xmlns:c16="http://schemas.microsoft.com/office/drawing/2014/chart" uri="{C3380CC4-5D6E-409C-BE32-E72D297353CC}">
                <c16:uniqueId val="{00000001-97AB-4057-83F7-9F45F61D67A2}"/>
              </c:ext>
            </c:extLst>
          </c:dPt>
          <c:dPt>
            <c:idx val="2"/>
            <c:bubble3D val="0"/>
            <c:spPr>
              <a:solidFill>
                <a:schemeClr val="tx1">
                  <a:lumMod val="50000"/>
                  <a:lumOff val="50000"/>
                </a:schemeClr>
              </a:solidFill>
            </c:spPr>
            <c:extLst>
              <c:ext xmlns:c16="http://schemas.microsoft.com/office/drawing/2014/chart" uri="{C3380CC4-5D6E-409C-BE32-E72D297353CC}">
                <c16:uniqueId val="{00000002-97AB-4057-83F7-9F45F61D67A2}"/>
              </c:ext>
            </c:extLst>
          </c:dPt>
          <c:dPt>
            <c:idx val="3"/>
            <c:bubble3D val="0"/>
            <c:spPr>
              <a:solidFill>
                <a:srgbClr val="FFC000"/>
              </a:solidFill>
            </c:spPr>
            <c:extLst>
              <c:ext xmlns:c16="http://schemas.microsoft.com/office/drawing/2014/chart" uri="{C3380CC4-5D6E-409C-BE32-E72D297353CC}">
                <c16:uniqueId val="{00000003-97AB-4057-83F7-9F45F61D67A2}"/>
              </c:ext>
            </c:extLst>
          </c:dPt>
          <c:dPt>
            <c:idx val="4"/>
            <c:bubble3D val="0"/>
            <c:spPr>
              <a:solidFill>
                <a:srgbClr val="00B050"/>
              </a:solidFill>
            </c:spPr>
            <c:extLst>
              <c:ext xmlns:c16="http://schemas.microsoft.com/office/drawing/2014/chart" uri="{C3380CC4-5D6E-409C-BE32-E72D297353CC}">
                <c16:uniqueId val="{00000004-97AB-4057-83F7-9F45F61D67A2}"/>
              </c:ext>
            </c:extLst>
          </c:dPt>
          <c:dPt>
            <c:idx val="5"/>
            <c:bubble3D val="0"/>
            <c:spPr>
              <a:solidFill>
                <a:srgbClr val="FFFF00"/>
              </a:solidFill>
            </c:spPr>
            <c:extLst>
              <c:ext xmlns:c16="http://schemas.microsoft.com/office/drawing/2014/chart" uri="{C3380CC4-5D6E-409C-BE32-E72D297353CC}">
                <c16:uniqueId val="{00000005-97AB-4057-83F7-9F45F61D67A2}"/>
              </c:ext>
            </c:extLst>
          </c:dPt>
          <c:dPt>
            <c:idx val="6"/>
            <c:bubble3D val="0"/>
            <c:spPr>
              <a:solidFill>
                <a:srgbClr val="FF0000"/>
              </a:solidFill>
            </c:spPr>
            <c:extLst>
              <c:ext xmlns:c16="http://schemas.microsoft.com/office/drawing/2014/chart" uri="{C3380CC4-5D6E-409C-BE32-E72D297353CC}">
                <c16:uniqueId val="{00000006-97AB-4057-83F7-9F45F61D67A2}"/>
              </c:ext>
            </c:extLst>
          </c:dPt>
          <c:dPt>
            <c:idx val="7"/>
            <c:bubble3D val="0"/>
            <c:spPr>
              <a:solidFill>
                <a:srgbClr val="7030A0"/>
              </a:solidFill>
            </c:spPr>
            <c:extLst>
              <c:ext xmlns:c16="http://schemas.microsoft.com/office/drawing/2014/chart" uri="{C3380CC4-5D6E-409C-BE32-E72D297353CC}">
                <c16:uniqueId val="{00000007-97AB-4057-83F7-9F45F61D67A2}"/>
              </c:ext>
            </c:extLst>
          </c:dPt>
          <c:cat>
            <c:strRef>
              <c:f>JUB!$B$53:$B$60</c:f>
              <c:strCache>
                <c:ptCount val="8"/>
                <c:pt idx="0">
                  <c:v>Aggregate</c:v>
                </c:pt>
                <c:pt idx="1">
                  <c:v>Asphalt</c:v>
                </c:pt>
                <c:pt idx="2">
                  <c:v>Steel</c:v>
                </c:pt>
                <c:pt idx="3">
                  <c:v>Cement and Concrete</c:v>
                </c:pt>
                <c:pt idx="4">
                  <c:v>Wood</c:v>
                </c:pt>
                <c:pt idx="5">
                  <c:v>Aluminium</c:v>
                </c:pt>
                <c:pt idx="6">
                  <c:v>Brick</c:v>
                </c:pt>
                <c:pt idx="7">
                  <c:v>Plastic</c:v>
                </c:pt>
              </c:strCache>
            </c:strRef>
          </c:cat>
          <c:val>
            <c:numRef>
              <c:f>JUB!$E$53:$E$60</c:f>
              <c:numCache>
                <c:formatCode>_-* #,##0_-;\-* #,##0_-;_-* "-"??_-;_-@_-</c:formatCode>
                <c:ptCount val="8"/>
                <c:pt idx="0">
                  <c:v>0</c:v>
                </c:pt>
                <c:pt idx="1">
                  <c:v>0</c:v>
                </c:pt>
                <c:pt idx="2">
                  <c:v>0</c:v>
                </c:pt>
                <c:pt idx="3">
                  <c:v>0</c:v>
                </c:pt>
                <c:pt idx="4" formatCode="_(* #,##0.00_);_(* \(#,##0.00\);_(* &quot;-&quot;??_);_(@_)">
                  <c:v>0.20129999999999998</c:v>
                </c:pt>
                <c:pt idx="5">
                  <c:v>0</c:v>
                </c:pt>
                <c:pt idx="6">
                  <c:v>0</c:v>
                </c:pt>
                <c:pt idx="7">
                  <c:v>0</c:v>
                </c:pt>
              </c:numCache>
            </c:numRef>
          </c:val>
          <c:extLst>
            <c:ext xmlns:c16="http://schemas.microsoft.com/office/drawing/2014/chart" uri="{C3380CC4-5D6E-409C-BE32-E72D297353CC}">
              <c16:uniqueId val="{00000000-2B54-4223-B030-36148CD8897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OB!$B$6:$B$9</c:f>
              <c:strCache>
                <c:ptCount val="4"/>
                <c:pt idx="0">
                  <c:v>S05 - Killeen Overbridge</c:v>
                </c:pt>
                <c:pt idx="1">
                  <c:v>S20 - Clonfadda Overbridge</c:v>
                </c:pt>
                <c:pt idx="2">
                  <c:v>S22 Kilnagurteen Overbridge</c:v>
                </c:pt>
                <c:pt idx="3">
                  <c:v>S24-24A Coolyhane Overbridge</c:v>
                </c:pt>
              </c:strCache>
            </c:strRef>
          </c:cat>
          <c:val>
            <c:numRef>
              <c:f>OB!$D$6:$D$9</c:f>
              <c:numCache>
                <c:formatCode>0</c:formatCode>
                <c:ptCount val="4"/>
                <c:pt idx="0">
                  <c:v>1409.8254000000004</c:v>
                </c:pt>
                <c:pt idx="1">
                  <c:v>1096.4031</c:v>
                </c:pt>
                <c:pt idx="2">
                  <c:v>1530.1431999999998</c:v>
                </c:pt>
                <c:pt idx="3">
                  <c:v>1716.0148999999997</c:v>
                </c:pt>
              </c:numCache>
            </c:numRef>
          </c:val>
          <c:extLst>
            <c:ext xmlns:c16="http://schemas.microsoft.com/office/drawing/2014/chart" uri="{C3380CC4-5D6E-409C-BE32-E72D297353CC}">
              <c16:uniqueId val="{00000000-ACB1-4425-B317-53624A6292BF}"/>
            </c:ext>
          </c:extLst>
        </c:ser>
        <c:dLbls>
          <c:showLegendKey val="0"/>
          <c:showVal val="0"/>
          <c:showCatName val="0"/>
          <c:showSerName val="0"/>
          <c:showPercent val="0"/>
          <c:showBubbleSize val="0"/>
        </c:dLbls>
        <c:gapWidth val="182"/>
        <c:axId val="888009199"/>
        <c:axId val="169741375"/>
      </c:barChart>
      <c:catAx>
        <c:axId val="888009199"/>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9741375"/>
        <c:crosses val="autoZero"/>
        <c:auto val="1"/>
        <c:lblAlgn val="ctr"/>
        <c:lblOffset val="100"/>
        <c:noMultiLvlLbl val="0"/>
      </c:catAx>
      <c:valAx>
        <c:axId val="16974137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8009199"/>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372937926547537"/>
          <c:y val="0.16427758816837315"/>
          <c:w val="0.60530641337076529"/>
          <c:h val="0.57101932224342267"/>
        </c:manualLayout>
      </c:layout>
      <c:barChart>
        <c:barDir val="bar"/>
        <c:grouping val="clustered"/>
        <c:varyColors val="0"/>
        <c:ser>
          <c:idx val="0"/>
          <c:order val="0"/>
          <c:tx>
            <c:strRef>
              <c:f>OB!$B$6</c:f>
              <c:strCache>
                <c:ptCount val="1"/>
                <c:pt idx="0">
                  <c:v>S05 - Killeen Overbridge</c:v>
                </c:pt>
              </c:strCache>
            </c:strRef>
          </c:tx>
          <c:spPr>
            <a:solidFill>
              <a:srgbClr val="00353E"/>
            </a:solidFill>
            <a:ln>
              <a:noFill/>
            </a:ln>
            <a:effectLst/>
          </c:spPr>
          <c:invertIfNegative val="0"/>
          <c:cat>
            <c:strRef>
              <c:f>OB!$I$5:$N$5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OB!$I$6:$N$6</c:f>
              <c:numCache>
                <c:formatCode>0.0</c:formatCode>
                <c:ptCount val="6"/>
                <c:pt idx="0">
                  <c:v>1351.2254000000003</c:v>
                </c:pt>
                <c:pt idx="1">
                  <c:v>15.7</c:v>
                </c:pt>
                <c:pt idx="2">
                  <c:v>29.5</c:v>
                </c:pt>
                <c:pt idx="3">
                  <c:v>13.4</c:v>
                </c:pt>
                <c:pt idx="4">
                  <c:v>8.7099999999999997E-2</c:v>
                </c:pt>
                <c:pt idx="5">
                  <c:v>0</c:v>
                </c:pt>
              </c:numCache>
            </c:numRef>
          </c:val>
          <c:extLst>
            <c:ext xmlns:c16="http://schemas.microsoft.com/office/drawing/2014/chart" uri="{C3380CC4-5D6E-409C-BE32-E72D297353CC}">
              <c16:uniqueId val="{00000000-74DD-4B0D-98BD-1EC3D8696C51}"/>
            </c:ext>
          </c:extLst>
        </c:ser>
        <c:ser>
          <c:idx val="1"/>
          <c:order val="1"/>
          <c:tx>
            <c:strRef>
              <c:f>OB!$B$7</c:f>
              <c:strCache>
                <c:ptCount val="1"/>
                <c:pt idx="0">
                  <c:v>S20 - Clonfadda Overbridge</c:v>
                </c:pt>
              </c:strCache>
            </c:strRef>
          </c:tx>
          <c:spPr>
            <a:solidFill>
              <a:srgbClr val="FFC000"/>
            </a:solidFill>
            <a:ln>
              <a:noFill/>
            </a:ln>
            <a:effectLst/>
          </c:spPr>
          <c:invertIfNegative val="0"/>
          <c:cat>
            <c:strRef>
              <c:f>OB!$I$5:$N$5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OB!$I$7:$N$7</c:f>
              <c:numCache>
                <c:formatCode>0.0</c:formatCode>
                <c:ptCount val="6"/>
                <c:pt idx="0">
                  <c:v>890.60310000000004</c:v>
                </c:pt>
                <c:pt idx="1">
                  <c:v>11.3</c:v>
                </c:pt>
                <c:pt idx="2">
                  <c:v>181.7</c:v>
                </c:pt>
                <c:pt idx="3">
                  <c:v>12.8</c:v>
                </c:pt>
                <c:pt idx="4" formatCode="0.00">
                  <c:v>9.4600000000000004E-2</c:v>
                </c:pt>
                <c:pt idx="5">
                  <c:v>0</c:v>
                </c:pt>
              </c:numCache>
            </c:numRef>
          </c:val>
          <c:extLst>
            <c:ext xmlns:c16="http://schemas.microsoft.com/office/drawing/2014/chart" uri="{C3380CC4-5D6E-409C-BE32-E72D297353CC}">
              <c16:uniqueId val="{00000001-74DD-4B0D-98BD-1EC3D8696C51}"/>
            </c:ext>
          </c:extLst>
        </c:ser>
        <c:ser>
          <c:idx val="2"/>
          <c:order val="2"/>
          <c:tx>
            <c:strRef>
              <c:f>OB!$B$8</c:f>
              <c:strCache>
                <c:ptCount val="1"/>
                <c:pt idx="0">
                  <c:v>S22 Kilnagurteen Overbridge</c:v>
                </c:pt>
              </c:strCache>
            </c:strRef>
          </c:tx>
          <c:spPr>
            <a:solidFill>
              <a:schemeClr val="accent3"/>
            </a:solidFill>
            <a:ln>
              <a:noFill/>
            </a:ln>
            <a:effectLst/>
          </c:spPr>
          <c:invertIfNegative val="0"/>
          <c:cat>
            <c:strRef>
              <c:f>OB!$I$5:$N$5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OB!$I$8:$N$8</c:f>
              <c:numCache>
                <c:formatCode>0.0</c:formatCode>
                <c:ptCount val="6"/>
                <c:pt idx="0">
                  <c:v>1463.2431999999999</c:v>
                </c:pt>
                <c:pt idx="1">
                  <c:v>17.3</c:v>
                </c:pt>
                <c:pt idx="2">
                  <c:v>32.1</c:v>
                </c:pt>
                <c:pt idx="3">
                  <c:v>17.5</c:v>
                </c:pt>
                <c:pt idx="4" formatCode="0.00">
                  <c:v>0.15870000000000001</c:v>
                </c:pt>
                <c:pt idx="5">
                  <c:v>0</c:v>
                </c:pt>
              </c:numCache>
            </c:numRef>
          </c:val>
          <c:extLst>
            <c:ext xmlns:c16="http://schemas.microsoft.com/office/drawing/2014/chart" uri="{C3380CC4-5D6E-409C-BE32-E72D297353CC}">
              <c16:uniqueId val="{00000002-74DD-4B0D-98BD-1EC3D8696C51}"/>
            </c:ext>
          </c:extLst>
        </c:ser>
        <c:ser>
          <c:idx val="3"/>
          <c:order val="3"/>
          <c:tx>
            <c:strRef>
              <c:f>OB!$B$9</c:f>
              <c:strCache>
                <c:ptCount val="1"/>
                <c:pt idx="0">
                  <c:v>S24-24A Coolyhane Overbridge</c:v>
                </c:pt>
              </c:strCache>
            </c:strRef>
          </c:tx>
          <c:spPr>
            <a:solidFill>
              <a:srgbClr val="59A089"/>
            </a:solidFill>
            <a:ln>
              <a:noFill/>
            </a:ln>
            <a:effectLst/>
          </c:spPr>
          <c:invertIfNegative val="0"/>
          <c:cat>
            <c:strRef>
              <c:f>OB!$I$5:$N$5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OB!$I$9:$N$9</c:f>
              <c:numCache>
                <c:formatCode>0.0</c:formatCode>
                <c:ptCount val="6"/>
                <c:pt idx="0">
                  <c:v>1589.1148999999996</c:v>
                </c:pt>
                <c:pt idx="1">
                  <c:v>26.2</c:v>
                </c:pt>
                <c:pt idx="2">
                  <c:v>66.7</c:v>
                </c:pt>
                <c:pt idx="3">
                  <c:v>34</c:v>
                </c:pt>
                <c:pt idx="4" formatCode="0.00">
                  <c:v>0.19070000000000001</c:v>
                </c:pt>
                <c:pt idx="5">
                  <c:v>0</c:v>
                </c:pt>
              </c:numCache>
            </c:numRef>
          </c:val>
          <c:extLst>
            <c:ext xmlns:c16="http://schemas.microsoft.com/office/drawing/2014/chart" uri="{C3380CC4-5D6E-409C-BE32-E72D297353CC}">
              <c16:uniqueId val="{00000003-74DD-4B0D-98BD-1EC3D8696C51}"/>
            </c:ext>
          </c:extLst>
        </c:ser>
        <c:dLbls>
          <c:showLegendKey val="0"/>
          <c:showVal val="0"/>
          <c:showCatName val="0"/>
          <c:showSerName val="0"/>
          <c:showPercent val="0"/>
          <c:showBubbleSize val="0"/>
        </c:dLbls>
        <c:gapWidth val="182"/>
        <c:axId val="1375970703"/>
        <c:axId val="626488687"/>
      </c:barChart>
      <c:catAx>
        <c:axId val="1375970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6488687"/>
        <c:crosses val="autoZero"/>
        <c:auto val="1"/>
        <c:lblAlgn val="ctr"/>
        <c:lblOffset val="100"/>
        <c:noMultiLvlLbl val="0"/>
      </c:catAx>
      <c:valAx>
        <c:axId val="62648868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layout>
            <c:manualLayout>
              <c:xMode val="edge"/>
              <c:yMode val="edge"/>
              <c:x val="0.41557138077713524"/>
              <c:y val="0.809009163956894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5970703"/>
        <c:crosses val="autoZero"/>
        <c:crossBetween val="between"/>
      </c:valAx>
      <c:spPr>
        <a:noFill/>
        <a:ln>
          <a:noFill/>
        </a:ln>
        <a:effectLst/>
      </c:spPr>
    </c:plotArea>
    <c:legend>
      <c:legendPos val="b"/>
      <c:layout>
        <c:manualLayout>
          <c:xMode val="edge"/>
          <c:yMode val="edge"/>
          <c:x val="1.0566505948122612E-2"/>
          <c:y val="0.87144374871229835"/>
          <c:w val="0.981265959374095"/>
          <c:h val="0.101252497021490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4-1F3D-4208-9DC6-A6495C3E6863}"/>
              </c:ext>
            </c:extLst>
          </c:dPt>
          <c:dPt>
            <c:idx val="1"/>
            <c:bubble3D val="0"/>
            <c:spPr>
              <a:solidFill>
                <a:srgbClr val="0070C0"/>
              </a:solidFill>
            </c:spPr>
            <c:extLst>
              <c:ext xmlns:c16="http://schemas.microsoft.com/office/drawing/2014/chart" uri="{C3380CC4-5D6E-409C-BE32-E72D297353CC}">
                <c16:uniqueId val="{00000005-1F3D-4208-9DC6-A6495C3E6863}"/>
              </c:ext>
            </c:extLst>
          </c:dPt>
          <c:dPt>
            <c:idx val="2"/>
            <c:bubble3D val="0"/>
            <c:spPr>
              <a:solidFill>
                <a:schemeClr val="tx1">
                  <a:lumMod val="50000"/>
                  <a:lumOff val="50000"/>
                </a:schemeClr>
              </a:solidFill>
            </c:spPr>
            <c:extLst>
              <c:ext xmlns:c16="http://schemas.microsoft.com/office/drawing/2014/chart" uri="{C3380CC4-5D6E-409C-BE32-E72D297353CC}">
                <c16:uniqueId val="{00000006-1F3D-4208-9DC6-A6495C3E6863}"/>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3-FFBA-4267-95D8-14ADE9DFDA4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3-A70F-4B95-888B-5F482E4914D9}"/>
              </c:ext>
            </c:extLst>
          </c:dPt>
          <c:dPt>
            <c:idx val="5"/>
            <c:bubble3D val="0"/>
            <c:spPr>
              <a:solidFill>
                <a:srgbClr val="FFFF00"/>
              </a:solidFill>
            </c:spPr>
            <c:extLst>
              <c:ext xmlns:c16="http://schemas.microsoft.com/office/drawing/2014/chart" uri="{C3380CC4-5D6E-409C-BE32-E72D297353CC}">
                <c16:uniqueId val="{00000007-1F3D-4208-9DC6-A6495C3E6863}"/>
              </c:ext>
            </c:extLst>
          </c:dPt>
          <c:dPt>
            <c:idx val="6"/>
            <c:bubble3D val="0"/>
            <c:spPr>
              <a:solidFill>
                <a:srgbClr val="FF0000"/>
              </a:solidFill>
            </c:spPr>
            <c:extLst>
              <c:ext xmlns:c16="http://schemas.microsoft.com/office/drawing/2014/chart" uri="{C3380CC4-5D6E-409C-BE32-E72D297353CC}">
                <c16:uniqueId val="{00000008-1F3D-4208-9DC6-A6495C3E6863}"/>
              </c:ext>
            </c:extLst>
          </c:dPt>
          <c:dPt>
            <c:idx val="7"/>
            <c:bubble3D val="0"/>
            <c:spPr>
              <a:solidFill>
                <a:srgbClr val="7030A0"/>
              </a:solidFill>
            </c:spPr>
            <c:extLst>
              <c:ext xmlns:c16="http://schemas.microsoft.com/office/drawing/2014/chart" uri="{C3380CC4-5D6E-409C-BE32-E72D297353CC}">
                <c16:uniqueId val="{00000009-1F3D-4208-9DC6-A6495C3E6863}"/>
              </c:ext>
            </c:extLst>
          </c:dPt>
          <c:cat>
            <c:strRef>
              <c:f>OB!$B$46:$B$53</c:f>
              <c:strCache>
                <c:ptCount val="8"/>
                <c:pt idx="0">
                  <c:v>Aggregate</c:v>
                </c:pt>
                <c:pt idx="1">
                  <c:v>Asphalt</c:v>
                </c:pt>
                <c:pt idx="2">
                  <c:v>Steel</c:v>
                </c:pt>
                <c:pt idx="3">
                  <c:v>Cement and Concrete</c:v>
                </c:pt>
                <c:pt idx="4">
                  <c:v>Wood</c:v>
                </c:pt>
                <c:pt idx="5">
                  <c:v>Aluminium</c:v>
                </c:pt>
                <c:pt idx="6">
                  <c:v>Brick</c:v>
                </c:pt>
                <c:pt idx="7">
                  <c:v>Plastic</c:v>
                </c:pt>
              </c:strCache>
            </c:strRef>
          </c:cat>
          <c:val>
            <c:numRef>
              <c:f>OB!$C$46:$C$53</c:f>
              <c:numCache>
                <c:formatCode>_-* #,##0_-;\-* #,##0_-;_-* "-"??_-;_-@_-</c:formatCode>
                <c:ptCount val="8"/>
                <c:pt idx="0">
                  <c:v>16.309800000000003</c:v>
                </c:pt>
                <c:pt idx="1">
                  <c:v>0</c:v>
                </c:pt>
                <c:pt idx="2">
                  <c:v>213.32989999999998</c:v>
                </c:pt>
                <c:pt idx="3">
                  <c:v>5037.8120000000008</c:v>
                </c:pt>
                <c:pt idx="4">
                  <c:v>6.0743999999999998</c:v>
                </c:pt>
                <c:pt idx="5">
                  <c:v>0</c:v>
                </c:pt>
                <c:pt idx="6">
                  <c:v>0</c:v>
                </c:pt>
                <c:pt idx="7">
                  <c:v>20.660499999999995</c:v>
                </c:pt>
              </c:numCache>
            </c:numRef>
          </c:val>
          <c:extLst>
            <c:ext xmlns:c16="http://schemas.microsoft.com/office/drawing/2014/chart" uri="{C3380CC4-5D6E-409C-BE32-E72D297353CC}">
              <c16:uniqueId val="{00000004-FFBA-4267-95D8-14ADE9DFDA4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D58D-436D-AA85-282075EBDEBE}"/>
              </c:ext>
            </c:extLst>
          </c:dPt>
          <c:dPt>
            <c:idx val="1"/>
            <c:bubble3D val="0"/>
            <c:spPr>
              <a:solidFill>
                <a:srgbClr val="0070C0"/>
              </a:solidFill>
            </c:spPr>
            <c:extLst>
              <c:ext xmlns:c16="http://schemas.microsoft.com/office/drawing/2014/chart" uri="{C3380CC4-5D6E-409C-BE32-E72D297353CC}">
                <c16:uniqueId val="{00000001-D58D-436D-AA85-282075EBDEBE}"/>
              </c:ext>
            </c:extLst>
          </c:dPt>
          <c:dPt>
            <c:idx val="2"/>
            <c:bubble3D val="0"/>
            <c:spPr>
              <a:solidFill>
                <a:schemeClr val="tx1">
                  <a:lumMod val="50000"/>
                  <a:lumOff val="50000"/>
                </a:schemeClr>
              </a:solidFill>
            </c:spPr>
            <c:extLst>
              <c:ext xmlns:c16="http://schemas.microsoft.com/office/drawing/2014/chart" uri="{C3380CC4-5D6E-409C-BE32-E72D297353CC}">
                <c16:uniqueId val="{00000002-D58D-436D-AA85-282075EBDEBE}"/>
              </c:ext>
            </c:extLst>
          </c:dPt>
          <c:dPt>
            <c:idx val="3"/>
            <c:bubble3D val="0"/>
            <c:spPr>
              <a:solidFill>
                <a:srgbClr val="FFC000"/>
              </a:solidFill>
            </c:spPr>
            <c:extLst>
              <c:ext xmlns:c16="http://schemas.microsoft.com/office/drawing/2014/chart" uri="{C3380CC4-5D6E-409C-BE32-E72D297353CC}">
                <c16:uniqueId val="{00000003-D58D-436D-AA85-282075EBDEBE}"/>
              </c:ext>
            </c:extLst>
          </c:dPt>
          <c:dPt>
            <c:idx val="4"/>
            <c:bubble3D val="0"/>
            <c:spPr>
              <a:solidFill>
                <a:srgbClr val="00B050"/>
              </a:solidFill>
            </c:spPr>
            <c:extLst>
              <c:ext xmlns:c16="http://schemas.microsoft.com/office/drawing/2014/chart" uri="{C3380CC4-5D6E-409C-BE32-E72D297353CC}">
                <c16:uniqueId val="{00000004-D58D-436D-AA85-282075EBDEBE}"/>
              </c:ext>
            </c:extLst>
          </c:dPt>
          <c:dPt>
            <c:idx val="5"/>
            <c:bubble3D val="0"/>
            <c:spPr>
              <a:solidFill>
                <a:srgbClr val="FFFF00"/>
              </a:solidFill>
            </c:spPr>
            <c:extLst>
              <c:ext xmlns:c16="http://schemas.microsoft.com/office/drawing/2014/chart" uri="{C3380CC4-5D6E-409C-BE32-E72D297353CC}">
                <c16:uniqueId val="{00000005-D58D-436D-AA85-282075EBDEBE}"/>
              </c:ext>
            </c:extLst>
          </c:dPt>
          <c:dPt>
            <c:idx val="6"/>
            <c:bubble3D val="0"/>
            <c:spPr>
              <a:solidFill>
                <a:srgbClr val="FF0000"/>
              </a:solidFill>
            </c:spPr>
            <c:extLst>
              <c:ext xmlns:c16="http://schemas.microsoft.com/office/drawing/2014/chart" uri="{C3380CC4-5D6E-409C-BE32-E72D297353CC}">
                <c16:uniqueId val="{00000006-D58D-436D-AA85-282075EBDEBE}"/>
              </c:ext>
            </c:extLst>
          </c:dPt>
          <c:dPt>
            <c:idx val="7"/>
            <c:bubble3D val="0"/>
            <c:spPr>
              <a:solidFill>
                <a:srgbClr val="7030A0"/>
              </a:solidFill>
            </c:spPr>
            <c:extLst>
              <c:ext xmlns:c16="http://schemas.microsoft.com/office/drawing/2014/chart" uri="{C3380CC4-5D6E-409C-BE32-E72D297353CC}">
                <c16:uniqueId val="{00000007-D58D-436D-AA85-282075EBDEBE}"/>
              </c:ext>
            </c:extLst>
          </c:dPt>
          <c:cat>
            <c:strRef>
              <c:f>OB!$B$46:$B$53</c:f>
              <c:strCache>
                <c:ptCount val="8"/>
                <c:pt idx="0">
                  <c:v>Aggregate</c:v>
                </c:pt>
                <c:pt idx="1">
                  <c:v>Asphalt</c:v>
                </c:pt>
                <c:pt idx="2">
                  <c:v>Steel</c:v>
                </c:pt>
                <c:pt idx="3">
                  <c:v>Cement and Concrete</c:v>
                </c:pt>
                <c:pt idx="4">
                  <c:v>Wood</c:v>
                </c:pt>
                <c:pt idx="5">
                  <c:v>Aluminium</c:v>
                </c:pt>
                <c:pt idx="6">
                  <c:v>Brick</c:v>
                </c:pt>
                <c:pt idx="7">
                  <c:v>Plastic</c:v>
                </c:pt>
              </c:strCache>
            </c:strRef>
          </c:cat>
          <c:val>
            <c:numRef>
              <c:f>OB!$E$46:$E$53</c:f>
              <c:numCache>
                <c:formatCode>_-* #,##0_-;\-* #,##0_-;_-* "-"??_-;_-@_-</c:formatCode>
                <c:ptCount val="8"/>
                <c:pt idx="0">
                  <c:v>0</c:v>
                </c:pt>
                <c:pt idx="1">
                  <c:v>0</c:v>
                </c:pt>
                <c:pt idx="2">
                  <c:v>0</c:v>
                </c:pt>
                <c:pt idx="3">
                  <c:v>0</c:v>
                </c:pt>
                <c:pt idx="4" formatCode="_(* #,##0.00_);_(* \(#,##0.00\);_(* &quot;-&quot;??_);_(@_)">
                  <c:v>0.53110000000000002</c:v>
                </c:pt>
                <c:pt idx="5">
                  <c:v>0</c:v>
                </c:pt>
                <c:pt idx="6">
                  <c:v>0</c:v>
                </c:pt>
                <c:pt idx="7">
                  <c:v>0</c:v>
                </c:pt>
              </c:numCache>
            </c:numRef>
          </c:val>
          <c:extLst>
            <c:ext xmlns:c16="http://schemas.microsoft.com/office/drawing/2014/chart" uri="{C3380CC4-5D6E-409C-BE32-E72D297353CC}">
              <c16:uniqueId val="{00000000-DE88-42A4-851D-8AC7AF14A80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PUP!$B$6:$B$7</c:f>
              <c:strCache>
                <c:ptCount val="2"/>
                <c:pt idx="0">
                  <c:v>S03D - Pedestrian Underpass</c:v>
                </c:pt>
                <c:pt idx="1">
                  <c:v>S06 - Ballymakeery Underbridge</c:v>
                </c:pt>
              </c:strCache>
            </c:strRef>
          </c:cat>
          <c:val>
            <c:numRef>
              <c:f>PUP!$D$6:$D$7</c:f>
              <c:numCache>
                <c:formatCode>0</c:formatCode>
                <c:ptCount val="2"/>
                <c:pt idx="0">
                  <c:v>153.82420000000002</c:v>
                </c:pt>
                <c:pt idx="1">
                  <c:v>289.71329999999995</c:v>
                </c:pt>
              </c:numCache>
            </c:numRef>
          </c:val>
          <c:extLst>
            <c:ext xmlns:c16="http://schemas.microsoft.com/office/drawing/2014/chart" uri="{C3380CC4-5D6E-409C-BE32-E72D297353CC}">
              <c16:uniqueId val="{00000000-5651-4CA6-80A1-A28BA021C64F}"/>
            </c:ext>
          </c:extLst>
        </c:ser>
        <c:dLbls>
          <c:showLegendKey val="0"/>
          <c:showVal val="0"/>
          <c:showCatName val="0"/>
          <c:showSerName val="0"/>
          <c:showPercent val="0"/>
          <c:showBubbleSize val="0"/>
        </c:dLbls>
        <c:gapWidth val="182"/>
        <c:axId val="1408237487"/>
        <c:axId val="684474671"/>
      </c:barChart>
      <c:catAx>
        <c:axId val="140823748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474671"/>
        <c:crosses val="autoZero"/>
        <c:auto val="1"/>
        <c:lblAlgn val="ctr"/>
        <c:lblOffset val="100"/>
        <c:noMultiLvlLbl val="0"/>
      </c:catAx>
      <c:valAx>
        <c:axId val="6844746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08237487"/>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611579700436996"/>
          <c:y val="0.14220465387579942"/>
          <c:w val="0.65169258500518501"/>
          <c:h val="0.5652682421634363"/>
        </c:manualLayout>
      </c:layout>
      <c:barChart>
        <c:barDir val="bar"/>
        <c:grouping val="clustered"/>
        <c:varyColors val="0"/>
        <c:ser>
          <c:idx val="0"/>
          <c:order val="0"/>
          <c:tx>
            <c:strRef>
              <c:f>PUP!$B$6</c:f>
              <c:strCache>
                <c:ptCount val="1"/>
                <c:pt idx="0">
                  <c:v>S03D - Pedestrian Underpass</c:v>
                </c:pt>
              </c:strCache>
            </c:strRef>
          </c:tx>
          <c:spPr>
            <a:solidFill>
              <a:srgbClr val="59A089"/>
            </a:solidFill>
            <a:ln>
              <a:noFill/>
            </a:ln>
            <a:effectLst/>
          </c:spPr>
          <c:invertIfNegative val="0"/>
          <c:cat>
            <c:strRef>
              <c:f>PUP!$I$5:$N$5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PUP!$I$6:$N$6</c:f>
              <c:numCache>
                <c:formatCode>0.0</c:formatCode>
                <c:ptCount val="6"/>
                <c:pt idx="0">
                  <c:v>122.52420000000001</c:v>
                </c:pt>
                <c:pt idx="1">
                  <c:v>9.9</c:v>
                </c:pt>
                <c:pt idx="2">
                  <c:v>15.4</c:v>
                </c:pt>
                <c:pt idx="3">
                  <c:v>6</c:v>
                </c:pt>
                <c:pt idx="4" formatCode="0.00">
                  <c:v>9.7600000000000006E-2</c:v>
                </c:pt>
                <c:pt idx="5">
                  <c:v>0</c:v>
                </c:pt>
              </c:numCache>
            </c:numRef>
          </c:val>
          <c:extLst>
            <c:ext xmlns:c16="http://schemas.microsoft.com/office/drawing/2014/chart" uri="{C3380CC4-5D6E-409C-BE32-E72D297353CC}">
              <c16:uniqueId val="{00000000-A15F-485E-8F08-9922352829B4}"/>
            </c:ext>
          </c:extLst>
        </c:ser>
        <c:ser>
          <c:idx val="1"/>
          <c:order val="1"/>
          <c:tx>
            <c:strRef>
              <c:f>PUP!$B$7</c:f>
              <c:strCache>
                <c:ptCount val="1"/>
                <c:pt idx="0">
                  <c:v>S06 - Ballymakeery Underbridge</c:v>
                </c:pt>
              </c:strCache>
            </c:strRef>
          </c:tx>
          <c:spPr>
            <a:solidFill>
              <a:srgbClr val="FFC000"/>
            </a:solidFill>
            <a:ln>
              <a:noFill/>
            </a:ln>
            <a:effectLst/>
          </c:spPr>
          <c:invertIfNegative val="0"/>
          <c:cat>
            <c:strRef>
              <c:f>PUP!$I$5:$N$5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PUP!$I$7:$N$7</c:f>
              <c:numCache>
                <c:formatCode>0.0</c:formatCode>
                <c:ptCount val="6"/>
                <c:pt idx="0">
                  <c:v>244.11329999999998</c:v>
                </c:pt>
                <c:pt idx="1">
                  <c:v>9.6</c:v>
                </c:pt>
                <c:pt idx="2">
                  <c:v>27.8</c:v>
                </c:pt>
                <c:pt idx="3">
                  <c:v>8.1999999999999993</c:v>
                </c:pt>
                <c:pt idx="4" formatCode="0.00">
                  <c:v>6.9800000000000001E-2</c:v>
                </c:pt>
                <c:pt idx="5">
                  <c:v>0</c:v>
                </c:pt>
              </c:numCache>
            </c:numRef>
          </c:val>
          <c:extLst>
            <c:ext xmlns:c16="http://schemas.microsoft.com/office/drawing/2014/chart" uri="{C3380CC4-5D6E-409C-BE32-E72D297353CC}">
              <c16:uniqueId val="{00000000-8F6D-441F-A0C9-18341CAB00F3}"/>
            </c:ext>
          </c:extLst>
        </c:ser>
        <c:dLbls>
          <c:showLegendKey val="0"/>
          <c:showVal val="0"/>
          <c:showCatName val="0"/>
          <c:showSerName val="0"/>
          <c:showPercent val="0"/>
          <c:showBubbleSize val="0"/>
        </c:dLbls>
        <c:gapWidth val="182"/>
        <c:axId val="862064799"/>
        <c:axId val="684593615"/>
      </c:barChart>
      <c:catAx>
        <c:axId val="8620647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593615"/>
        <c:crosses val="autoZero"/>
        <c:auto val="1"/>
        <c:lblAlgn val="ctr"/>
        <c:lblOffset val="100"/>
        <c:noMultiLvlLbl val="0"/>
      </c:catAx>
      <c:valAx>
        <c:axId val="6845936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layout>
            <c:manualLayout>
              <c:xMode val="edge"/>
              <c:yMode val="edge"/>
              <c:x val="0.5202638573440066"/>
              <c:y val="0.798173328452685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2064799"/>
        <c:crosses val="autoZero"/>
        <c:crossBetween val="between"/>
      </c:valAx>
      <c:spPr>
        <a:noFill/>
        <a:ln>
          <a:noFill/>
        </a:ln>
        <a:effectLst/>
      </c:spPr>
    </c:plotArea>
    <c:legend>
      <c:legendPos val="r"/>
      <c:layout>
        <c:manualLayout>
          <c:xMode val="edge"/>
          <c:yMode val="edge"/>
          <c:x val="0"/>
          <c:y val="0.83862132128646727"/>
          <c:w val="1"/>
          <c:h val="0.159449855812583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2-63BE-4820-9367-14AA38A7E56E}"/>
              </c:ext>
            </c:extLst>
          </c:dPt>
          <c:dPt>
            <c:idx val="1"/>
            <c:bubble3D val="0"/>
            <c:spPr>
              <a:solidFill>
                <a:srgbClr val="0070C0"/>
              </a:solidFill>
            </c:spPr>
            <c:extLst>
              <c:ext xmlns:c16="http://schemas.microsoft.com/office/drawing/2014/chart" uri="{C3380CC4-5D6E-409C-BE32-E72D297353CC}">
                <c16:uniqueId val="{00000003-63BE-4820-9367-14AA38A7E56E}"/>
              </c:ext>
            </c:extLst>
          </c:dPt>
          <c:dPt>
            <c:idx val="2"/>
            <c:bubble3D val="0"/>
            <c:spPr>
              <a:solidFill>
                <a:schemeClr val="tx1">
                  <a:lumMod val="50000"/>
                  <a:lumOff val="50000"/>
                </a:schemeClr>
              </a:solidFill>
            </c:spPr>
            <c:extLst>
              <c:ext xmlns:c16="http://schemas.microsoft.com/office/drawing/2014/chart" uri="{C3380CC4-5D6E-409C-BE32-E72D297353CC}">
                <c16:uniqueId val="{00000004-63BE-4820-9367-14AA38A7E56E}"/>
              </c:ext>
            </c:extLst>
          </c:dPt>
          <c:dPt>
            <c:idx val="3"/>
            <c:bubble3D val="0"/>
            <c:spPr>
              <a:solidFill>
                <a:srgbClr val="FFC000"/>
              </a:solidFill>
            </c:spPr>
            <c:extLst>
              <c:ext xmlns:c16="http://schemas.microsoft.com/office/drawing/2014/chart" uri="{C3380CC4-5D6E-409C-BE32-E72D297353CC}">
                <c16:uniqueId val="{00000005-63BE-4820-9367-14AA38A7E56E}"/>
              </c:ext>
            </c:extLst>
          </c:dPt>
          <c:dPt>
            <c:idx val="4"/>
            <c:bubble3D val="0"/>
            <c:spPr>
              <a:solidFill>
                <a:srgbClr val="00B050"/>
              </a:solidFill>
            </c:spPr>
            <c:extLst>
              <c:ext xmlns:c16="http://schemas.microsoft.com/office/drawing/2014/chart" uri="{C3380CC4-5D6E-409C-BE32-E72D297353CC}">
                <c16:uniqueId val="{00000006-63BE-4820-9367-14AA38A7E56E}"/>
              </c:ext>
            </c:extLst>
          </c:dPt>
          <c:dPt>
            <c:idx val="5"/>
            <c:bubble3D val="0"/>
            <c:spPr>
              <a:solidFill>
                <a:srgbClr val="FFFF00"/>
              </a:solidFill>
            </c:spPr>
            <c:extLst>
              <c:ext xmlns:c16="http://schemas.microsoft.com/office/drawing/2014/chart" uri="{C3380CC4-5D6E-409C-BE32-E72D297353CC}">
                <c16:uniqueId val="{00000007-63BE-4820-9367-14AA38A7E56E}"/>
              </c:ext>
            </c:extLst>
          </c:dPt>
          <c:dPt>
            <c:idx val="6"/>
            <c:bubble3D val="0"/>
            <c:spPr>
              <a:solidFill>
                <a:srgbClr val="FF0000"/>
              </a:solidFill>
            </c:spPr>
            <c:extLst>
              <c:ext xmlns:c16="http://schemas.microsoft.com/office/drawing/2014/chart" uri="{C3380CC4-5D6E-409C-BE32-E72D297353CC}">
                <c16:uniqueId val="{00000008-63BE-4820-9367-14AA38A7E56E}"/>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01-3B50-4B94-A111-9997F37B1D61}"/>
              </c:ext>
            </c:extLst>
          </c:dPt>
          <c:cat>
            <c:strRef>
              <c:f>PUP!$B$44:$B$51</c:f>
              <c:strCache>
                <c:ptCount val="8"/>
                <c:pt idx="0">
                  <c:v>Aggregate</c:v>
                </c:pt>
                <c:pt idx="1">
                  <c:v>Asphalt</c:v>
                </c:pt>
                <c:pt idx="2">
                  <c:v>Steel</c:v>
                </c:pt>
                <c:pt idx="3">
                  <c:v>Cement and Concrete</c:v>
                </c:pt>
                <c:pt idx="4">
                  <c:v>Wood</c:v>
                </c:pt>
                <c:pt idx="5">
                  <c:v>Aluminium</c:v>
                </c:pt>
                <c:pt idx="6">
                  <c:v>Brick</c:v>
                </c:pt>
                <c:pt idx="7">
                  <c:v>Plastic</c:v>
                </c:pt>
              </c:strCache>
            </c:strRef>
          </c:cat>
          <c:val>
            <c:numRef>
              <c:f>PUP!$C$44:$C$51</c:f>
              <c:numCache>
                <c:formatCode>_-* #,##0_-;\-* #,##0_-;_-* "-"??_-;_-@_-</c:formatCode>
                <c:ptCount val="8"/>
                <c:pt idx="0">
                  <c:v>11.5212</c:v>
                </c:pt>
                <c:pt idx="1">
                  <c:v>0</c:v>
                </c:pt>
                <c:pt idx="2">
                  <c:v>44.121099999999998</c:v>
                </c:pt>
                <c:pt idx="3">
                  <c:v>307.65789999999998</c:v>
                </c:pt>
                <c:pt idx="4">
                  <c:v>1.9366999999999999</c:v>
                </c:pt>
                <c:pt idx="5">
                  <c:v>0</c:v>
                </c:pt>
                <c:pt idx="6">
                  <c:v>0</c:v>
                </c:pt>
                <c:pt idx="7">
                  <c:v>1.4006000000000001</c:v>
                </c:pt>
              </c:numCache>
            </c:numRef>
          </c:val>
          <c:extLst>
            <c:ext xmlns:c16="http://schemas.microsoft.com/office/drawing/2014/chart" uri="{C3380CC4-5D6E-409C-BE32-E72D297353CC}">
              <c16:uniqueId val="{00000004-83CA-4523-AA33-B17DDD472B1E}"/>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E834-463C-AAB0-92E8064CA802}"/>
              </c:ext>
            </c:extLst>
          </c:dPt>
          <c:dPt>
            <c:idx val="1"/>
            <c:bubble3D val="0"/>
            <c:spPr>
              <a:solidFill>
                <a:srgbClr val="0070C0"/>
              </a:solidFill>
            </c:spPr>
            <c:extLst>
              <c:ext xmlns:c16="http://schemas.microsoft.com/office/drawing/2014/chart" uri="{C3380CC4-5D6E-409C-BE32-E72D297353CC}">
                <c16:uniqueId val="{00000001-E834-463C-AAB0-92E8064CA802}"/>
              </c:ext>
            </c:extLst>
          </c:dPt>
          <c:dPt>
            <c:idx val="2"/>
            <c:bubble3D val="0"/>
            <c:spPr>
              <a:solidFill>
                <a:schemeClr val="tx1">
                  <a:lumMod val="50000"/>
                  <a:lumOff val="50000"/>
                </a:schemeClr>
              </a:solidFill>
            </c:spPr>
            <c:extLst>
              <c:ext xmlns:c16="http://schemas.microsoft.com/office/drawing/2014/chart" uri="{C3380CC4-5D6E-409C-BE32-E72D297353CC}">
                <c16:uniqueId val="{00000002-E834-463C-AAB0-92E8064CA802}"/>
              </c:ext>
            </c:extLst>
          </c:dPt>
          <c:dPt>
            <c:idx val="3"/>
            <c:bubble3D val="0"/>
            <c:spPr>
              <a:solidFill>
                <a:srgbClr val="FFC000"/>
              </a:solidFill>
            </c:spPr>
            <c:extLst>
              <c:ext xmlns:c16="http://schemas.microsoft.com/office/drawing/2014/chart" uri="{C3380CC4-5D6E-409C-BE32-E72D297353CC}">
                <c16:uniqueId val="{00000003-E834-463C-AAB0-92E8064CA802}"/>
              </c:ext>
            </c:extLst>
          </c:dPt>
          <c:dPt>
            <c:idx val="4"/>
            <c:bubble3D val="0"/>
            <c:spPr>
              <a:solidFill>
                <a:srgbClr val="00B050"/>
              </a:solidFill>
            </c:spPr>
            <c:extLst>
              <c:ext xmlns:c16="http://schemas.microsoft.com/office/drawing/2014/chart" uri="{C3380CC4-5D6E-409C-BE32-E72D297353CC}">
                <c16:uniqueId val="{00000004-E834-463C-AAB0-92E8064CA802}"/>
              </c:ext>
            </c:extLst>
          </c:dPt>
          <c:dPt>
            <c:idx val="5"/>
            <c:bubble3D val="0"/>
            <c:spPr>
              <a:solidFill>
                <a:srgbClr val="FFFF00"/>
              </a:solidFill>
            </c:spPr>
            <c:extLst>
              <c:ext xmlns:c16="http://schemas.microsoft.com/office/drawing/2014/chart" uri="{C3380CC4-5D6E-409C-BE32-E72D297353CC}">
                <c16:uniqueId val="{00000005-E834-463C-AAB0-92E8064CA802}"/>
              </c:ext>
            </c:extLst>
          </c:dPt>
          <c:dPt>
            <c:idx val="6"/>
            <c:bubble3D val="0"/>
            <c:spPr>
              <a:solidFill>
                <a:srgbClr val="FF0000"/>
              </a:solidFill>
            </c:spPr>
            <c:extLst>
              <c:ext xmlns:c16="http://schemas.microsoft.com/office/drawing/2014/chart" uri="{C3380CC4-5D6E-409C-BE32-E72D297353CC}">
                <c16:uniqueId val="{00000006-E834-463C-AAB0-92E8064CA802}"/>
              </c:ext>
            </c:extLst>
          </c:dPt>
          <c:dPt>
            <c:idx val="7"/>
            <c:bubble3D val="0"/>
            <c:spPr>
              <a:solidFill>
                <a:srgbClr val="7030A0"/>
              </a:solidFill>
            </c:spPr>
            <c:extLst>
              <c:ext xmlns:c16="http://schemas.microsoft.com/office/drawing/2014/chart" uri="{C3380CC4-5D6E-409C-BE32-E72D297353CC}">
                <c16:uniqueId val="{00000007-E834-463C-AAB0-92E8064CA802}"/>
              </c:ext>
            </c:extLst>
          </c:dPt>
          <c:cat>
            <c:strRef>
              <c:f>PUP!$B$44:$B$51</c:f>
              <c:strCache>
                <c:ptCount val="8"/>
                <c:pt idx="0">
                  <c:v>Aggregate</c:v>
                </c:pt>
                <c:pt idx="1">
                  <c:v>Asphalt</c:v>
                </c:pt>
                <c:pt idx="2">
                  <c:v>Steel</c:v>
                </c:pt>
                <c:pt idx="3">
                  <c:v>Cement and Concrete</c:v>
                </c:pt>
                <c:pt idx="4">
                  <c:v>Wood</c:v>
                </c:pt>
                <c:pt idx="5">
                  <c:v>Aluminium</c:v>
                </c:pt>
                <c:pt idx="6">
                  <c:v>Brick</c:v>
                </c:pt>
                <c:pt idx="7">
                  <c:v>Plastic</c:v>
                </c:pt>
              </c:strCache>
            </c:strRef>
          </c:cat>
          <c:val>
            <c:numRef>
              <c:f>PUP!$E$44:$E$51</c:f>
              <c:numCache>
                <c:formatCode>_-* #,##0_-;\-* #,##0_-;_-* "-"??_-;_-@_-</c:formatCode>
                <c:ptCount val="8"/>
                <c:pt idx="0">
                  <c:v>0</c:v>
                </c:pt>
                <c:pt idx="1">
                  <c:v>0</c:v>
                </c:pt>
                <c:pt idx="2">
                  <c:v>0</c:v>
                </c:pt>
                <c:pt idx="3">
                  <c:v>0</c:v>
                </c:pt>
                <c:pt idx="4" formatCode="_(* #,##0.00_);_(* \(#,##0.00\);_(* &quot;-&quot;??_);_(@_)">
                  <c:v>0.16739999999999999</c:v>
                </c:pt>
                <c:pt idx="5">
                  <c:v>0</c:v>
                </c:pt>
                <c:pt idx="6">
                  <c:v>0</c:v>
                </c:pt>
                <c:pt idx="7">
                  <c:v>0</c:v>
                </c:pt>
              </c:numCache>
            </c:numRef>
          </c:val>
          <c:extLst>
            <c:ext xmlns:c16="http://schemas.microsoft.com/office/drawing/2014/chart" uri="{C3380CC4-5D6E-409C-BE32-E72D297353CC}">
              <c16:uniqueId val="{00000000-EF7F-46DB-A157-45EBB69D96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SR!$B$6</c:f>
              <c:strCache>
                <c:ptCount val="1"/>
                <c:pt idx="0">
                  <c:v>Side roads</c:v>
                </c:pt>
              </c:strCache>
            </c:strRef>
          </c:cat>
          <c:val>
            <c:numRef>
              <c:f>SR!$D$6</c:f>
              <c:numCache>
                <c:formatCode>0</c:formatCode>
                <c:ptCount val="1"/>
                <c:pt idx="0">
                  <c:v>1605.4286999999999</c:v>
                </c:pt>
              </c:numCache>
            </c:numRef>
          </c:val>
          <c:extLst>
            <c:ext xmlns:c16="http://schemas.microsoft.com/office/drawing/2014/chart" uri="{C3380CC4-5D6E-409C-BE32-E72D297353CC}">
              <c16:uniqueId val="{00000000-6A25-4B99-B312-2FD8895F16AC}"/>
            </c:ext>
          </c:extLst>
        </c:ser>
        <c:dLbls>
          <c:showLegendKey val="0"/>
          <c:showVal val="0"/>
          <c:showCatName val="0"/>
          <c:showSerName val="0"/>
          <c:showPercent val="0"/>
          <c:showBubbleSize val="0"/>
        </c:dLbls>
        <c:gapWidth val="182"/>
        <c:axId val="1408237487"/>
        <c:axId val="684474671"/>
      </c:barChart>
      <c:catAx>
        <c:axId val="140823748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ysClr val="windowText" lastClr="000000"/>
                    </a:solidFill>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474671"/>
        <c:crosses val="autoZero"/>
        <c:auto val="1"/>
        <c:lblAlgn val="ctr"/>
        <c:lblOffset val="100"/>
        <c:noMultiLvlLbl val="0"/>
      </c:catAx>
      <c:valAx>
        <c:axId val="6844746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08237487"/>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496452939145934"/>
          <c:y val="0.14765173295219411"/>
          <c:w val="0.6550529695446704"/>
          <c:h val="0.62363831879209441"/>
        </c:manualLayout>
      </c:layout>
      <c:barChart>
        <c:barDir val="bar"/>
        <c:grouping val="clustered"/>
        <c:varyColors val="0"/>
        <c:ser>
          <c:idx val="0"/>
          <c:order val="0"/>
          <c:tx>
            <c:strRef>
              <c:f>SR!$B$6</c:f>
              <c:strCache>
                <c:ptCount val="1"/>
                <c:pt idx="0">
                  <c:v>Side roads</c:v>
                </c:pt>
              </c:strCache>
            </c:strRef>
          </c:tx>
          <c:spPr>
            <a:solidFill>
              <a:srgbClr val="59A089"/>
            </a:solidFill>
            <a:ln>
              <a:noFill/>
            </a:ln>
            <a:effectLst/>
          </c:spPr>
          <c:invertIfNegative val="0"/>
          <c:cat>
            <c:strRef>
              <c:f>SR!$G$5:$L$5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SR!$G$6:$L$6</c:f>
              <c:numCache>
                <c:formatCode>0</c:formatCode>
                <c:ptCount val="6"/>
                <c:pt idx="0">
                  <c:v>526.12869999999998</c:v>
                </c:pt>
                <c:pt idx="1">
                  <c:v>68.3</c:v>
                </c:pt>
                <c:pt idx="2">
                  <c:v>886.2</c:v>
                </c:pt>
                <c:pt idx="3">
                  <c:v>124.8</c:v>
                </c:pt>
                <c:pt idx="4">
                  <c:v>757.44310000000007</c:v>
                </c:pt>
                <c:pt idx="5">
                  <c:v>0</c:v>
                </c:pt>
              </c:numCache>
            </c:numRef>
          </c:val>
          <c:extLst>
            <c:ext xmlns:c16="http://schemas.microsoft.com/office/drawing/2014/chart" uri="{C3380CC4-5D6E-409C-BE32-E72D297353CC}">
              <c16:uniqueId val="{00000000-68B7-45A3-BE52-7E2BBAC86975}"/>
            </c:ext>
          </c:extLst>
        </c:ser>
        <c:dLbls>
          <c:showLegendKey val="0"/>
          <c:showVal val="0"/>
          <c:showCatName val="0"/>
          <c:showSerName val="0"/>
          <c:showPercent val="0"/>
          <c:showBubbleSize val="0"/>
        </c:dLbls>
        <c:gapWidth val="182"/>
        <c:axId val="862064799"/>
        <c:axId val="684593615"/>
      </c:barChart>
      <c:catAx>
        <c:axId val="8620647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93615"/>
        <c:crosses val="autoZero"/>
        <c:auto val="1"/>
        <c:lblAlgn val="ctr"/>
        <c:lblOffset val="100"/>
        <c:noMultiLvlLbl val="0"/>
      </c:catAx>
      <c:valAx>
        <c:axId val="6845936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2064799"/>
        <c:crosses val="autoZero"/>
        <c:crossBetween val="between"/>
      </c:valAx>
      <c:spPr>
        <a:noFill/>
        <a:ln>
          <a:noFill/>
        </a:ln>
        <a:effectLst/>
      </c:spPr>
    </c:plotArea>
    <c:legend>
      <c:legendPos val="r"/>
      <c:layout>
        <c:manualLayout>
          <c:xMode val="edge"/>
          <c:yMode val="edge"/>
          <c:x val="0.55101781916580606"/>
          <c:y val="0.91355737716005125"/>
          <c:w val="0.12609030682037919"/>
          <c:h val="6.523477517626777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4C30-4321-909B-F5F3A5A4B2AC}"/>
              </c:ext>
            </c:extLst>
          </c:dPt>
          <c:dPt>
            <c:idx val="1"/>
            <c:bubble3D val="0"/>
            <c:spPr>
              <a:solidFill>
                <a:srgbClr val="0070C0"/>
              </a:solidFill>
            </c:spPr>
            <c:extLst>
              <c:ext xmlns:c16="http://schemas.microsoft.com/office/drawing/2014/chart" uri="{C3380CC4-5D6E-409C-BE32-E72D297353CC}">
                <c16:uniqueId val="{00000001-4C30-4321-909B-F5F3A5A4B2AC}"/>
              </c:ext>
            </c:extLst>
          </c:dPt>
          <c:dPt>
            <c:idx val="2"/>
            <c:bubble3D val="0"/>
            <c:spPr>
              <a:solidFill>
                <a:schemeClr val="tx1">
                  <a:lumMod val="50000"/>
                  <a:lumOff val="50000"/>
                </a:schemeClr>
              </a:solidFill>
            </c:spPr>
            <c:extLst>
              <c:ext xmlns:c16="http://schemas.microsoft.com/office/drawing/2014/chart" uri="{C3380CC4-5D6E-409C-BE32-E72D297353CC}">
                <c16:uniqueId val="{00000002-4C30-4321-909B-F5F3A5A4B2AC}"/>
              </c:ext>
            </c:extLst>
          </c:dPt>
          <c:dPt>
            <c:idx val="3"/>
            <c:bubble3D val="0"/>
            <c:spPr>
              <a:solidFill>
                <a:srgbClr val="FFC000"/>
              </a:solidFill>
            </c:spPr>
            <c:extLst>
              <c:ext xmlns:c16="http://schemas.microsoft.com/office/drawing/2014/chart" uri="{C3380CC4-5D6E-409C-BE32-E72D297353CC}">
                <c16:uniqueId val="{00000003-4C30-4321-909B-F5F3A5A4B2AC}"/>
              </c:ext>
            </c:extLst>
          </c:dPt>
          <c:dPt>
            <c:idx val="4"/>
            <c:bubble3D val="0"/>
            <c:spPr>
              <a:solidFill>
                <a:srgbClr val="00B050"/>
              </a:solidFill>
            </c:spPr>
            <c:extLst>
              <c:ext xmlns:c16="http://schemas.microsoft.com/office/drawing/2014/chart" uri="{C3380CC4-5D6E-409C-BE32-E72D297353CC}">
                <c16:uniqueId val="{00000004-4C30-4321-909B-F5F3A5A4B2AC}"/>
              </c:ext>
            </c:extLst>
          </c:dPt>
          <c:dPt>
            <c:idx val="5"/>
            <c:bubble3D val="0"/>
            <c:spPr>
              <a:solidFill>
                <a:srgbClr val="FFFF00"/>
              </a:solidFill>
            </c:spPr>
            <c:extLst>
              <c:ext xmlns:c16="http://schemas.microsoft.com/office/drawing/2014/chart" uri="{C3380CC4-5D6E-409C-BE32-E72D297353CC}">
                <c16:uniqueId val="{00000005-4C30-4321-909B-F5F3A5A4B2AC}"/>
              </c:ext>
            </c:extLst>
          </c:dPt>
          <c:dPt>
            <c:idx val="6"/>
            <c:bubble3D val="0"/>
            <c:spPr>
              <a:solidFill>
                <a:srgbClr val="FF0000"/>
              </a:solidFill>
            </c:spPr>
            <c:extLst>
              <c:ext xmlns:c16="http://schemas.microsoft.com/office/drawing/2014/chart" uri="{C3380CC4-5D6E-409C-BE32-E72D297353CC}">
                <c16:uniqueId val="{00000006-4C30-4321-909B-F5F3A5A4B2AC}"/>
              </c:ext>
            </c:extLst>
          </c:dPt>
          <c:dPt>
            <c:idx val="7"/>
            <c:bubble3D val="0"/>
            <c:spPr>
              <a:solidFill>
                <a:srgbClr val="7030A0"/>
              </a:solidFill>
            </c:spPr>
            <c:extLst>
              <c:ext xmlns:c16="http://schemas.microsoft.com/office/drawing/2014/chart" uri="{C3380CC4-5D6E-409C-BE32-E72D297353CC}">
                <c16:uniqueId val="{00000007-4C30-4321-909B-F5F3A5A4B2AC}"/>
              </c:ext>
            </c:extLst>
          </c:dPt>
          <c:cat>
            <c:strRef>
              <c:f>M!$B$48:$B$55</c:f>
              <c:strCache>
                <c:ptCount val="8"/>
                <c:pt idx="0">
                  <c:v>Aggregate</c:v>
                </c:pt>
                <c:pt idx="1">
                  <c:v>Asphalt</c:v>
                </c:pt>
                <c:pt idx="2">
                  <c:v>Steel</c:v>
                </c:pt>
                <c:pt idx="3">
                  <c:v>Cement and Concrete</c:v>
                </c:pt>
                <c:pt idx="4">
                  <c:v>Wood</c:v>
                </c:pt>
                <c:pt idx="5">
                  <c:v>Aluminium</c:v>
                </c:pt>
                <c:pt idx="6">
                  <c:v>Brick</c:v>
                </c:pt>
                <c:pt idx="7">
                  <c:v>Plastic</c:v>
                </c:pt>
              </c:strCache>
            </c:strRef>
          </c:cat>
          <c:val>
            <c:numRef>
              <c:f>SR!$C$37:$C$44</c:f>
              <c:numCache>
                <c:formatCode>_-* #,##0_-;\-* #,##0_-;_-* "-"??_-;_-@_-</c:formatCode>
                <c:ptCount val="8"/>
                <c:pt idx="0">
                  <c:v>62.980699999999999</c:v>
                </c:pt>
                <c:pt idx="1">
                  <c:v>338.2201</c:v>
                </c:pt>
                <c:pt idx="2">
                  <c:v>0</c:v>
                </c:pt>
                <c:pt idx="3">
                  <c:v>57.788599999999995</c:v>
                </c:pt>
                <c:pt idx="4">
                  <c:v>0</c:v>
                </c:pt>
                <c:pt idx="5">
                  <c:v>0</c:v>
                </c:pt>
                <c:pt idx="6">
                  <c:v>14.195399999999999</c:v>
                </c:pt>
                <c:pt idx="7">
                  <c:v>52.943899999999999</c:v>
                </c:pt>
              </c:numCache>
            </c:numRef>
          </c:val>
          <c:extLst>
            <c:ext xmlns:c16="http://schemas.microsoft.com/office/drawing/2014/chart" uri="{C3380CC4-5D6E-409C-BE32-E72D297353CC}">
              <c16:uniqueId val="{00000011-308C-447C-8DE1-252FE4679CE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B2A3-4EAC-9088-FE0A04664512}"/>
              </c:ext>
            </c:extLst>
          </c:dPt>
          <c:dPt>
            <c:idx val="1"/>
            <c:bubble3D val="0"/>
            <c:spPr>
              <a:solidFill>
                <a:srgbClr val="0070C0"/>
              </a:solidFill>
            </c:spPr>
            <c:extLst>
              <c:ext xmlns:c16="http://schemas.microsoft.com/office/drawing/2014/chart" uri="{C3380CC4-5D6E-409C-BE32-E72D297353CC}">
                <c16:uniqueId val="{00000001-B2A3-4EAC-9088-FE0A04664512}"/>
              </c:ext>
            </c:extLst>
          </c:dPt>
          <c:dPt>
            <c:idx val="2"/>
            <c:bubble3D val="0"/>
            <c:spPr>
              <a:solidFill>
                <a:schemeClr val="tx1">
                  <a:lumMod val="50000"/>
                  <a:lumOff val="50000"/>
                </a:schemeClr>
              </a:solidFill>
            </c:spPr>
            <c:extLst>
              <c:ext xmlns:c16="http://schemas.microsoft.com/office/drawing/2014/chart" uri="{C3380CC4-5D6E-409C-BE32-E72D297353CC}">
                <c16:uniqueId val="{00000002-B2A3-4EAC-9088-FE0A04664512}"/>
              </c:ext>
            </c:extLst>
          </c:dPt>
          <c:dPt>
            <c:idx val="3"/>
            <c:bubble3D val="0"/>
            <c:spPr>
              <a:solidFill>
                <a:srgbClr val="FFC000"/>
              </a:solidFill>
            </c:spPr>
            <c:extLst>
              <c:ext xmlns:c16="http://schemas.microsoft.com/office/drawing/2014/chart" uri="{C3380CC4-5D6E-409C-BE32-E72D297353CC}">
                <c16:uniqueId val="{00000003-B2A3-4EAC-9088-FE0A04664512}"/>
              </c:ext>
            </c:extLst>
          </c:dPt>
          <c:dPt>
            <c:idx val="4"/>
            <c:bubble3D val="0"/>
            <c:spPr>
              <a:solidFill>
                <a:srgbClr val="00B050"/>
              </a:solidFill>
            </c:spPr>
            <c:extLst>
              <c:ext xmlns:c16="http://schemas.microsoft.com/office/drawing/2014/chart" uri="{C3380CC4-5D6E-409C-BE32-E72D297353CC}">
                <c16:uniqueId val="{00000004-B2A3-4EAC-9088-FE0A04664512}"/>
              </c:ext>
            </c:extLst>
          </c:dPt>
          <c:dPt>
            <c:idx val="5"/>
            <c:bubble3D val="0"/>
            <c:spPr>
              <a:solidFill>
                <a:srgbClr val="FFFF00"/>
              </a:solidFill>
            </c:spPr>
            <c:extLst>
              <c:ext xmlns:c16="http://schemas.microsoft.com/office/drawing/2014/chart" uri="{C3380CC4-5D6E-409C-BE32-E72D297353CC}">
                <c16:uniqueId val="{00000005-B2A3-4EAC-9088-FE0A04664512}"/>
              </c:ext>
            </c:extLst>
          </c:dPt>
          <c:dPt>
            <c:idx val="6"/>
            <c:bubble3D val="0"/>
            <c:spPr>
              <a:solidFill>
                <a:srgbClr val="FF0000"/>
              </a:solidFill>
            </c:spPr>
            <c:extLst>
              <c:ext xmlns:c16="http://schemas.microsoft.com/office/drawing/2014/chart" uri="{C3380CC4-5D6E-409C-BE32-E72D297353CC}">
                <c16:uniqueId val="{00000006-B2A3-4EAC-9088-FE0A04664512}"/>
              </c:ext>
            </c:extLst>
          </c:dPt>
          <c:dPt>
            <c:idx val="7"/>
            <c:bubble3D val="0"/>
            <c:spPr>
              <a:solidFill>
                <a:srgbClr val="7030A0"/>
              </a:solidFill>
            </c:spPr>
            <c:extLst>
              <c:ext xmlns:c16="http://schemas.microsoft.com/office/drawing/2014/chart" uri="{C3380CC4-5D6E-409C-BE32-E72D297353CC}">
                <c16:uniqueId val="{00000007-B2A3-4EAC-9088-FE0A04664512}"/>
              </c:ext>
            </c:extLst>
          </c:dPt>
          <c:cat>
            <c:strRef>
              <c:f>M!$B$48:$B$55</c:f>
              <c:strCache>
                <c:ptCount val="8"/>
                <c:pt idx="0">
                  <c:v>Aggregate</c:v>
                </c:pt>
                <c:pt idx="1">
                  <c:v>Asphalt</c:v>
                </c:pt>
                <c:pt idx="2">
                  <c:v>Steel</c:v>
                </c:pt>
                <c:pt idx="3">
                  <c:v>Cement and Concrete</c:v>
                </c:pt>
                <c:pt idx="4">
                  <c:v>Wood</c:v>
                </c:pt>
                <c:pt idx="5">
                  <c:v>Aluminium</c:v>
                </c:pt>
                <c:pt idx="6">
                  <c:v>Brick</c:v>
                </c:pt>
                <c:pt idx="7">
                  <c:v>Plastic</c:v>
                </c:pt>
              </c:strCache>
            </c:strRef>
          </c:cat>
          <c:val>
            <c:numRef>
              <c:f>SR!$E$37:$E$44</c:f>
              <c:numCache>
                <c:formatCode>_-* #,##0_-;\-* #,##0_-;_-* "-"??_-;_-@_-</c:formatCode>
                <c:ptCount val="8"/>
                <c:pt idx="0">
                  <c:v>0</c:v>
                </c:pt>
                <c:pt idx="1">
                  <c:v>746.75420000000008</c:v>
                </c:pt>
                <c:pt idx="2">
                  <c:v>0</c:v>
                </c:pt>
                <c:pt idx="3">
                  <c:v>0</c:v>
                </c:pt>
                <c:pt idx="4">
                  <c:v>0</c:v>
                </c:pt>
                <c:pt idx="5">
                  <c:v>0</c:v>
                </c:pt>
                <c:pt idx="6">
                  <c:v>0</c:v>
                </c:pt>
                <c:pt idx="7">
                  <c:v>10.6889</c:v>
                </c:pt>
              </c:numCache>
            </c:numRef>
          </c:val>
          <c:extLst>
            <c:ext xmlns:c16="http://schemas.microsoft.com/office/drawing/2014/chart" uri="{C3380CC4-5D6E-409C-BE32-E72D297353CC}">
              <c16:uniqueId val="{00000011-7D80-4C36-8CDE-2A4924AE763B}"/>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RB!$B$6:$B$9</c:f>
              <c:strCache>
                <c:ptCount val="4"/>
                <c:pt idx="0">
                  <c:v>S03 - Bohill River Bridge</c:v>
                </c:pt>
                <c:pt idx="1">
                  <c:v>S19 - Foherish Riverbridge</c:v>
                </c:pt>
                <c:pt idx="2">
                  <c:v>S26 - Laney Riverbridge</c:v>
                </c:pt>
                <c:pt idx="3">
                  <c:v>S28 Sullane Riverbridge</c:v>
                </c:pt>
              </c:strCache>
            </c:strRef>
          </c:cat>
          <c:val>
            <c:numRef>
              <c:f>RB!$D$6:$D$9</c:f>
              <c:numCache>
                <c:formatCode>0</c:formatCode>
                <c:ptCount val="4"/>
                <c:pt idx="0">
                  <c:v>5049.2831000000006</c:v>
                </c:pt>
                <c:pt idx="1">
                  <c:v>3047.0236999999993</c:v>
                </c:pt>
                <c:pt idx="2">
                  <c:v>3714.6770999999994</c:v>
                </c:pt>
                <c:pt idx="3">
                  <c:v>7434.3638999999994</c:v>
                </c:pt>
              </c:numCache>
            </c:numRef>
          </c:val>
          <c:extLst>
            <c:ext xmlns:c16="http://schemas.microsoft.com/office/drawing/2014/chart" uri="{C3380CC4-5D6E-409C-BE32-E72D297353CC}">
              <c16:uniqueId val="{00000000-9DEC-46DC-B42A-20279CC636E2}"/>
            </c:ext>
          </c:extLst>
        </c:ser>
        <c:dLbls>
          <c:showLegendKey val="0"/>
          <c:showVal val="0"/>
          <c:showCatName val="0"/>
          <c:showSerName val="0"/>
          <c:showPercent val="0"/>
          <c:showBubbleSize val="0"/>
        </c:dLbls>
        <c:gapWidth val="182"/>
        <c:axId val="888009199"/>
        <c:axId val="169741375"/>
      </c:barChart>
      <c:catAx>
        <c:axId val="8880091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9741375"/>
        <c:crosses val="autoZero"/>
        <c:auto val="1"/>
        <c:lblAlgn val="ctr"/>
        <c:lblOffset val="100"/>
        <c:noMultiLvlLbl val="0"/>
      </c:catAx>
      <c:valAx>
        <c:axId val="16974137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8009199"/>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74224733902278"/>
          <c:y val="0.14709671126699783"/>
          <c:w val="0.67919594363385161"/>
          <c:h val="0.61333781229616469"/>
        </c:manualLayout>
      </c:layout>
      <c:barChart>
        <c:barDir val="bar"/>
        <c:grouping val="clustered"/>
        <c:varyColors val="0"/>
        <c:ser>
          <c:idx val="0"/>
          <c:order val="0"/>
          <c:tx>
            <c:strRef>
              <c:f>RB!$B$6</c:f>
              <c:strCache>
                <c:ptCount val="1"/>
                <c:pt idx="0">
                  <c:v>S03 - Bohill River Bridge</c:v>
                </c:pt>
              </c:strCache>
            </c:strRef>
          </c:tx>
          <c:spPr>
            <a:solidFill>
              <a:srgbClr val="59A089"/>
            </a:solidFill>
            <a:ln>
              <a:noFill/>
            </a:ln>
            <a:effectLst/>
          </c:spPr>
          <c:invertIfNegative val="0"/>
          <c:cat>
            <c:strRef>
              <c:f>RB!$I$5:$N$5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RB!$I$6:$N$6</c:f>
              <c:numCache>
                <c:formatCode>0.0</c:formatCode>
                <c:ptCount val="6"/>
                <c:pt idx="0">
                  <c:v>4404.6831000000002</c:v>
                </c:pt>
                <c:pt idx="1">
                  <c:v>290.2</c:v>
                </c:pt>
                <c:pt idx="2">
                  <c:v>263.3</c:v>
                </c:pt>
                <c:pt idx="3">
                  <c:v>91.1</c:v>
                </c:pt>
                <c:pt idx="4" formatCode="0.00">
                  <c:v>0.20699999999999999</c:v>
                </c:pt>
                <c:pt idx="5">
                  <c:v>0</c:v>
                </c:pt>
              </c:numCache>
            </c:numRef>
          </c:val>
          <c:extLst>
            <c:ext xmlns:c16="http://schemas.microsoft.com/office/drawing/2014/chart" uri="{C3380CC4-5D6E-409C-BE32-E72D297353CC}">
              <c16:uniqueId val="{00000000-A9F7-4428-A5DA-D9A1ECE615E1}"/>
            </c:ext>
          </c:extLst>
        </c:ser>
        <c:ser>
          <c:idx val="1"/>
          <c:order val="1"/>
          <c:tx>
            <c:strRef>
              <c:f>RB!$B$7</c:f>
              <c:strCache>
                <c:ptCount val="1"/>
                <c:pt idx="0">
                  <c:v>S19 - Foherish Riverbridge</c:v>
                </c:pt>
              </c:strCache>
            </c:strRef>
          </c:tx>
          <c:spPr>
            <a:solidFill>
              <a:srgbClr val="00353E"/>
            </a:solidFill>
            <a:ln>
              <a:noFill/>
            </a:ln>
            <a:effectLst/>
          </c:spPr>
          <c:invertIfNegative val="0"/>
          <c:cat>
            <c:strRef>
              <c:f>RB!$I$5:$N$5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RB!$I$7:$N$7</c:f>
              <c:numCache>
                <c:formatCode>0.0</c:formatCode>
                <c:ptCount val="6"/>
                <c:pt idx="0">
                  <c:v>2885.3236999999995</c:v>
                </c:pt>
                <c:pt idx="1">
                  <c:v>44</c:v>
                </c:pt>
                <c:pt idx="2">
                  <c:v>77.599999999999994</c:v>
                </c:pt>
                <c:pt idx="3">
                  <c:v>40.1</c:v>
                </c:pt>
                <c:pt idx="4" formatCode="0.00">
                  <c:v>0.2611</c:v>
                </c:pt>
                <c:pt idx="5">
                  <c:v>0</c:v>
                </c:pt>
              </c:numCache>
            </c:numRef>
          </c:val>
          <c:extLst>
            <c:ext xmlns:c16="http://schemas.microsoft.com/office/drawing/2014/chart" uri="{C3380CC4-5D6E-409C-BE32-E72D297353CC}">
              <c16:uniqueId val="{00000001-A9F7-4428-A5DA-D9A1ECE615E1}"/>
            </c:ext>
          </c:extLst>
        </c:ser>
        <c:ser>
          <c:idx val="2"/>
          <c:order val="2"/>
          <c:tx>
            <c:strRef>
              <c:f>RB!$B$8</c:f>
              <c:strCache>
                <c:ptCount val="1"/>
                <c:pt idx="0">
                  <c:v>S26 - Laney Riverbridge</c:v>
                </c:pt>
              </c:strCache>
            </c:strRef>
          </c:tx>
          <c:spPr>
            <a:solidFill>
              <a:schemeClr val="accent3"/>
            </a:solidFill>
            <a:ln>
              <a:noFill/>
            </a:ln>
            <a:effectLst/>
          </c:spPr>
          <c:invertIfNegative val="0"/>
          <c:cat>
            <c:strRef>
              <c:f>RB!$I$5:$N$5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RB!$I$8:$N$8</c:f>
              <c:numCache>
                <c:formatCode>0.0</c:formatCode>
                <c:ptCount val="6"/>
                <c:pt idx="0">
                  <c:v>3531.4770999999996</c:v>
                </c:pt>
                <c:pt idx="1">
                  <c:v>38.1</c:v>
                </c:pt>
                <c:pt idx="2">
                  <c:v>104.4</c:v>
                </c:pt>
                <c:pt idx="3">
                  <c:v>40.700000000000003</c:v>
                </c:pt>
                <c:pt idx="4" formatCode="0.00">
                  <c:v>0.33139999999999997</c:v>
                </c:pt>
                <c:pt idx="5">
                  <c:v>0</c:v>
                </c:pt>
              </c:numCache>
            </c:numRef>
          </c:val>
          <c:extLst>
            <c:ext xmlns:c16="http://schemas.microsoft.com/office/drawing/2014/chart" uri="{C3380CC4-5D6E-409C-BE32-E72D297353CC}">
              <c16:uniqueId val="{00000002-A9F7-4428-A5DA-D9A1ECE615E1}"/>
            </c:ext>
          </c:extLst>
        </c:ser>
        <c:ser>
          <c:idx val="3"/>
          <c:order val="3"/>
          <c:tx>
            <c:strRef>
              <c:f>RB!$B$9</c:f>
              <c:strCache>
                <c:ptCount val="1"/>
                <c:pt idx="0">
                  <c:v>S28 Sullane Riverbridge</c:v>
                </c:pt>
              </c:strCache>
            </c:strRef>
          </c:tx>
          <c:spPr>
            <a:solidFill>
              <a:schemeClr val="accent4"/>
            </a:solidFill>
            <a:ln>
              <a:noFill/>
            </a:ln>
            <a:effectLst/>
          </c:spPr>
          <c:invertIfNegative val="0"/>
          <c:cat>
            <c:strRef>
              <c:f>RB!$I$5:$N$5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RB!$I$9:$N$9</c:f>
              <c:numCache>
                <c:formatCode>0.0</c:formatCode>
                <c:ptCount val="6"/>
                <c:pt idx="0">
                  <c:v>7161.2638999999999</c:v>
                </c:pt>
                <c:pt idx="1">
                  <c:v>59</c:v>
                </c:pt>
                <c:pt idx="2">
                  <c:v>150.19999999999999</c:v>
                </c:pt>
                <c:pt idx="3">
                  <c:v>63.9</c:v>
                </c:pt>
                <c:pt idx="4" formatCode="0.00">
                  <c:v>0.1598</c:v>
                </c:pt>
                <c:pt idx="5">
                  <c:v>0</c:v>
                </c:pt>
              </c:numCache>
            </c:numRef>
          </c:val>
          <c:extLst>
            <c:ext xmlns:c16="http://schemas.microsoft.com/office/drawing/2014/chart" uri="{C3380CC4-5D6E-409C-BE32-E72D297353CC}">
              <c16:uniqueId val="{00000003-A9F7-4428-A5DA-D9A1ECE615E1}"/>
            </c:ext>
          </c:extLst>
        </c:ser>
        <c:dLbls>
          <c:showLegendKey val="0"/>
          <c:showVal val="0"/>
          <c:showCatName val="0"/>
          <c:showSerName val="0"/>
          <c:showPercent val="0"/>
          <c:showBubbleSize val="0"/>
        </c:dLbls>
        <c:gapWidth val="182"/>
        <c:axId val="1375970703"/>
        <c:axId val="626488687"/>
      </c:barChart>
      <c:catAx>
        <c:axId val="1375970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6488687"/>
        <c:crosses val="autoZero"/>
        <c:auto val="1"/>
        <c:lblAlgn val="ctr"/>
        <c:lblOffset val="100"/>
        <c:noMultiLvlLbl val="0"/>
      </c:catAx>
      <c:valAx>
        <c:axId val="62648868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5970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4-4F9B-4611-A091-D08AAE07AD01}"/>
              </c:ext>
            </c:extLst>
          </c:dPt>
          <c:dPt>
            <c:idx val="1"/>
            <c:bubble3D val="0"/>
            <c:spPr>
              <a:solidFill>
                <a:srgbClr val="0070C0"/>
              </a:solidFill>
            </c:spPr>
            <c:extLst>
              <c:ext xmlns:c16="http://schemas.microsoft.com/office/drawing/2014/chart" uri="{C3380CC4-5D6E-409C-BE32-E72D297353CC}">
                <c16:uniqueId val="{00000005-4F9B-4611-A091-D08AAE07AD01}"/>
              </c:ext>
            </c:extLst>
          </c:dPt>
          <c:dPt>
            <c:idx val="2"/>
            <c:bubble3D val="0"/>
            <c:spPr>
              <a:solidFill>
                <a:schemeClr val="tx1">
                  <a:lumMod val="50000"/>
                  <a:lumOff val="50000"/>
                </a:schemeClr>
              </a:solidFill>
            </c:spPr>
            <c:extLst>
              <c:ext xmlns:c16="http://schemas.microsoft.com/office/drawing/2014/chart" uri="{C3380CC4-5D6E-409C-BE32-E72D297353CC}">
                <c16:uniqueId val="{00000006-4F9B-4611-A091-D08AAE07AD01}"/>
              </c:ext>
            </c:extLst>
          </c:dPt>
          <c:dPt>
            <c:idx val="3"/>
            <c:bubble3D val="0"/>
            <c:spPr>
              <a:solidFill>
                <a:srgbClr val="FFC000"/>
              </a:solidFill>
            </c:spPr>
            <c:extLst>
              <c:ext xmlns:c16="http://schemas.microsoft.com/office/drawing/2014/chart" uri="{C3380CC4-5D6E-409C-BE32-E72D297353CC}">
                <c16:uniqueId val="{00000007-4F9B-4611-A091-D08AAE07AD01}"/>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3-2BC7-411F-994D-3BFAECA9A407}"/>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3-6027-4DAF-8B01-A6374281708B}"/>
              </c:ext>
            </c:extLst>
          </c:dPt>
          <c:dPt>
            <c:idx val="6"/>
            <c:bubble3D val="0"/>
            <c:spPr>
              <a:solidFill>
                <a:srgbClr val="FF0000"/>
              </a:solidFill>
            </c:spPr>
            <c:extLst>
              <c:ext xmlns:c16="http://schemas.microsoft.com/office/drawing/2014/chart" uri="{C3380CC4-5D6E-409C-BE32-E72D297353CC}">
                <c16:uniqueId val="{00000008-4F9B-4611-A091-D08AAE07AD01}"/>
              </c:ext>
            </c:extLst>
          </c:dPt>
          <c:dPt>
            <c:idx val="7"/>
            <c:bubble3D val="0"/>
            <c:spPr>
              <a:solidFill>
                <a:srgbClr val="7030A0"/>
              </a:solidFill>
            </c:spPr>
            <c:extLst>
              <c:ext xmlns:c16="http://schemas.microsoft.com/office/drawing/2014/chart" uri="{C3380CC4-5D6E-409C-BE32-E72D297353CC}">
                <c16:uniqueId val="{00000009-4F9B-4611-A091-D08AAE07AD01}"/>
              </c:ext>
            </c:extLst>
          </c:dPt>
          <c:cat>
            <c:strRef>
              <c:f>OB!$B$46:$B$53</c:f>
              <c:strCache>
                <c:ptCount val="8"/>
                <c:pt idx="0">
                  <c:v>Aggregate</c:v>
                </c:pt>
                <c:pt idx="1">
                  <c:v>Asphalt</c:v>
                </c:pt>
                <c:pt idx="2">
                  <c:v>Steel</c:v>
                </c:pt>
                <c:pt idx="3">
                  <c:v>Cement and Concrete</c:v>
                </c:pt>
                <c:pt idx="4">
                  <c:v>Wood</c:v>
                </c:pt>
                <c:pt idx="5">
                  <c:v>Aluminium</c:v>
                </c:pt>
                <c:pt idx="6">
                  <c:v>Brick</c:v>
                </c:pt>
                <c:pt idx="7">
                  <c:v>Plastic</c:v>
                </c:pt>
              </c:strCache>
            </c:strRef>
          </c:cat>
          <c:val>
            <c:numRef>
              <c:f>RB!$C$45:$C$52</c:f>
              <c:numCache>
                <c:formatCode>_-* #,##0_-;\-* #,##0_-;_-* "-"??_-;_-@_-</c:formatCode>
                <c:ptCount val="8"/>
                <c:pt idx="0">
                  <c:v>604.75200000000007</c:v>
                </c:pt>
                <c:pt idx="1">
                  <c:v>0</c:v>
                </c:pt>
                <c:pt idx="2">
                  <c:v>2168.578</c:v>
                </c:pt>
                <c:pt idx="3">
                  <c:v>15139.521700000007</c:v>
                </c:pt>
                <c:pt idx="4">
                  <c:v>10.968500000000002</c:v>
                </c:pt>
                <c:pt idx="5">
                  <c:v>0</c:v>
                </c:pt>
                <c:pt idx="6">
                  <c:v>0</c:v>
                </c:pt>
                <c:pt idx="7">
                  <c:v>58.927599999999998</c:v>
                </c:pt>
              </c:numCache>
            </c:numRef>
          </c:val>
          <c:extLst>
            <c:ext xmlns:c16="http://schemas.microsoft.com/office/drawing/2014/chart" uri="{C3380CC4-5D6E-409C-BE32-E72D297353CC}">
              <c16:uniqueId val="{00000004-2BC7-411F-994D-3BFAECA9A40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90B7-45D7-93F8-FA873DEEF0E2}"/>
              </c:ext>
            </c:extLst>
          </c:dPt>
          <c:dPt>
            <c:idx val="1"/>
            <c:bubble3D val="0"/>
            <c:spPr>
              <a:solidFill>
                <a:srgbClr val="0070C0"/>
              </a:solidFill>
            </c:spPr>
            <c:extLst>
              <c:ext xmlns:c16="http://schemas.microsoft.com/office/drawing/2014/chart" uri="{C3380CC4-5D6E-409C-BE32-E72D297353CC}">
                <c16:uniqueId val="{00000001-90B7-45D7-93F8-FA873DEEF0E2}"/>
              </c:ext>
            </c:extLst>
          </c:dPt>
          <c:dPt>
            <c:idx val="2"/>
            <c:bubble3D val="0"/>
            <c:spPr>
              <a:solidFill>
                <a:schemeClr val="tx1">
                  <a:lumMod val="50000"/>
                  <a:lumOff val="50000"/>
                </a:schemeClr>
              </a:solidFill>
            </c:spPr>
            <c:extLst>
              <c:ext xmlns:c16="http://schemas.microsoft.com/office/drawing/2014/chart" uri="{C3380CC4-5D6E-409C-BE32-E72D297353CC}">
                <c16:uniqueId val="{00000002-90B7-45D7-93F8-FA873DEEF0E2}"/>
              </c:ext>
            </c:extLst>
          </c:dPt>
          <c:dPt>
            <c:idx val="3"/>
            <c:bubble3D val="0"/>
            <c:spPr>
              <a:solidFill>
                <a:srgbClr val="FFC000"/>
              </a:solidFill>
            </c:spPr>
            <c:extLst>
              <c:ext xmlns:c16="http://schemas.microsoft.com/office/drawing/2014/chart" uri="{C3380CC4-5D6E-409C-BE32-E72D297353CC}">
                <c16:uniqueId val="{00000003-90B7-45D7-93F8-FA873DEEF0E2}"/>
              </c:ext>
            </c:extLst>
          </c:dPt>
          <c:dPt>
            <c:idx val="4"/>
            <c:bubble3D val="0"/>
            <c:spPr>
              <a:solidFill>
                <a:srgbClr val="00B050"/>
              </a:solidFill>
            </c:spPr>
            <c:extLst>
              <c:ext xmlns:c16="http://schemas.microsoft.com/office/drawing/2014/chart" uri="{C3380CC4-5D6E-409C-BE32-E72D297353CC}">
                <c16:uniqueId val="{00000004-90B7-45D7-93F8-FA873DEEF0E2}"/>
              </c:ext>
            </c:extLst>
          </c:dPt>
          <c:dPt>
            <c:idx val="5"/>
            <c:bubble3D val="0"/>
            <c:spPr>
              <a:solidFill>
                <a:srgbClr val="FFFF00"/>
              </a:solidFill>
            </c:spPr>
            <c:extLst>
              <c:ext xmlns:c16="http://schemas.microsoft.com/office/drawing/2014/chart" uri="{C3380CC4-5D6E-409C-BE32-E72D297353CC}">
                <c16:uniqueId val="{00000005-90B7-45D7-93F8-FA873DEEF0E2}"/>
              </c:ext>
            </c:extLst>
          </c:dPt>
          <c:dPt>
            <c:idx val="6"/>
            <c:bubble3D val="0"/>
            <c:spPr>
              <a:solidFill>
                <a:srgbClr val="FF0000"/>
              </a:solidFill>
            </c:spPr>
            <c:extLst>
              <c:ext xmlns:c16="http://schemas.microsoft.com/office/drawing/2014/chart" uri="{C3380CC4-5D6E-409C-BE32-E72D297353CC}">
                <c16:uniqueId val="{00000006-90B7-45D7-93F8-FA873DEEF0E2}"/>
              </c:ext>
            </c:extLst>
          </c:dPt>
          <c:dPt>
            <c:idx val="7"/>
            <c:bubble3D val="0"/>
            <c:spPr>
              <a:solidFill>
                <a:srgbClr val="7030A0"/>
              </a:solidFill>
            </c:spPr>
            <c:extLst>
              <c:ext xmlns:c16="http://schemas.microsoft.com/office/drawing/2014/chart" uri="{C3380CC4-5D6E-409C-BE32-E72D297353CC}">
                <c16:uniqueId val="{00000007-90B7-45D7-93F8-FA873DEEF0E2}"/>
              </c:ext>
            </c:extLst>
          </c:dPt>
          <c:cat>
            <c:strRef>
              <c:f>RB!$B$45:$B$52</c:f>
              <c:strCache>
                <c:ptCount val="8"/>
                <c:pt idx="0">
                  <c:v>Aggregate</c:v>
                </c:pt>
                <c:pt idx="1">
                  <c:v>Asphalt</c:v>
                </c:pt>
                <c:pt idx="2">
                  <c:v>Steel</c:v>
                </c:pt>
                <c:pt idx="3">
                  <c:v>Cement and Concrete</c:v>
                </c:pt>
                <c:pt idx="4">
                  <c:v>Wood</c:v>
                </c:pt>
                <c:pt idx="5">
                  <c:v>Aluminium</c:v>
                </c:pt>
                <c:pt idx="6">
                  <c:v>Brick</c:v>
                </c:pt>
                <c:pt idx="7">
                  <c:v>Plastic</c:v>
                </c:pt>
              </c:strCache>
            </c:strRef>
          </c:cat>
          <c:val>
            <c:numRef>
              <c:f>RB!$E$45:$E$52</c:f>
              <c:numCache>
                <c:formatCode>_-* #,##0_-;\-* #,##0_-;_-* "-"??_-;_-@_-</c:formatCode>
                <c:ptCount val="8"/>
                <c:pt idx="0">
                  <c:v>0</c:v>
                </c:pt>
                <c:pt idx="1">
                  <c:v>0</c:v>
                </c:pt>
                <c:pt idx="2">
                  <c:v>0</c:v>
                </c:pt>
                <c:pt idx="3">
                  <c:v>0</c:v>
                </c:pt>
                <c:pt idx="4">
                  <c:v>0.95929999999999982</c:v>
                </c:pt>
                <c:pt idx="5">
                  <c:v>0</c:v>
                </c:pt>
                <c:pt idx="6">
                  <c:v>0</c:v>
                </c:pt>
                <c:pt idx="7">
                  <c:v>0</c:v>
                </c:pt>
              </c:numCache>
            </c:numRef>
          </c:val>
          <c:extLst>
            <c:ext xmlns:c16="http://schemas.microsoft.com/office/drawing/2014/chart" uri="{C3380CC4-5D6E-409C-BE32-E72D297353CC}">
              <c16:uniqueId val="{00000000-9CCE-464F-A7CA-2A9CECB945EC}"/>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UB!$B$6:$B$8</c:f>
              <c:strCache>
                <c:ptCount val="3"/>
                <c:pt idx="0">
                  <c:v>S09 – Coolnacaheragh Underbridge</c:v>
                </c:pt>
                <c:pt idx="1">
                  <c:v>S25 Coolyhane Underbridge</c:v>
                </c:pt>
                <c:pt idx="2">
                  <c:v>S27 Ummera Underbridge</c:v>
                </c:pt>
              </c:strCache>
            </c:strRef>
          </c:cat>
          <c:val>
            <c:numRef>
              <c:f>UB!$D$6:$D$8</c:f>
              <c:numCache>
                <c:formatCode>0</c:formatCode>
                <c:ptCount val="3"/>
                <c:pt idx="0">
                  <c:v>4787.0168000000003</c:v>
                </c:pt>
                <c:pt idx="1">
                  <c:v>754.97269999999992</c:v>
                </c:pt>
                <c:pt idx="2">
                  <c:v>4594.8350999999993</c:v>
                </c:pt>
              </c:numCache>
            </c:numRef>
          </c:val>
          <c:extLst>
            <c:ext xmlns:c16="http://schemas.microsoft.com/office/drawing/2014/chart" uri="{C3380CC4-5D6E-409C-BE32-E72D297353CC}">
              <c16:uniqueId val="{00000000-255C-437F-A60C-60990D7B6D6F}"/>
            </c:ext>
          </c:extLst>
        </c:ser>
        <c:dLbls>
          <c:showLegendKey val="0"/>
          <c:showVal val="0"/>
          <c:showCatName val="0"/>
          <c:showSerName val="0"/>
          <c:showPercent val="0"/>
          <c:showBubbleSize val="0"/>
        </c:dLbls>
        <c:gapWidth val="182"/>
        <c:axId val="888009199"/>
        <c:axId val="169741375"/>
      </c:barChart>
      <c:catAx>
        <c:axId val="8880091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9741375"/>
        <c:crosses val="autoZero"/>
        <c:auto val="1"/>
        <c:lblAlgn val="ctr"/>
        <c:lblOffset val="100"/>
        <c:noMultiLvlLbl val="0"/>
      </c:catAx>
      <c:valAx>
        <c:axId val="16974137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88009199"/>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863043666653354"/>
          <c:y val="0.12985611510791367"/>
          <c:w val="0.66674459275306341"/>
          <c:h val="0.6843542174134708"/>
        </c:manualLayout>
      </c:layout>
      <c:barChart>
        <c:barDir val="bar"/>
        <c:grouping val="clustered"/>
        <c:varyColors val="0"/>
        <c:ser>
          <c:idx val="0"/>
          <c:order val="0"/>
          <c:tx>
            <c:strRef>
              <c:f>UB!$B$6</c:f>
              <c:strCache>
                <c:ptCount val="1"/>
                <c:pt idx="0">
                  <c:v>S09 – Coolnacaheragh Underbridge</c:v>
                </c:pt>
              </c:strCache>
            </c:strRef>
          </c:tx>
          <c:spPr>
            <a:solidFill>
              <a:srgbClr val="59A089"/>
            </a:solidFill>
            <a:ln>
              <a:noFill/>
            </a:ln>
            <a:effectLst/>
          </c:spPr>
          <c:invertIfNegative val="0"/>
          <c:cat>
            <c:strRef>
              <c:f>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UB!$I$6:$N$6</c:f>
              <c:numCache>
                <c:formatCode>0.0</c:formatCode>
                <c:ptCount val="6"/>
                <c:pt idx="0">
                  <c:v>4670.3168000000005</c:v>
                </c:pt>
                <c:pt idx="1">
                  <c:v>42.3</c:v>
                </c:pt>
                <c:pt idx="2">
                  <c:v>37.4</c:v>
                </c:pt>
                <c:pt idx="3">
                  <c:v>37</c:v>
                </c:pt>
                <c:pt idx="4" formatCode="0.00">
                  <c:v>0.13370000000000001</c:v>
                </c:pt>
                <c:pt idx="5">
                  <c:v>0</c:v>
                </c:pt>
              </c:numCache>
            </c:numRef>
          </c:val>
          <c:extLst>
            <c:ext xmlns:c16="http://schemas.microsoft.com/office/drawing/2014/chart" uri="{C3380CC4-5D6E-409C-BE32-E72D297353CC}">
              <c16:uniqueId val="{00000000-48B7-4693-AB9F-7638D9115E75}"/>
            </c:ext>
          </c:extLst>
        </c:ser>
        <c:ser>
          <c:idx val="1"/>
          <c:order val="1"/>
          <c:tx>
            <c:strRef>
              <c:f>UB!$B$7</c:f>
              <c:strCache>
                <c:ptCount val="1"/>
                <c:pt idx="0">
                  <c:v>S25 Coolyhane Underbridge</c:v>
                </c:pt>
              </c:strCache>
            </c:strRef>
          </c:tx>
          <c:spPr>
            <a:solidFill>
              <a:srgbClr val="FFC000"/>
            </a:solidFill>
            <a:ln>
              <a:noFill/>
            </a:ln>
            <a:effectLst/>
          </c:spPr>
          <c:invertIfNegative val="0"/>
          <c:cat>
            <c:strRef>
              <c:f>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UB!$I$7:$N$7</c:f>
              <c:numCache>
                <c:formatCode>0.0</c:formatCode>
                <c:ptCount val="6"/>
                <c:pt idx="0">
                  <c:v>658.27269999999987</c:v>
                </c:pt>
                <c:pt idx="1">
                  <c:v>31.6</c:v>
                </c:pt>
                <c:pt idx="2">
                  <c:v>47.2</c:v>
                </c:pt>
                <c:pt idx="3">
                  <c:v>17.899999999999999</c:v>
                </c:pt>
                <c:pt idx="4" formatCode="0.00">
                  <c:v>0.12280000000000001</c:v>
                </c:pt>
                <c:pt idx="5">
                  <c:v>0</c:v>
                </c:pt>
              </c:numCache>
            </c:numRef>
          </c:val>
          <c:extLst>
            <c:ext xmlns:c16="http://schemas.microsoft.com/office/drawing/2014/chart" uri="{C3380CC4-5D6E-409C-BE32-E72D297353CC}">
              <c16:uniqueId val="{00000001-48B7-4693-AB9F-7638D9115E75}"/>
            </c:ext>
          </c:extLst>
        </c:ser>
        <c:ser>
          <c:idx val="2"/>
          <c:order val="2"/>
          <c:tx>
            <c:strRef>
              <c:f>UB!$B$8</c:f>
              <c:strCache>
                <c:ptCount val="1"/>
                <c:pt idx="0">
                  <c:v>S27 Ummera Underbridge</c:v>
                </c:pt>
              </c:strCache>
            </c:strRef>
          </c:tx>
          <c:spPr>
            <a:solidFill>
              <a:schemeClr val="accent3"/>
            </a:solidFill>
            <a:ln>
              <a:noFill/>
            </a:ln>
            <a:effectLst/>
          </c:spPr>
          <c:invertIfNegative val="0"/>
          <c:cat>
            <c:strRef>
              <c:f>UB!$I$5:$N$5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UB!$I$8:$N$8</c:f>
              <c:numCache>
                <c:formatCode>0.0</c:formatCode>
                <c:ptCount val="6"/>
                <c:pt idx="0">
                  <c:v>4297.6350999999995</c:v>
                </c:pt>
                <c:pt idx="1">
                  <c:v>42.4</c:v>
                </c:pt>
                <c:pt idx="2">
                  <c:v>211.2</c:v>
                </c:pt>
                <c:pt idx="3">
                  <c:v>43.6</c:v>
                </c:pt>
                <c:pt idx="4" formatCode="0.00">
                  <c:v>0.24</c:v>
                </c:pt>
                <c:pt idx="5">
                  <c:v>0</c:v>
                </c:pt>
              </c:numCache>
            </c:numRef>
          </c:val>
          <c:extLst>
            <c:ext xmlns:c16="http://schemas.microsoft.com/office/drawing/2014/chart" uri="{C3380CC4-5D6E-409C-BE32-E72D297353CC}">
              <c16:uniqueId val="{00000002-48B7-4693-AB9F-7638D9115E75}"/>
            </c:ext>
          </c:extLst>
        </c:ser>
        <c:dLbls>
          <c:showLegendKey val="0"/>
          <c:showVal val="0"/>
          <c:showCatName val="0"/>
          <c:showSerName val="0"/>
          <c:showPercent val="0"/>
          <c:showBubbleSize val="0"/>
        </c:dLbls>
        <c:gapWidth val="182"/>
        <c:axId val="1375970703"/>
        <c:axId val="626488687"/>
      </c:barChart>
      <c:catAx>
        <c:axId val="1375970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6488687"/>
        <c:crosses val="autoZero"/>
        <c:auto val="1"/>
        <c:lblAlgn val="ctr"/>
        <c:lblOffset val="100"/>
        <c:noMultiLvlLbl val="0"/>
      </c:catAx>
      <c:valAx>
        <c:axId val="62648868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layout>
            <c:manualLayout>
              <c:xMode val="edge"/>
              <c:yMode val="edge"/>
              <c:x val="0.53338427731500071"/>
              <c:y val="0.871692346909873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5970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4-F085-45E5-AEA2-FC1C472A952E}"/>
              </c:ext>
            </c:extLst>
          </c:dPt>
          <c:dPt>
            <c:idx val="1"/>
            <c:bubble3D val="0"/>
            <c:spPr>
              <a:solidFill>
                <a:srgbClr val="0070C0"/>
              </a:solidFill>
            </c:spPr>
            <c:extLst>
              <c:ext xmlns:c16="http://schemas.microsoft.com/office/drawing/2014/chart" uri="{C3380CC4-5D6E-409C-BE32-E72D297353CC}">
                <c16:uniqueId val="{00000005-F085-45E5-AEA2-FC1C472A952E}"/>
              </c:ext>
            </c:extLst>
          </c:dPt>
          <c:dPt>
            <c:idx val="2"/>
            <c:bubble3D val="0"/>
            <c:spPr>
              <a:solidFill>
                <a:schemeClr val="tx1">
                  <a:lumMod val="50000"/>
                  <a:lumOff val="50000"/>
                </a:schemeClr>
              </a:solidFill>
            </c:spPr>
            <c:extLst>
              <c:ext xmlns:c16="http://schemas.microsoft.com/office/drawing/2014/chart" uri="{C3380CC4-5D6E-409C-BE32-E72D297353CC}">
                <c16:uniqueId val="{00000006-F085-45E5-AEA2-FC1C472A952E}"/>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1-C02B-4CD0-AA15-D4FF700BED93}"/>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1-0166-4F89-A16E-B442641B3C78}"/>
              </c:ext>
            </c:extLst>
          </c:dPt>
          <c:dPt>
            <c:idx val="5"/>
            <c:bubble3D val="0"/>
            <c:spPr>
              <a:solidFill>
                <a:srgbClr val="FFFF00"/>
              </a:solidFill>
            </c:spPr>
            <c:extLst>
              <c:ext xmlns:c16="http://schemas.microsoft.com/office/drawing/2014/chart" uri="{C3380CC4-5D6E-409C-BE32-E72D297353CC}">
                <c16:uniqueId val="{00000007-F085-45E5-AEA2-FC1C472A952E}"/>
              </c:ext>
            </c:extLst>
          </c:dPt>
          <c:dPt>
            <c:idx val="6"/>
            <c:bubble3D val="0"/>
            <c:spPr>
              <a:solidFill>
                <a:srgbClr val="FF0000"/>
              </a:solidFill>
            </c:spPr>
            <c:extLst>
              <c:ext xmlns:c16="http://schemas.microsoft.com/office/drawing/2014/chart" uri="{C3380CC4-5D6E-409C-BE32-E72D297353CC}">
                <c16:uniqueId val="{00000008-F085-45E5-AEA2-FC1C472A952E}"/>
              </c:ext>
            </c:extLst>
          </c:dPt>
          <c:dPt>
            <c:idx val="7"/>
            <c:bubble3D val="0"/>
            <c:spPr>
              <a:solidFill>
                <a:srgbClr val="7030A0"/>
              </a:solidFill>
            </c:spPr>
            <c:extLst>
              <c:ext xmlns:c16="http://schemas.microsoft.com/office/drawing/2014/chart" uri="{C3380CC4-5D6E-409C-BE32-E72D297353CC}">
                <c16:uniqueId val="{00000009-F085-45E5-AEA2-FC1C472A952E}"/>
              </c:ext>
            </c:extLst>
          </c:dPt>
          <c:cat>
            <c:strRef>
              <c:f>UB!$B$48:$B$55</c:f>
              <c:strCache>
                <c:ptCount val="8"/>
                <c:pt idx="0">
                  <c:v>Aggregate</c:v>
                </c:pt>
                <c:pt idx="1">
                  <c:v>Asphalt</c:v>
                </c:pt>
                <c:pt idx="2">
                  <c:v>Steel</c:v>
                </c:pt>
                <c:pt idx="3">
                  <c:v>Cement and Concrete</c:v>
                </c:pt>
                <c:pt idx="4">
                  <c:v>Wood</c:v>
                </c:pt>
                <c:pt idx="5">
                  <c:v>Aluminium</c:v>
                </c:pt>
                <c:pt idx="6">
                  <c:v>Brick</c:v>
                </c:pt>
                <c:pt idx="7">
                  <c:v>Plastic</c:v>
                </c:pt>
              </c:strCache>
            </c:strRef>
          </c:cat>
          <c:val>
            <c:numRef>
              <c:f>UB!$C$48:$C$55</c:f>
              <c:numCache>
                <c:formatCode>_-* #,##0_-;\-* #,##0_-;_-* "-"??_-;_-@_-</c:formatCode>
                <c:ptCount val="8"/>
                <c:pt idx="0">
                  <c:v>75.3155</c:v>
                </c:pt>
                <c:pt idx="1">
                  <c:v>0</c:v>
                </c:pt>
                <c:pt idx="2">
                  <c:v>286.91989999999998</c:v>
                </c:pt>
                <c:pt idx="3">
                  <c:v>9221.9107999999997</c:v>
                </c:pt>
                <c:pt idx="4">
                  <c:v>5.6791999999999998</c:v>
                </c:pt>
                <c:pt idx="5">
                  <c:v>0</c:v>
                </c:pt>
                <c:pt idx="6">
                  <c:v>0</c:v>
                </c:pt>
                <c:pt idx="7">
                  <c:v>36.399199999999993</c:v>
                </c:pt>
              </c:numCache>
            </c:numRef>
          </c:val>
          <c:extLst>
            <c:ext xmlns:c16="http://schemas.microsoft.com/office/drawing/2014/chart" uri="{C3380CC4-5D6E-409C-BE32-E72D297353CC}">
              <c16:uniqueId val="{00000004-0166-4F89-A16E-B442641B3C7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8027-4A6A-88BA-B6BE9F6CA007}"/>
              </c:ext>
            </c:extLst>
          </c:dPt>
          <c:dPt>
            <c:idx val="1"/>
            <c:bubble3D val="0"/>
            <c:spPr>
              <a:solidFill>
                <a:srgbClr val="0070C0"/>
              </a:solidFill>
            </c:spPr>
            <c:extLst>
              <c:ext xmlns:c16="http://schemas.microsoft.com/office/drawing/2014/chart" uri="{C3380CC4-5D6E-409C-BE32-E72D297353CC}">
                <c16:uniqueId val="{00000001-8027-4A6A-88BA-B6BE9F6CA007}"/>
              </c:ext>
            </c:extLst>
          </c:dPt>
          <c:dPt>
            <c:idx val="2"/>
            <c:bubble3D val="0"/>
            <c:spPr>
              <a:solidFill>
                <a:schemeClr val="tx1">
                  <a:lumMod val="50000"/>
                  <a:lumOff val="50000"/>
                </a:schemeClr>
              </a:solidFill>
            </c:spPr>
            <c:extLst>
              <c:ext xmlns:c16="http://schemas.microsoft.com/office/drawing/2014/chart" uri="{C3380CC4-5D6E-409C-BE32-E72D297353CC}">
                <c16:uniqueId val="{00000002-8027-4A6A-88BA-B6BE9F6CA007}"/>
              </c:ext>
            </c:extLst>
          </c:dPt>
          <c:dPt>
            <c:idx val="3"/>
            <c:bubble3D val="0"/>
            <c:spPr>
              <a:solidFill>
                <a:srgbClr val="FFC000"/>
              </a:solidFill>
            </c:spPr>
            <c:extLst>
              <c:ext xmlns:c16="http://schemas.microsoft.com/office/drawing/2014/chart" uri="{C3380CC4-5D6E-409C-BE32-E72D297353CC}">
                <c16:uniqueId val="{00000003-8027-4A6A-88BA-B6BE9F6CA007}"/>
              </c:ext>
            </c:extLst>
          </c:dPt>
          <c:dPt>
            <c:idx val="4"/>
            <c:bubble3D val="0"/>
            <c:spPr>
              <a:solidFill>
                <a:srgbClr val="00B050"/>
              </a:solidFill>
            </c:spPr>
            <c:extLst>
              <c:ext xmlns:c16="http://schemas.microsoft.com/office/drawing/2014/chart" uri="{C3380CC4-5D6E-409C-BE32-E72D297353CC}">
                <c16:uniqueId val="{00000004-8027-4A6A-88BA-B6BE9F6CA007}"/>
              </c:ext>
            </c:extLst>
          </c:dPt>
          <c:dPt>
            <c:idx val="5"/>
            <c:bubble3D val="0"/>
            <c:spPr>
              <a:solidFill>
                <a:srgbClr val="FFFF00"/>
              </a:solidFill>
            </c:spPr>
            <c:extLst>
              <c:ext xmlns:c16="http://schemas.microsoft.com/office/drawing/2014/chart" uri="{C3380CC4-5D6E-409C-BE32-E72D297353CC}">
                <c16:uniqueId val="{00000005-8027-4A6A-88BA-B6BE9F6CA007}"/>
              </c:ext>
            </c:extLst>
          </c:dPt>
          <c:dPt>
            <c:idx val="6"/>
            <c:bubble3D val="0"/>
            <c:spPr>
              <a:solidFill>
                <a:srgbClr val="FF0000"/>
              </a:solidFill>
            </c:spPr>
            <c:extLst>
              <c:ext xmlns:c16="http://schemas.microsoft.com/office/drawing/2014/chart" uri="{C3380CC4-5D6E-409C-BE32-E72D297353CC}">
                <c16:uniqueId val="{00000006-8027-4A6A-88BA-B6BE9F6CA007}"/>
              </c:ext>
            </c:extLst>
          </c:dPt>
          <c:dPt>
            <c:idx val="7"/>
            <c:bubble3D val="0"/>
            <c:spPr>
              <a:solidFill>
                <a:srgbClr val="7030A0"/>
              </a:solidFill>
            </c:spPr>
            <c:extLst>
              <c:ext xmlns:c16="http://schemas.microsoft.com/office/drawing/2014/chart" uri="{C3380CC4-5D6E-409C-BE32-E72D297353CC}">
                <c16:uniqueId val="{00000007-8027-4A6A-88BA-B6BE9F6CA007}"/>
              </c:ext>
            </c:extLst>
          </c:dPt>
          <c:cat>
            <c:strRef>
              <c:f>UB!$B$48:$B$55</c:f>
              <c:strCache>
                <c:ptCount val="8"/>
                <c:pt idx="0">
                  <c:v>Aggregate</c:v>
                </c:pt>
                <c:pt idx="1">
                  <c:v>Asphalt</c:v>
                </c:pt>
                <c:pt idx="2">
                  <c:v>Steel</c:v>
                </c:pt>
                <c:pt idx="3">
                  <c:v>Cement and Concrete</c:v>
                </c:pt>
                <c:pt idx="4">
                  <c:v>Wood</c:v>
                </c:pt>
                <c:pt idx="5">
                  <c:v>Aluminium</c:v>
                </c:pt>
                <c:pt idx="6">
                  <c:v>Brick</c:v>
                </c:pt>
                <c:pt idx="7">
                  <c:v>Plastic</c:v>
                </c:pt>
              </c:strCache>
            </c:strRef>
          </c:cat>
          <c:val>
            <c:numRef>
              <c:f>UB!$E$48:$E$55</c:f>
              <c:numCache>
                <c:formatCode>_-* #,##0_-;\-* #,##0_-;_-* "-"??_-;_-@_-</c:formatCode>
                <c:ptCount val="8"/>
                <c:pt idx="0">
                  <c:v>0</c:v>
                </c:pt>
                <c:pt idx="1">
                  <c:v>0</c:v>
                </c:pt>
                <c:pt idx="2">
                  <c:v>0</c:v>
                </c:pt>
                <c:pt idx="3">
                  <c:v>0</c:v>
                </c:pt>
                <c:pt idx="4" formatCode="_(* #,##0.00_);_(* \(#,##0.00\);_(* &quot;-&quot;??_);_(@_)">
                  <c:v>0.4965</c:v>
                </c:pt>
                <c:pt idx="5">
                  <c:v>0</c:v>
                </c:pt>
                <c:pt idx="6">
                  <c:v>0</c:v>
                </c:pt>
                <c:pt idx="7">
                  <c:v>0</c:v>
                </c:pt>
              </c:numCache>
            </c:numRef>
          </c:val>
          <c:extLst>
            <c:ext xmlns:c16="http://schemas.microsoft.com/office/drawing/2014/chart" uri="{C3380CC4-5D6E-409C-BE32-E72D297353CC}">
              <c16:uniqueId val="{00000000-BEC6-45C3-80A7-ECF039EC5F13}"/>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M!$B$6</c:f>
              <c:strCache>
                <c:ptCount val="1"/>
                <c:pt idx="0">
                  <c:v>Mainline </c:v>
                </c:pt>
              </c:strCache>
            </c:strRef>
          </c:cat>
          <c:val>
            <c:numRef>
              <c:f>M!$D$6</c:f>
              <c:numCache>
                <c:formatCode>0</c:formatCode>
                <c:ptCount val="1"/>
                <c:pt idx="0">
                  <c:v>64519.762000000002</c:v>
                </c:pt>
              </c:numCache>
            </c:numRef>
          </c:val>
          <c:extLst>
            <c:ext xmlns:c16="http://schemas.microsoft.com/office/drawing/2014/chart" uri="{C3380CC4-5D6E-409C-BE32-E72D297353CC}">
              <c16:uniqueId val="{00000000-C6AC-43FF-85F0-C102B5B4EDB3}"/>
            </c:ext>
          </c:extLst>
        </c:ser>
        <c:dLbls>
          <c:showLegendKey val="0"/>
          <c:showVal val="0"/>
          <c:showCatName val="0"/>
          <c:showSerName val="0"/>
          <c:showPercent val="0"/>
          <c:showBubbleSize val="0"/>
        </c:dLbls>
        <c:gapWidth val="182"/>
        <c:axId val="1408237487"/>
        <c:axId val="684474671"/>
      </c:barChart>
      <c:catAx>
        <c:axId val="140823748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474671"/>
        <c:crosses val="autoZero"/>
        <c:auto val="1"/>
        <c:lblAlgn val="ctr"/>
        <c:lblOffset val="100"/>
        <c:noMultiLvlLbl val="0"/>
      </c:catAx>
      <c:valAx>
        <c:axId val="6844746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08237487"/>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554419855222916"/>
          <c:y val="0.14869077074209819"/>
          <c:w val="0.69014938805831505"/>
          <c:h val="0.62600770129134309"/>
        </c:manualLayout>
      </c:layout>
      <c:barChart>
        <c:barDir val="bar"/>
        <c:grouping val="clustered"/>
        <c:varyColors val="0"/>
        <c:ser>
          <c:idx val="0"/>
          <c:order val="0"/>
          <c:tx>
            <c:strRef>
              <c:f>M!$B$6</c:f>
              <c:strCache>
                <c:ptCount val="1"/>
                <c:pt idx="0">
                  <c:v>Mainline </c:v>
                </c:pt>
              </c:strCache>
            </c:strRef>
          </c:tx>
          <c:spPr>
            <a:solidFill>
              <a:srgbClr val="59A089"/>
            </a:solidFill>
            <a:ln>
              <a:noFill/>
            </a:ln>
            <a:effectLst/>
          </c:spPr>
          <c:invertIfNegative val="0"/>
          <c:cat>
            <c:strRef>
              <c:f>M!$G$5:$O$5</c:f>
              <c:strCache>
                <c:ptCount val="9"/>
                <c:pt idx="0">
                  <c:v>Materials (A1-3)</c:v>
                </c:pt>
                <c:pt idx="1">
                  <c:v>Material Transport (A4)</c:v>
                </c:pt>
                <c:pt idx="2">
                  <c:v>Clearance &amp; Demolition (A5)</c:v>
                </c:pt>
                <c:pt idx="3">
                  <c:v>Land Use Change (A5)</c:v>
                </c:pt>
                <c:pt idx="4">
                  <c:v>Excavation (A5)</c:v>
                </c:pt>
                <c:pt idx="5">
                  <c:v>Plant Use (A5)</c:v>
                </c:pt>
                <c:pt idx="6">
                  <c:v>Worker Travel (A5)</c:v>
                </c:pt>
                <c:pt idx="7">
                  <c:v>Maintenance material (B2-5)</c:v>
                </c:pt>
                <c:pt idx="8">
                  <c:v>Maintenance plant (B2-5)</c:v>
                </c:pt>
              </c:strCache>
            </c:strRef>
          </c:cat>
          <c:val>
            <c:numRef>
              <c:f>M!$G$6:$O$6</c:f>
              <c:numCache>
                <c:formatCode>0</c:formatCode>
                <c:ptCount val="9"/>
                <c:pt idx="0">
                  <c:v>30843.762000000002</c:v>
                </c:pt>
                <c:pt idx="1">
                  <c:v>1808.2</c:v>
                </c:pt>
                <c:pt idx="2">
                  <c:v>88.9</c:v>
                </c:pt>
                <c:pt idx="3">
                  <c:v>2553.3000000000002</c:v>
                </c:pt>
                <c:pt idx="4">
                  <c:v>6013</c:v>
                </c:pt>
                <c:pt idx="5">
                  <c:v>20603.5</c:v>
                </c:pt>
                <c:pt idx="6">
                  <c:v>2609.1</c:v>
                </c:pt>
                <c:pt idx="7">
                  <c:v>16950.572199999995</c:v>
                </c:pt>
                <c:pt idx="8">
                  <c:v>0</c:v>
                </c:pt>
              </c:numCache>
            </c:numRef>
          </c:val>
          <c:extLst>
            <c:ext xmlns:c16="http://schemas.microsoft.com/office/drawing/2014/chart" uri="{C3380CC4-5D6E-409C-BE32-E72D297353CC}">
              <c16:uniqueId val="{00000000-FDB4-4423-A43C-D28655A52DD7}"/>
            </c:ext>
          </c:extLst>
        </c:ser>
        <c:dLbls>
          <c:showLegendKey val="0"/>
          <c:showVal val="0"/>
          <c:showCatName val="0"/>
          <c:showSerName val="0"/>
          <c:showPercent val="0"/>
          <c:showBubbleSize val="0"/>
        </c:dLbls>
        <c:gapWidth val="182"/>
        <c:axId val="862064799"/>
        <c:axId val="684593615"/>
      </c:barChart>
      <c:catAx>
        <c:axId val="8620647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593615"/>
        <c:crosses val="autoZero"/>
        <c:auto val="1"/>
        <c:lblAlgn val="ctr"/>
        <c:lblOffset val="100"/>
        <c:noMultiLvlLbl val="0"/>
      </c:catAx>
      <c:valAx>
        <c:axId val="6845936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62064799"/>
        <c:crosses val="autoZero"/>
        <c:crossBetween val="between"/>
      </c:valAx>
      <c:spPr>
        <a:noFill/>
        <a:ln>
          <a:noFill/>
        </a:ln>
        <a:effectLst/>
      </c:spPr>
    </c:plotArea>
    <c:legend>
      <c:legendPos val="r"/>
      <c:layout>
        <c:manualLayout>
          <c:xMode val="edge"/>
          <c:yMode val="edge"/>
          <c:x val="0.55904333966821484"/>
          <c:y val="0.92058647347601441"/>
          <c:w val="9.1132491589991552E-2"/>
          <c:h val="6.569383783180725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a:ln w="19050">
                <a:noFill/>
              </a:ln>
              <a:effectLst/>
            </c:spPr>
            <c:extLst>
              <c:ext xmlns:c16="http://schemas.microsoft.com/office/drawing/2014/chart" uri="{C3380CC4-5D6E-409C-BE32-E72D297353CC}">
                <c16:uniqueId val="{00000005-15AF-40AE-A21F-F3B9B5008CE7}"/>
              </c:ext>
            </c:extLst>
          </c:dPt>
          <c:dPt>
            <c:idx val="1"/>
            <c:bubble3D val="0"/>
            <c:spPr>
              <a:solidFill>
                <a:srgbClr val="0070C0"/>
              </a:solidFill>
              <a:ln w="19050">
                <a:noFill/>
              </a:ln>
              <a:effectLst/>
            </c:spPr>
            <c:extLst>
              <c:ext xmlns:c16="http://schemas.microsoft.com/office/drawing/2014/chart" uri="{C3380CC4-5D6E-409C-BE32-E72D297353CC}">
                <c16:uniqueId val="{00000007-15AF-40AE-A21F-F3B9B5008CE7}"/>
              </c:ext>
            </c:extLst>
          </c:dPt>
          <c:dPt>
            <c:idx val="2"/>
            <c:bubble3D val="0"/>
            <c:spPr>
              <a:solidFill>
                <a:schemeClr val="tx1">
                  <a:lumMod val="50000"/>
                  <a:lumOff val="50000"/>
                </a:schemeClr>
              </a:solidFill>
              <a:ln w="19050">
                <a:noFill/>
              </a:ln>
              <a:effectLst/>
            </c:spPr>
            <c:extLst>
              <c:ext xmlns:c16="http://schemas.microsoft.com/office/drawing/2014/chart" uri="{C3380CC4-5D6E-409C-BE32-E72D297353CC}">
                <c16:uniqueId val="{00000009-15AF-40AE-A21F-F3B9B5008CE7}"/>
              </c:ext>
            </c:extLst>
          </c:dPt>
          <c:dPt>
            <c:idx val="3"/>
            <c:bubble3D val="0"/>
            <c:spPr>
              <a:solidFill>
                <a:srgbClr val="FFC000"/>
              </a:solidFill>
              <a:ln w="19050">
                <a:noFill/>
              </a:ln>
              <a:effectLst/>
            </c:spPr>
            <c:extLst>
              <c:ext xmlns:c16="http://schemas.microsoft.com/office/drawing/2014/chart" uri="{C3380CC4-5D6E-409C-BE32-E72D297353CC}">
                <c16:uniqueId val="{0000000B-15AF-40AE-A21F-F3B9B5008CE7}"/>
              </c:ext>
            </c:extLst>
          </c:dPt>
          <c:dPt>
            <c:idx val="4"/>
            <c:bubble3D val="0"/>
            <c:spPr>
              <a:solidFill>
                <a:srgbClr val="00B050"/>
              </a:solidFill>
              <a:ln w="19050">
                <a:noFill/>
              </a:ln>
              <a:effectLst/>
            </c:spPr>
            <c:extLst>
              <c:ext xmlns:c16="http://schemas.microsoft.com/office/drawing/2014/chart" uri="{C3380CC4-5D6E-409C-BE32-E72D297353CC}">
                <c16:uniqueId val="{0000000D-15AF-40AE-A21F-F3B9B5008CE7}"/>
              </c:ext>
            </c:extLst>
          </c:dPt>
          <c:dPt>
            <c:idx val="5"/>
            <c:bubble3D val="0"/>
            <c:spPr>
              <a:solidFill>
                <a:srgbClr val="FFFF00"/>
              </a:solidFill>
              <a:ln w="19050">
                <a:noFill/>
              </a:ln>
              <a:effectLst/>
            </c:spPr>
            <c:extLst>
              <c:ext xmlns:c16="http://schemas.microsoft.com/office/drawing/2014/chart" uri="{C3380CC4-5D6E-409C-BE32-E72D297353CC}">
                <c16:uniqueId val="{0000000F-15AF-40AE-A21F-F3B9B5008CE7}"/>
              </c:ext>
            </c:extLst>
          </c:dPt>
          <c:dPt>
            <c:idx val="6"/>
            <c:bubble3D val="0"/>
            <c:spPr>
              <a:solidFill>
                <a:srgbClr val="FF0000"/>
              </a:solidFill>
              <a:ln w="19050">
                <a:noFill/>
              </a:ln>
              <a:effectLst/>
            </c:spPr>
            <c:extLst>
              <c:ext xmlns:c16="http://schemas.microsoft.com/office/drawing/2014/chart" uri="{C3380CC4-5D6E-409C-BE32-E72D297353CC}">
                <c16:uniqueId val="{00000011-15AF-40AE-A21F-F3B9B5008CE7}"/>
              </c:ext>
            </c:extLst>
          </c:dPt>
          <c:dPt>
            <c:idx val="7"/>
            <c:bubble3D val="0"/>
            <c:spPr>
              <a:solidFill>
                <a:srgbClr val="7030A0"/>
              </a:solidFill>
              <a:ln w="19050">
                <a:noFill/>
              </a:ln>
              <a:effectLst/>
            </c:spPr>
            <c:extLst>
              <c:ext xmlns:c16="http://schemas.microsoft.com/office/drawing/2014/chart" uri="{C3380CC4-5D6E-409C-BE32-E72D297353CC}">
                <c16:uniqueId val="{00000013-15AF-40AE-A21F-F3B9B5008CE7}"/>
              </c:ext>
            </c:extLst>
          </c:dPt>
          <c:cat>
            <c:strRef>
              <c:f>M!$B$48:$B$55</c:f>
              <c:strCache>
                <c:ptCount val="8"/>
                <c:pt idx="0">
                  <c:v>Aggregate</c:v>
                </c:pt>
                <c:pt idx="1">
                  <c:v>Asphalt</c:v>
                </c:pt>
                <c:pt idx="2">
                  <c:v>Steel</c:v>
                </c:pt>
                <c:pt idx="3">
                  <c:v>Cement and Concrete</c:v>
                </c:pt>
                <c:pt idx="4">
                  <c:v>Wood</c:v>
                </c:pt>
                <c:pt idx="5">
                  <c:v>Aluminium</c:v>
                </c:pt>
                <c:pt idx="6">
                  <c:v>Brick</c:v>
                </c:pt>
                <c:pt idx="7">
                  <c:v>Plastic</c:v>
                </c:pt>
              </c:strCache>
            </c:strRef>
          </c:cat>
          <c:val>
            <c:numRef>
              <c:f>M!$C$48:$C$55</c:f>
              <c:numCache>
                <c:formatCode>_-* #,##0_-;\-* #,##0_-;_-* "-"??_-;_-@_-</c:formatCode>
                <c:ptCount val="8"/>
                <c:pt idx="0">
                  <c:v>1431.1969999999999</c:v>
                </c:pt>
                <c:pt idx="1">
                  <c:v>7426.4555</c:v>
                </c:pt>
                <c:pt idx="2">
                  <c:v>4987.0962</c:v>
                </c:pt>
                <c:pt idx="3">
                  <c:v>11629.878299999998</c:v>
                </c:pt>
                <c:pt idx="4">
                  <c:v>612.18779999999992</c:v>
                </c:pt>
                <c:pt idx="5">
                  <c:v>12.5367</c:v>
                </c:pt>
                <c:pt idx="6">
                  <c:v>0.1071</c:v>
                </c:pt>
                <c:pt idx="7">
                  <c:v>4744.3033999999998</c:v>
                </c:pt>
              </c:numCache>
            </c:numRef>
          </c:val>
          <c:extLst>
            <c:ext xmlns:c16="http://schemas.microsoft.com/office/drawing/2014/chart" uri="{C3380CC4-5D6E-409C-BE32-E72D297353CC}">
              <c16:uniqueId val="{00000014-15AF-40AE-A21F-F3B9B5008CE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B273-46B1-ABB1-8EE9A0929F39}"/>
              </c:ext>
            </c:extLst>
          </c:dPt>
          <c:dPt>
            <c:idx val="1"/>
            <c:bubble3D val="0"/>
            <c:spPr>
              <a:solidFill>
                <a:srgbClr val="0070C0"/>
              </a:solidFill>
            </c:spPr>
            <c:extLst>
              <c:ext xmlns:c16="http://schemas.microsoft.com/office/drawing/2014/chart" uri="{C3380CC4-5D6E-409C-BE32-E72D297353CC}">
                <c16:uniqueId val="{00000001-B273-46B1-ABB1-8EE9A0929F39}"/>
              </c:ext>
            </c:extLst>
          </c:dPt>
          <c:dPt>
            <c:idx val="2"/>
            <c:bubble3D val="0"/>
            <c:spPr>
              <a:solidFill>
                <a:schemeClr val="tx1">
                  <a:lumMod val="50000"/>
                  <a:lumOff val="50000"/>
                </a:schemeClr>
              </a:solidFill>
            </c:spPr>
            <c:extLst>
              <c:ext xmlns:c16="http://schemas.microsoft.com/office/drawing/2014/chart" uri="{C3380CC4-5D6E-409C-BE32-E72D297353CC}">
                <c16:uniqueId val="{00000002-B273-46B1-ABB1-8EE9A0929F39}"/>
              </c:ext>
            </c:extLst>
          </c:dPt>
          <c:dPt>
            <c:idx val="3"/>
            <c:bubble3D val="0"/>
            <c:spPr>
              <a:solidFill>
                <a:srgbClr val="FFC000"/>
              </a:solidFill>
            </c:spPr>
            <c:extLst>
              <c:ext xmlns:c16="http://schemas.microsoft.com/office/drawing/2014/chart" uri="{C3380CC4-5D6E-409C-BE32-E72D297353CC}">
                <c16:uniqueId val="{00000003-B273-46B1-ABB1-8EE9A0929F39}"/>
              </c:ext>
            </c:extLst>
          </c:dPt>
          <c:dPt>
            <c:idx val="4"/>
            <c:bubble3D val="0"/>
            <c:spPr>
              <a:solidFill>
                <a:srgbClr val="00B050"/>
              </a:solidFill>
            </c:spPr>
            <c:extLst>
              <c:ext xmlns:c16="http://schemas.microsoft.com/office/drawing/2014/chart" uri="{C3380CC4-5D6E-409C-BE32-E72D297353CC}">
                <c16:uniqueId val="{00000004-B273-46B1-ABB1-8EE9A0929F39}"/>
              </c:ext>
            </c:extLst>
          </c:dPt>
          <c:dPt>
            <c:idx val="5"/>
            <c:bubble3D val="0"/>
            <c:spPr>
              <a:solidFill>
                <a:srgbClr val="FFFF00"/>
              </a:solidFill>
            </c:spPr>
            <c:extLst>
              <c:ext xmlns:c16="http://schemas.microsoft.com/office/drawing/2014/chart" uri="{C3380CC4-5D6E-409C-BE32-E72D297353CC}">
                <c16:uniqueId val="{00000005-B273-46B1-ABB1-8EE9A0929F39}"/>
              </c:ext>
            </c:extLst>
          </c:dPt>
          <c:dPt>
            <c:idx val="6"/>
            <c:bubble3D val="0"/>
            <c:spPr>
              <a:solidFill>
                <a:srgbClr val="FF0000"/>
              </a:solidFill>
            </c:spPr>
            <c:extLst>
              <c:ext xmlns:c16="http://schemas.microsoft.com/office/drawing/2014/chart" uri="{C3380CC4-5D6E-409C-BE32-E72D297353CC}">
                <c16:uniqueId val="{00000006-B273-46B1-ABB1-8EE9A0929F39}"/>
              </c:ext>
            </c:extLst>
          </c:dPt>
          <c:dPt>
            <c:idx val="7"/>
            <c:bubble3D val="0"/>
            <c:spPr>
              <a:solidFill>
                <a:srgbClr val="7030A0"/>
              </a:solidFill>
            </c:spPr>
            <c:extLst>
              <c:ext xmlns:c16="http://schemas.microsoft.com/office/drawing/2014/chart" uri="{C3380CC4-5D6E-409C-BE32-E72D297353CC}">
                <c16:uniqueId val="{00000007-B273-46B1-ABB1-8EE9A0929F39}"/>
              </c:ext>
            </c:extLst>
          </c:dPt>
          <c:cat>
            <c:strRef>
              <c:f>M!$B$48:$B$55</c:f>
              <c:strCache>
                <c:ptCount val="8"/>
                <c:pt idx="0">
                  <c:v>Aggregate</c:v>
                </c:pt>
                <c:pt idx="1">
                  <c:v>Asphalt</c:v>
                </c:pt>
                <c:pt idx="2">
                  <c:v>Steel</c:v>
                </c:pt>
                <c:pt idx="3">
                  <c:v>Cement and Concrete</c:v>
                </c:pt>
                <c:pt idx="4">
                  <c:v>Wood</c:v>
                </c:pt>
                <c:pt idx="5">
                  <c:v>Aluminium</c:v>
                </c:pt>
                <c:pt idx="6">
                  <c:v>Brick</c:v>
                </c:pt>
                <c:pt idx="7">
                  <c:v>Plastic</c:v>
                </c:pt>
              </c:strCache>
            </c:strRef>
          </c:cat>
          <c:val>
            <c:numRef>
              <c:f>M!$E$48:$E$55</c:f>
              <c:numCache>
                <c:formatCode>_-* #,##0_-;\-* #,##0_-;_-* "-"??_-;_-@_-</c:formatCode>
                <c:ptCount val="8"/>
                <c:pt idx="0">
                  <c:v>0</c:v>
                </c:pt>
                <c:pt idx="1">
                  <c:v>16488.1456</c:v>
                </c:pt>
                <c:pt idx="2">
                  <c:v>98.117999999999995</c:v>
                </c:pt>
                <c:pt idx="3">
                  <c:v>0</c:v>
                </c:pt>
                <c:pt idx="4">
                  <c:v>0</c:v>
                </c:pt>
                <c:pt idx="5">
                  <c:v>11.282999999999999</c:v>
                </c:pt>
                <c:pt idx="6">
                  <c:v>0</c:v>
                </c:pt>
                <c:pt idx="7">
                  <c:v>353.02559999999994</c:v>
                </c:pt>
              </c:numCache>
            </c:numRef>
          </c:val>
          <c:extLst>
            <c:ext xmlns:c16="http://schemas.microsoft.com/office/drawing/2014/chart" uri="{C3380CC4-5D6E-409C-BE32-E72D297353CC}">
              <c16:uniqueId val="{00000011-860B-43A7-9B91-0E06E871EE2E}"/>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J!$B$6:$B$10</c:f>
              <c:strCache>
                <c:ptCount val="5"/>
                <c:pt idx="0">
                  <c:v>Junctions Coolcour</c:v>
                </c:pt>
                <c:pt idx="1">
                  <c:v>Junctions Gurteenroe</c:v>
                </c:pt>
                <c:pt idx="2">
                  <c:v>Junctions Toonlane</c:v>
                </c:pt>
                <c:pt idx="3">
                  <c:v>Junctions Baile Bhuirne</c:v>
                </c:pt>
                <c:pt idx="4">
                  <c:v>Junctions Carrigaphooca</c:v>
                </c:pt>
              </c:strCache>
            </c:strRef>
          </c:cat>
          <c:val>
            <c:numRef>
              <c:f>J!$D$6:$D$10</c:f>
              <c:numCache>
                <c:formatCode>0</c:formatCode>
                <c:ptCount val="5"/>
                <c:pt idx="0">
                  <c:v>430.94220000000001</c:v>
                </c:pt>
                <c:pt idx="1">
                  <c:v>510.22200000000004</c:v>
                </c:pt>
                <c:pt idx="2">
                  <c:v>606.3273999999999</c:v>
                </c:pt>
                <c:pt idx="3">
                  <c:v>389.83429999999998</c:v>
                </c:pt>
                <c:pt idx="4">
                  <c:v>349.95440000000002</c:v>
                </c:pt>
              </c:numCache>
            </c:numRef>
          </c:val>
          <c:extLst>
            <c:ext xmlns:c16="http://schemas.microsoft.com/office/drawing/2014/chart" uri="{C3380CC4-5D6E-409C-BE32-E72D297353CC}">
              <c16:uniqueId val="{00000000-5A8C-46CF-BD8A-A38A5207CE26}"/>
            </c:ext>
          </c:extLst>
        </c:ser>
        <c:dLbls>
          <c:showLegendKey val="0"/>
          <c:showVal val="0"/>
          <c:showCatName val="0"/>
          <c:showSerName val="0"/>
          <c:showPercent val="0"/>
          <c:showBubbleSize val="0"/>
        </c:dLbls>
        <c:gapWidth val="182"/>
        <c:axId val="888009199"/>
        <c:axId val="169741375"/>
      </c:barChart>
      <c:catAx>
        <c:axId val="8880091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9741375"/>
        <c:crosses val="autoZero"/>
        <c:auto val="1"/>
        <c:lblAlgn val="ctr"/>
        <c:lblOffset val="100"/>
        <c:noMultiLvlLbl val="0"/>
      </c:catAx>
      <c:valAx>
        <c:axId val="16974137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88009199"/>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J!$B$6</c:f>
              <c:strCache>
                <c:ptCount val="1"/>
                <c:pt idx="0">
                  <c:v>Junctions Coolcour</c:v>
                </c:pt>
              </c:strCache>
            </c:strRef>
          </c:tx>
          <c:spPr>
            <a:solidFill>
              <a:schemeClr val="accent4"/>
            </a:solidFill>
            <a:ln>
              <a:noFill/>
            </a:ln>
            <a:effectLst/>
          </c:spPr>
          <c:invertIfNegative val="0"/>
          <c:cat>
            <c:strRef>
              <c:f>J!$I$5:$O$5</c:f>
              <c:strCache>
                <c:ptCount val="7"/>
                <c:pt idx="0">
                  <c:v>Materials (A1-3)</c:v>
                </c:pt>
                <c:pt idx="1">
                  <c:v>Material Transport (A4)</c:v>
                </c:pt>
                <c:pt idx="2">
                  <c:v>Plant Use (A5)</c:v>
                </c:pt>
                <c:pt idx="3">
                  <c:v>Worker Travel (A5)</c:v>
                </c:pt>
                <c:pt idx="4">
                  <c:v>Maitenance material (B2-5)</c:v>
                </c:pt>
                <c:pt idx="5">
                  <c:v>Maitenance plant (B2-5)</c:v>
                </c:pt>
                <c:pt idx="6">
                  <c:v>Operational Energy (B6)</c:v>
                </c:pt>
              </c:strCache>
            </c:strRef>
          </c:cat>
          <c:val>
            <c:numRef>
              <c:f>J!$I$6:$O$6</c:f>
              <c:numCache>
                <c:formatCode>0.0</c:formatCode>
                <c:ptCount val="7"/>
                <c:pt idx="0">
                  <c:v>151.04219999999998</c:v>
                </c:pt>
                <c:pt idx="1">
                  <c:v>18.899999999999999</c:v>
                </c:pt>
                <c:pt idx="2" formatCode="0">
                  <c:v>226.4</c:v>
                </c:pt>
                <c:pt idx="3" formatCode="0">
                  <c:v>34.6</c:v>
                </c:pt>
                <c:pt idx="4">
                  <c:v>223.0942</c:v>
                </c:pt>
                <c:pt idx="5">
                  <c:v>0</c:v>
                </c:pt>
                <c:pt idx="6" formatCode="General">
                  <c:v>232.77999999999997</c:v>
                </c:pt>
              </c:numCache>
            </c:numRef>
          </c:val>
          <c:extLst>
            <c:ext xmlns:c16="http://schemas.microsoft.com/office/drawing/2014/chart" uri="{C3380CC4-5D6E-409C-BE32-E72D297353CC}">
              <c16:uniqueId val="{00000000-A178-4E4A-A3DE-742166477DE9}"/>
            </c:ext>
          </c:extLst>
        </c:ser>
        <c:ser>
          <c:idx val="1"/>
          <c:order val="1"/>
          <c:tx>
            <c:strRef>
              <c:f>J!$B$7</c:f>
              <c:strCache>
                <c:ptCount val="1"/>
                <c:pt idx="0">
                  <c:v>Junctions Gurteenroe</c:v>
                </c:pt>
              </c:strCache>
            </c:strRef>
          </c:tx>
          <c:spPr>
            <a:solidFill>
              <a:srgbClr val="00353E"/>
            </a:solidFill>
            <a:ln>
              <a:noFill/>
            </a:ln>
            <a:effectLst/>
          </c:spPr>
          <c:invertIfNegative val="0"/>
          <c:cat>
            <c:strRef>
              <c:f>J!$I$5:$O$5</c:f>
              <c:strCache>
                <c:ptCount val="7"/>
                <c:pt idx="0">
                  <c:v>Materials (A1-3)</c:v>
                </c:pt>
                <c:pt idx="1">
                  <c:v>Material Transport (A4)</c:v>
                </c:pt>
                <c:pt idx="2">
                  <c:v>Plant Use (A5)</c:v>
                </c:pt>
                <c:pt idx="3">
                  <c:v>Worker Travel (A5)</c:v>
                </c:pt>
                <c:pt idx="4">
                  <c:v>Maitenance material (B2-5)</c:v>
                </c:pt>
                <c:pt idx="5">
                  <c:v>Maitenance plant (B2-5)</c:v>
                </c:pt>
                <c:pt idx="6">
                  <c:v>Operational Energy (B6)</c:v>
                </c:pt>
              </c:strCache>
            </c:strRef>
          </c:cat>
          <c:val>
            <c:numRef>
              <c:f>J!$I$7:$P$7</c:f>
              <c:numCache>
                <c:formatCode>0.0</c:formatCode>
                <c:ptCount val="8"/>
                <c:pt idx="0">
                  <c:v>180.22200000000001</c:v>
                </c:pt>
                <c:pt idx="1">
                  <c:v>22.1</c:v>
                </c:pt>
                <c:pt idx="2" formatCode="0">
                  <c:v>267.60000000000002</c:v>
                </c:pt>
                <c:pt idx="3" formatCode="0">
                  <c:v>40.299999999999997</c:v>
                </c:pt>
                <c:pt idx="4">
                  <c:v>263.65500000000003</c:v>
                </c:pt>
                <c:pt idx="5">
                  <c:v>0</c:v>
                </c:pt>
                <c:pt idx="6">
                  <c:v>365.7</c:v>
                </c:pt>
              </c:numCache>
            </c:numRef>
          </c:val>
          <c:extLst>
            <c:ext xmlns:c16="http://schemas.microsoft.com/office/drawing/2014/chart" uri="{C3380CC4-5D6E-409C-BE32-E72D297353CC}">
              <c16:uniqueId val="{00000001-A178-4E4A-A3DE-742166477DE9}"/>
            </c:ext>
          </c:extLst>
        </c:ser>
        <c:ser>
          <c:idx val="2"/>
          <c:order val="2"/>
          <c:tx>
            <c:strRef>
              <c:f>J!$B$8</c:f>
              <c:strCache>
                <c:ptCount val="1"/>
                <c:pt idx="0">
                  <c:v>Junctions Toonlane</c:v>
                </c:pt>
              </c:strCache>
            </c:strRef>
          </c:tx>
          <c:spPr>
            <a:solidFill>
              <a:schemeClr val="accent3"/>
            </a:solidFill>
            <a:ln>
              <a:noFill/>
            </a:ln>
            <a:effectLst/>
          </c:spPr>
          <c:invertIfNegative val="0"/>
          <c:cat>
            <c:strRef>
              <c:f>J!$I$5:$O$5</c:f>
              <c:strCache>
                <c:ptCount val="7"/>
                <c:pt idx="0">
                  <c:v>Materials (A1-3)</c:v>
                </c:pt>
                <c:pt idx="1">
                  <c:v>Material Transport (A4)</c:v>
                </c:pt>
                <c:pt idx="2">
                  <c:v>Plant Use (A5)</c:v>
                </c:pt>
                <c:pt idx="3">
                  <c:v>Worker Travel (A5)</c:v>
                </c:pt>
                <c:pt idx="4">
                  <c:v>Maitenance material (B2-5)</c:v>
                </c:pt>
                <c:pt idx="5">
                  <c:v>Maitenance plant (B2-5)</c:v>
                </c:pt>
                <c:pt idx="6">
                  <c:v>Operational Energy (B6)</c:v>
                </c:pt>
              </c:strCache>
            </c:strRef>
          </c:cat>
          <c:val>
            <c:numRef>
              <c:f>J!$I$8:$P$8</c:f>
              <c:numCache>
                <c:formatCode>0.0</c:formatCode>
                <c:ptCount val="8"/>
                <c:pt idx="0">
                  <c:v>228.62739999999999</c:v>
                </c:pt>
                <c:pt idx="1">
                  <c:v>26.5</c:v>
                </c:pt>
                <c:pt idx="2" formatCode="0">
                  <c:v>329.9</c:v>
                </c:pt>
                <c:pt idx="3" formatCode="0">
                  <c:v>21.3</c:v>
                </c:pt>
                <c:pt idx="4">
                  <c:v>324.49579999999992</c:v>
                </c:pt>
                <c:pt idx="5">
                  <c:v>0</c:v>
                </c:pt>
                <c:pt idx="6">
                  <c:v>420.56</c:v>
                </c:pt>
              </c:numCache>
            </c:numRef>
          </c:val>
          <c:extLst>
            <c:ext xmlns:c16="http://schemas.microsoft.com/office/drawing/2014/chart" uri="{C3380CC4-5D6E-409C-BE32-E72D297353CC}">
              <c16:uniqueId val="{00000002-A178-4E4A-A3DE-742166477DE9}"/>
            </c:ext>
          </c:extLst>
        </c:ser>
        <c:ser>
          <c:idx val="3"/>
          <c:order val="3"/>
          <c:tx>
            <c:strRef>
              <c:f>J!$B$10</c:f>
              <c:strCache>
                <c:ptCount val="1"/>
                <c:pt idx="0">
                  <c:v>Junctions Carrigaphooca</c:v>
                </c:pt>
              </c:strCache>
            </c:strRef>
          </c:tx>
          <c:spPr>
            <a:solidFill>
              <a:srgbClr val="008768"/>
            </a:solidFill>
            <a:ln>
              <a:noFill/>
            </a:ln>
            <a:effectLst/>
          </c:spPr>
          <c:invertIfNegative val="0"/>
          <c:cat>
            <c:strRef>
              <c:f>J!$I$5:$O$5</c:f>
              <c:strCache>
                <c:ptCount val="7"/>
                <c:pt idx="0">
                  <c:v>Materials (A1-3)</c:v>
                </c:pt>
                <c:pt idx="1">
                  <c:v>Material Transport (A4)</c:v>
                </c:pt>
                <c:pt idx="2">
                  <c:v>Plant Use (A5)</c:v>
                </c:pt>
                <c:pt idx="3">
                  <c:v>Worker Travel (A5)</c:v>
                </c:pt>
                <c:pt idx="4">
                  <c:v>Maitenance material (B2-5)</c:v>
                </c:pt>
                <c:pt idx="5">
                  <c:v>Maitenance plant (B2-5)</c:v>
                </c:pt>
                <c:pt idx="6">
                  <c:v>Operational Energy (B6)</c:v>
                </c:pt>
              </c:strCache>
            </c:strRef>
          </c:cat>
          <c:val>
            <c:numRef>
              <c:f>J!$I$10:$P$10</c:f>
              <c:numCache>
                <c:formatCode>0.0</c:formatCode>
                <c:ptCount val="8"/>
                <c:pt idx="0">
                  <c:v>123.75440000000002</c:v>
                </c:pt>
                <c:pt idx="1">
                  <c:v>14.5</c:v>
                </c:pt>
                <c:pt idx="2" formatCode="0">
                  <c:v>185.2</c:v>
                </c:pt>
                <c:pt idx="3" formatCode="0">
                  <c:v>26.5</c:v>
                </c:pt>
                <c:pt idx="4">
                  <c:v>182.53160000000003</c:v>
                </c:pt>
                <c:pt idx="5">
                  <c:v>0</c:v>
                </c:pt>
                <c:pt idx="6">
                  <c:v>146.28</c:v>
                </c:pt>
              </c:numCache>
            </c:numRef>
          </c:val>
          <c:extLst>
            <c:ext xmlns:c16="http://schemas.microsoft.com/office/drawing/2014/chart" uri="{C3380CC4-5D6E-409C-BE32-E72D297353CC}">
              <c16:uniqueId val="{00000003-A178-4E4A-A3DE-742166477DE9}"/>
            </c:ext>
          </c:extLst>
        </c:ser>
        <c:ser>
          <c:idx val="4"/>
          <c:order val="4"/>
          <c:tx>
            <c:strRef>
              <c:f>J!$B$9</c:f>
              <c:strCache>
                <c:ptCount val="1"/>
                <c:pt idx="0">
                  <c:v>Junctions Baile Bhuirne</c:v>
                </c:pt>
              </c:strCache>
            </c:strRef>
          </c:tx>
          <c:spPr>
            <a:solidFill>
              <a:schemeClr val="accent5"/>
            </a:solidFill>
            <a:ln>
              <a:noFill/>
            </a:ln>
            <a:effectLst/>
          </c:spPr>
          <c:invertIfNegative val="0"/>
          <c:cat>
            <c:strRef>
              <c:f>J!$I$5:$O$5</c:f>
              <c:strCache>
                <c:ptCount val="7"/>
                <c:pt idx="0">
                  <c:v>Materials (A1-3)</c:v>
                </c:pt>
                <c:pt idx="1">
                  <c:v>Material Transport (A4)</c:v>
                </c:pt>
                <c:pt idx="2">
                  <c:v>Plant Use (A5)</c:v>
                </c:pt>
                <c:pt idx="3">
                  <c:v>Worker Travel (A5)</c:v>
                </c:pt>
                <c:pt idx="4">
                  <c:v>Maitenance material (B2-5)</c:v>
                </c:pt>
                <c:pt idx="5">
                  <c:v>Maitenance plant (B2-5)</c:v>
                </c:pt>
                <c:pt idx="6">
                  <c:v>Operational Energy (B6)</c:v>
                </c:pt>
              </c:strCache>
            </c:strRef>
          </c:cat>
          <c:val>
            <c:numRef>
              <c:f>J!$I$9:$P$9</c:f>
              <c:numCache>
                <c:formatCode>0.0</c:formatCode>
                <c:ptCount val="8"/>
                <c:pt idx="0">
                  <c:v>137.83430000000001</c:v>
                </c:pt>
                <c:pt idx="1">
                  <c:v>16.2</c:v>
                </c:pt>
                <c:pt idx="2" formatCode="0">
                  <c:v>206.2</c:v>
                </c:pt>
                <c:pt idx="3" formatCode="0">
                  <c:v>29.6</c:v>
                </c:pt>
                <c:pt idx="4">
                  <c:v>202.81290000000001</c:v>
                </c:pt>
                <c:pt idx="5">
                  <c:v>0</c:v>
                </c:pt>
                <c:pt idx="6">
                  <c:v>498.06</c:v>
                </c:pt>
              </c:numCache>
            </c:numRef>
          </c:val>
          <c:extLst>
            <c:ext xmlns:c16="http://schemas.microsoft.com/office/drawing/2014/chart" uri="{C3380CC4-5D6E-409C-BE32-E72D297353CC}">
              <c16:uniqueId val="{00000000-8926-4633-99E0-090C664091DB}"/>
            </c:ext>
          </c:extLst>
        </c:ser>
        <c:dLbls>
          <c:showLegendKey val="0"/>
          <c:showVal val="0"/>
          <c:showCatName val="0"/>
          <c:showSerName val="0"/>
          <c:showPercent val="0"/>
          <c:showBubbleSize val="0"/>
        </c:dLbls>
        <c:gapWidth val="182"/>
        <c:axId val="1375970703"/>
        <c:axId val="626488687"/>
      </c:barChart>
      <c:catAx>
        <c:axId val="1375970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6488687"/>
        <c:crosses val="autoZero"/>
        <c:auto val="1"/>
        <c:lblAlgn val="ctr"/>
        <c:lblOffset val="100"/>
        <c:noMultiLvlLbl val="0"/>
      </c:catAx>
      <c:valAx>
        <c:axId val="62648868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5970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a:ln>
                <a:noFill/>
              </a:ln>
            </c:spPr>
            <c:extLst>
              <c:ext xmlns:c16="http://schemas.microsoft.com/office/drawing/2014/chart" uri="{C3380CC4-5D6E-409C-BE32-E72D297353CC}">
                <c16:uniqueId val="{0000000C-1DB7-4587-984D-3F3E90ED8CA7}"/>
              </c:ext>
            </c:extLst>
          </c:dPt>
          <c:dPt>
            <c:idx val="1"/>
            <c:bubble3D val="0"/>
            <c:spPr>
              <a:solidFill>
                <a:srgbClr val="0070C0"/>
              </a:solidFill>
              <a:ln>
                <a:noFill/>
              </a:ln>
            </c:spPr>
            <c:extLst>
              <c:ext xmlns:c16="http://schemas.microsoft.com/office/drawing/2014/chart" uri="{C3380CC4-5D6E-409C-BE32-E72D297353CC}">
                <c16:uniqueId val="{0000000D-1DB7-4587-984D-3F3E90ED8CA7}"/>
              </c:ext>
            </c:extLst>
          </c:dPt>
          <c:dPt>
            <c:idx val="2"/>
            <c:bubble3D val="0"/>
            <c:spPr>
              <a:solidFill>
                <a:schemeClr val="tx1">
                  <a:lumMod val="50000"/>
                  <a:lumOff val="50000"/>
                </a:schemeClr>
              </a:solidFill>
              <a:ln w="19050">
                <a:noFill/>
              </a:ln>
              <a:effectLst/>
            </c:spPr>
            <c:extLst>
              <c:ext xmlns:c16="http://schemas.microsoft.com/office/drawing/2014/chart" uri="{C3380CC4-5D6E-409C-BE32-E72D297353CC}">
                <c16:uniqueId val="{00000001-D808-44F5-9817-524113C9FAA6}"/>
              </c:ext>
            </c:extLst>
          </c:dPt>
          <c:dPt>
            <c:idx val="3"/>
            <c:bubble3D val="0"/>
            <c:spPr>
              <a:solidFill>
                <a:srgbClr val="FFC000"/>
              </a:solidFill>
              <a:ln w="19050">
                <a:noFill/>
              </a:ln>
              <a:effectLst/>
            </c:spPr>
            <c:extLst>
              <c:ext xmlns:c16="http://schemas.microsoft.com/office/drawing/2014/chart" uri="{C3380CC4-5D6E-409C-BE32-E72D297353CC}">
                <c16:uniqueId val="{00000003-D808-44F5-9817-524113C9FAA6}"/>
              </c:ext>
            </c:extLst>
          </c:dPt>
          <c:dPt>
            <c:idx val="4"/>
            <c:bubble3D val="0"/>
            <c:spPr>
              <a:solidFill>
                <a:srgbClr val="00B050"/>
              </a:solidFill>
              <a:ln w="19050">
                <a:noFill/>
              </a:ln>
              <a:effectLst/>
            </c:spPr>
            <c:extLst>
              <c:ext xmlns:c16="http://schemas.microsoft.com/office/drawing/2014/chart" uri="{C3380CC4-5D6E-409C-BE32-E72D297353CC}">
                <c16:uniqueId val="{00000005-D808-44F5-9817-524113C9FAA6}"/>
              </c:ext>
            </c:extLst>
          </c:dPt>
          <c:dPt>
            <c:idx val="5"/>
            <c:bubble3D val="0"/>
            <c:spPr>
              <a:solidFill>
                <a:srgbClr val="FFFF00"/>
              </a:solidFill>
              <a:ln w="19050">
                <a:noFill/>
              </a:ln>
              <a:effectLst/>
            </c:spPr>
            <c:extLst>
              <c:ext xmlns:c16="http://schemas.microsoft.com/office/drawing/2014/chart" uri="{C3380CC4-5D6E-409C-BE32-E72D297353CC}">
                <c16:uniqueId val="{00000007-D808-44F5-9817-524113C9FAA6}"/>
              </c:ext>
            </c:extLst>
          </c:dPt>
          <c:dPt>
            <c:idx val="6"/>
            <c:bubble3D val="0"/>
            <c:spPr>
              <a:solidFill>
                <a:srgbClr val="FF0000"/>
              </a:solidFill>
              <a:ln w="19050">
                <a:noFill/>
              </a:ln>
              <a:effectLst/>
            </c:spPr>
            <c:extLst>
              <c:ext xmlns:c16="http://schemas.microsoft.com/office/drawing/2014/chart" uri="{C3380CC4-5D6E-409C-BE32-E72D297353CC}">
                <c16:uniqueId val="{00000009-D808-44F5-9817-524113C9FAA6}"/>
              </c:ext>
            </c:extLst>
          </c:dPt>
          <c:dPt>
            <c:idx val="7"/>
            <c:bubble3D val="0"/>
            <c:spPr>
              <a:solidFill>
                <a:srgbClr val="7030A0"/>
              </a:solidFill>
              <a:ln w="19050">
                <a:noFill/>
              </a:ln>
              <a:effectLst/>
            </c:spPr>
            <c:extLst>
              <c:ext xmlns:c16="http://schemas.microsoft.com/office/drawing/2014/chart" uri="{C3380CC4-5D6E-409C-BE32-E72D297353CC}">
                <c16:uniqueId val="{0000000B-D808-44F5-9817-524113C9FAA6}"/>
              </c:ext>
            </c:extLst>
          </c:dPt>
          <c:cat>
            <c:strRef>
              <c:f>J!$B$49:$B$56</c:f>
              <c:strCache>
                <c:ptCount val="8"/>
                <c:pt idx="0">
                  <c:v>Aggregate</c:v>
                </c:pt>
                <c:pt idx="1">
                  <c:v>Asphalt</c:v>
                </c:pt>
                <c:pt idx="2">
                  <c:v>Steel</c:v>
                </c:pt>
                <c:pt idx="3">
                  <c:v>Cement and Concrete</c:v>
                </c:pt>
                <c:pt idx="4">
                  <c:v>Wood</c:v>
                </c:pt>
                <c:pt idx="5">
                  <c:v>Aluminium</c:v>
                </c:pt>
                <c:pt idx="6">
                  <c:v>Brick</c:v>
                </c:pt>
                <c:pt idx="7">
                  <c:v>Plastic</c:v>
                </c:pt>
              </c:strCache>
            </c:strRef>
          </c:cat>
          <c:val>
            <c:numRef>
              <c:f>J!$C$49:$C$56</c:f>
              <c:numCache>
                <c:formatCode>_-* #,##0_-;\-* #,##0_-;_-* "-"??_-;_-@_-</c:formatCode>
                <c:ptCount val="8"/>
                <c:pt idx="0">
                  <c:v>172.84839999999997</c:v>
                </c:pt>
                <c:pt idx="1">
                  <c:v>456.75109999999995</c:v>
                </c:pt>
                <c:pt idx="2">
                  <c:v>0</c:v>
                </c:pt>
                <c:pt idx="3">
                  <c:v>95.289299999999969</c:v>
                </c:pt>
                <c:pt idx="4">
                  <c:v>0</c:v>
                </c:pt>
                <c:pt idx="5">
                  <c:v>0</c:v>
                </c:pt>
                <c:pt idx="6">
                  <c:v>20.428100000000001</c:v>
                </c:pt>
                <c:pt idx="7">
                  <c:v>76.163399999999996</c:v>
                </c:pt>
              </c:numCache>
            </c:numRef>
          </c:val>
          <c:extLst>
            <c:ext xmlns:c16="http://schemas.microsoft.com/office/drawing/2014/chart" uri="{C3380CC4-5D6E-409C-BE32-E72D297353CC}">
              <c16:uniqueId val="{0000000C-D808-44F5-9817-524113C9FAA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cat>
            <c:strRef>
              <c:f>J!$B$49:$B$56</c:f>
              <c:strCache>
                <c:ptCount val="8"/>
                <c:pt idx="0">
                  <c:v>Aggregate</c:v>
                </c:pt>
                <c:pt idx="1">
                  <c:v>Asphalt</c:v>
                </c:pt>
                <c:pt idx="2">
                  <c:v>Steel</c:v>
                </c:pt>
                <c:pt idx="3">
                  <c:v>Cement and Concrete</c:v>
                </c:pt>
                <c:pt idx="4">
                  <c:v>Wood</c:v>
                </c:pt>
                <c:pt idx="5">
                  <c:v>Aluminium</c:v>
                </c:pt>
                <c:pt idx="6">
                  <c:v>Brick</c:v>
                </c:pt>
                <c:pt idx="7">
                  <c:v>Plastic</c:v>
                </c:pt>
              </c:strCache>
            </c:strRef>
          </c:cat>
          <c:val>
            <c:numRef>
              <c:f>J!$E$49:$E$56</c:f>
              <c:numCache>
                <c:formatCode>_-* #,##0_-;\-* #,##0_-;_-* "-"??_-;_-@_-</c:formatCode>
                <c:ptCount val="8"/>
                <c:pt idx="0">
                  <c:v>180.18530000000001</c:v>
                </c:pt>
                <c:pt idx="1">
                  <c:v>1001.0226999999999</c:v>
                </c:pt>
                <c:pt idx="2">
                  <c:v>0</c:v>
                </c:pt>
                <c:pt idx="3">
                  <c:v>0</c:v>
                </c:pt>
                <c:pt idx="4">
                  <c:v>0</c:v>
                </c:pt>
                <c:pt idx="5">
                  <c:v>0</c:v>
                </c:pt>
                <c:pt idx="6">
                  <c:v>0</c:v>
                </c:pt>
                <c:pt idx="7">
                  <c:v>15.381499999999999</c:v>
                </c:pt>
              </c:numCache>
            </c:numRef>
          </c:val>
          <c:extLst>
            <c:ext xmlns:c16="http://schemas.microsoft.com/office/drawing/2014/chart" uri="{C3380CC4-5D6E-409C-BE32-E72D297353CC}">
              <c16:uniqueId val="{00000000-F966-4A9B-82D3-4356CFA394A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C-3A37-4154-AF98-B51F11A5E0F8}"/>
              </c:ext>
            </c:extLst>
          </c:dPt>
          <c:dPt>
            <c:idx val="1"/>
            <c:bubble3D val="0"/>
            <c:spPr>
              <a:solidFill>
                <a:srgbClr val="0070C0"/>
              </a:solidFill>
            </c:spPr>
            <c:extLst>
              <c:ext xmlns:c16="http://schemas.microsoft.com/office/drawing/2014/chart" uri="{C3380CC4-5D6E-409C-BE32-E72D297353CC}">
                <c16:uniqueId val="{0000000D-3A37-4154-AF98-B51F11A5E0F8}"/>
              </c:ext>
            </c:extLst>
          </c:dPt>
          <c:dPt>
            <c:idx val="2"/>
            <c:bubble3D val="0"/>
            <c:spPr>
              <a:solidFill>
                <a:schemeClr val="tx1">
                  <a:lumMod val="50000"/>
                  <a:lumOff val="50000"/>
                </a:schemeClr>
              </a:solidFill>
            </c:spPr>
            <c:extLst>
              <c:ext xmlns:c16="http://schemas.microsoft.com/office/drawing/2014/chart" uri="{C3380CC4-5D6E-409C-BE32-E72D297353CC}">
                <c16:uniqueId val="{00000001-16C9-41AC-AC3D-D26CB80CD509}"/>
              </c:ext>
            </c:extLst>
          </c:dPt>
          <c:dPt>
            <c:idx val="3"/>
            <c:bubble3D val="0"/>
            <c:spPr>
              <a:solidFill>
                <a:srgbClr val="FFC000"/>
              </a:solidFill>
            </c:spPr>
            <c:extLst>
              <c:ext xmlns:c16="http://schemas.microsoft.com/office/drawing/2014/chart" uri="{C3380CC4-5D6E-409C-BE32-E72D297353CC}">
                <c16:uniqueId val="{00000003-16C9-41AC-AC3D-D26CB80CD509}"/>
              </c:ext>
            </c:extLst>
          </c:dPt>
          <c:dPt>
            <c:idx val="4"/>
            <c:bubble3D val="0"/>
            <c:spPr>
              <a:solidFill>
                <a:srgbClr val="00B050"/>
              </a:solidFill>
            </c:spPr>
            <c:extLst>
              <c:ext xmlns:c16="http://schemas.microsoft.com/office/drawing/2014/chart" uri="{C3380CC4-5D6E-409C-BE32-E72D297353CC}">
                <c16:uniqueId val="{00000005-16C9-41AC-AC3D-D26CB80CD509}"/>
              </c:ext>
            </c:extLst>
          </c:dPt>
          <c:dPt>
            <c:idx val="5"/>
            <c:bubble3D val="0"/>
            <c:spPr>
              <a:solidFill>
                <a:srgbClr val="FFFF00"/>
              </a:solidFill>
            </c:spPr>
            <c:extLst>
              <c:ext xmlns:c16="http://schemas.microsoft.com/office/drawing/2014/chart" uri="{C3380CC4-5D6E-409C-BE32-E72D297353CC}">
                <c16:uniqueId val="{00000007-16C9-41AC-AC3D-D26CB80CD509}"/>
              </c:ext>
            </c:extLst>
          </c:dPt>
          <c:cat>
            <c:strRef>
              <c:f>AUB!$B$55:$B$62</c:f>
              <c:strCache>
                <c:ptCount val="8"/>
                <c:pt idx="0">
                  <c:v>Aggregate</c:v>
                </c:pt>
                <c:pt idx="1">
                  <c:v>Asphalt</c:v>
                </c:pt>
                <c:pt idx="2">
                  <c:v>Steel</c:v>
                </c:pt>
                <c:pt idx="3">
                  <c:v>Cement and Concrete</c:v>
                </c:pt>
                <c:pt idx="4">
                  <c:v>Wood</c:v>
                </c:pt>
                <c:pt idx="5">
                  <c:v>Aluminium</c:v>
                </c:pt>
                <c:pt idx="6">
                  <c:v>Brick</c:v>
                </c:pt>
                <c:pt idx="7">
                  <c:v>Plastic</c:v>
                </c:pt>
              </c:strCache>
            </c:strRef>
          </c:cat>
          <c:val>
            <c:numRef>
              <c:f>'C'!$C$43:$C$50</c:f>
              <c:numCache>
                <c:formatCode>_-* #,##0_-;\-* #,##0_-;_-* "-"??_-;_-@_-</c:formatCode>
                <c:ptCount val="8"/>
                <c:pt idx="0">
                  <c:v>33.441099999999999</c:v>
                </c:pt>
                <c:pt idx="1">
                  <c:v>0</c:v>
                </c:pt>
                <c:pt idx="2">
                  <c:v>135.13380000000001</c:v>
                </c:pt>
                <c:pt idx="3">
                  <c:v>1484.0345871285706</c:v>
                </c:pt>
                <c:pt idx="4">
                  <c:v>4.4846000000000004</c:v>
                </c:pt>
                <c:pt idx="5">
                  <c:v>0</c:v>
                </c:pt>
                <c:pt idx="6">
                  <c:v>0.18410000000000001</c:v>
                </c:pt>
                <c:pt idx="7">
                  <c:v>34.695500000000003</c:v>
                </c:pt>
              </c:numCache>
            </c:numRef>
          </c:val>
          <c:extLst>
            <c:ext xmlns:c16="http://schemas.microsoft.com/office/drawing/2014/chart" uri="{C3380CC4-5D6E-409C-BE32-E72D297353CC}">
              <c16:uniqueId val="{0000000C-16C9-41AC-AC3D-D26CB80CD50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F0EF-4DA8-A8F3-6281851C336C}"/>
              </c:ext>
            </c:extLst>
          </c:dPt>
          <c:dPt>
            <c:idx val="1"/>
            <c:bubble3D val="0"/>
            <c:spPr>
              <a:solidFill>
                <a:srgbClr val="0070C0"/>
              </a:solidFill>
            </c:spPr>
            <c:extLst>
              <c:ext xmlns:c16="http://schemas.microsoft.com/office/drawing/2014/chart" uri="{C3380CC4-5D6E-409C-BE32-E72D297353CC}">
                <c16:uniqueId val="{00000001-F0EF-4DA8-A8F3-6281851C336C}"/>
              </c:ext>
            </c:extLst>
          </c:dPt>
          <c:dPt>
            <c:idx val="2"/>
            <c:bubble3D val="0"/>
            <c:spPr>
              <a:solidFill>
                <a:schemeClr val="tx1">
                  <a:lumMod val="50000"/>
                  <a:lumOff val="50000"/>
                </a:schemeClr>
              </a:solidFill>
            </c:spPr>
            <c:extLst>
              <c:ext xmlns:c16="http://schemas.microsoft.com/office/drawing/2014/chart" uri="{C3380CC4-5D6E-409C-BE32-E72D297353CC}">
                <c16:uniqueId val="{00000002-F0EF-4DA8-A8F3-6281851C336C}"/>
              </c:ext>
            </c:extLst>
          </c:dPt>
          <c:dPt>
            <c:idx val="3"/>
            <c:bubble3D val="0"/>
            <c:spPr>
              <a:solidFill>
                <a:srgbClr val="FFC000"/>
              </a:solidFill>
            </c:spPr>
            <c:extLst>
              <c:ext xmlns:c16="http://schemas.microsoft.com/office/drawing/2014/chart" uri="{C3380CC4-5D6E-409C-BE32-E72D297353CC}">
                <c16:uniqueId val="{00000003-F0EF-4DA8-A8F3-6281851C336C}"/>
              </c:ext>
            </c:extLst>
          </c:dPt>
          <c:dPt>
            <c:idx val="4"/>
            <c:bubble3D val="0"/>
            <c:spPr>
              <a:solidFill>
                <a:srgbClr val="00B050"/>
              </a:solidFill>
            </c:spPr>
            <c:extLst>
              <c:ext xmlns:c16="http://schemas.microsoft.com/office/drawing/2014/chart" uri="{C3380CC4-5D6E-409C-BE32-E72D297353CC}">
                <c16:uniqueId val="{00000004-F0EF-4DA8-A8F3-6281851C336C}"/>
              </c:ext>
            </c:extLst>
          </c:dPt>
          <c:dPt>
            <c:idx val="5"/>
            <c:bubble3D val="0"/>
            <c:spPr>
              <a:solidFill>
                <a:srgbClr val="FFFF00"/>
              </a:solidFill>
            </c:spPr>
            <c:extLst>
              <c:ext xmlns:c16="http://schemas.microsoft.com/office/drawing/2014/chart" uri="{C3380CC4-5D6E-409C-BE32-E72D297353CC}">
                <c16:uniqueId val="{00000005-F0EF-4DA8-A8F3-6281851C336C}"/>
              </c:ext>
            </c:extLst>
          </c:dPt>
          <c:dPt>
            <c:idx val="6"/>
            <c:bubble3D val="0"/>
            <c:spPr>
              <a:solidFill>
                <a:srgbClr val="FF0000"/>
              </a:solidFill>
            </c:spPr>
            <c:extLst>
              <c:ext xmlns:c16="http://schemas.microsoft.com/office/drawing/2014/chart" uri="{C3380CC4-5D6E-409C-BE32-E72D297353CC}">
                <c16:uniqueId val="{00000006-F0EF-4DA8-A8F3-6281851C336C}"/>
              </c:ext>
            </c:extLst>
          </c:dPt>
          <c:dPt>
            <c:idx val="7"/>
            <c:bubble3D val="0"/>
            <c:spPr>
              <a:solidFill>
                <a:srgbClr val="7030A0"/>
              </a:solidFill>
            </c:spPr>
            <c:extLst>
              <c:ext xmlns:c16="http://schemas.microsoft.com/office/drawing/2014/chart" uri="{C3380CC4-5D6E-409C-BE32-E72D297353CC}">
                <c16:uniqueId val="{00000007-F0EF-4DA8-A8F3-6281851C336C}"/>
              </c:ext>
            </c:extLst>
          </c:dPt>
          <c:cat>
            <c:strRef>
              <c:f>AUB!$B$55:$B$62</c:f>
              <c:strCache>
                <c:ptCount val="8"/>
                <c:pt idx="0">
                  <c:v>Aggregate</c:v>
                </c:pt>
                <c:pt idx="1">
                  <c:v>Asphalt</c:v>
                </c:pt>
                <c:pt idx="2">
                  <c:v>Steel</c:v>
                </c:pt>
                <c:pt idx="3">
                  <c:v>Cement and Concrete</c:v>
                </c:pt>
                <c:pt idx="4">
                  <c:v>Wood</c:v>
                </c:pt>
                <c:pt idx="5">
                  <c:v>Aluminium</c:v>
                </c:pt>
                <c:pt idx="6">
                  <c:v>Brick</c:v>
                </c:pt>
                <c:pt idx="7">
                  <c:v>Plastic</c:v>
                </c:pt>
              </c:strCache>
            </c:strRef>
          </c:cat>
          <c:val>
            <c:numRef>
              <c:f>'C'!$E$43:$E$50</c:f>
              <c:numCache>
                <c:formatCode>_-* #,##0_-;\-* #,##0_-;_-* "-"??_-;_-@_-</c:formatCode>
                <c:ptCount val="8"/>
                <c:pt idx="0">
                  <c:v>0</c:v>
                </c:pt>
                <c:pt idx="1">
                  <c:v>0</c:v>
                </c:pt>
                <c:pt idx="2">
                  <c:v>0</c:v>
                </c:pt>
                <c:pt idx="3">
                  <c:v>0</c:v>
                </c:pt>
                <c:pt idx="4" formatCode="_(* #,##0.00_);_(* \(#,##0.00\);_(* &quot;-&quot;??_);_(@_)">
                  <c:v>0.3921</c:v>
                </c:pt>
                <c:pt idx="5">
                  <c:v>0</c:v>
                </c:pt>
                <c:pt idx="6">
                  <c:v>0</c:v>
                </c:pt>
                <c:pt idx="7">
                  <c:v>0</c:v>
                </c:pt>
              </c:numCache>
            </c:numRef>
          </c:val>
          <c:extLst>
            <c:ext xmlns:c16="http://schemas.microsoft.com/office/drawing/2014/chart" uri="{C3380CC4-5D6E-409C-BE32-E72D297353CC}">
              <c16:uniqueId val="{00000000-3805-4F39-86F5-10ED3E231BFC}"/>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'C'!$B$6</c:f>
              <c:strCache>
                <c:ptCount val="1"/>
                <c:pt idx="0">
                  <c:v>Culverts</c:v>
                </c:pt>
              </c:strCache>
            </c:strRef>
          </c:cat>
          <c:val>
            <c:numRef>
              <c:f>'C'!$D$6</c:f>
              <c:numCache>
                <c:formatCode>0</c:formatCode>
                <c:ptCount val="1"/>
                <c:pt idx="0">
                  <c:v>2338.5736871285708</c:v>
                </c:pt>
              </c:numCache>
            </c:numRef>
          </c:val>
          <c:extLst>
            <c:ext xmlns:c16="http://schemas.microsoft.com/office/drawing/2014/chart" uri="{C3380CC4-5D6E-409C-BE32-E72D297353CC}">
              <c16:uniqueId val="{00000000-C39B-49EE-8F85-7A4B7E01BE84}"/>
            </c:ext>
          </c:extLst>
        </c:ser>
        <c:dLbls>
          <c:showLegendKey val="0"/>
          <c:showVal val="0"/>
          <c:showCatName val="0"/>
          <c:showSerName val="0"/>
          <c:showPercent val="0"/>
          <c:showBubbleSize val="0"/>
        </c:dLbls>
        <c:gapWidth val="182"/>
        <c:axId val="1408237487"/>
        <c:axId val="684474671"/>
      </c:barChart>
      <c:catAx>
        <c:axId val="140823748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474671"/>
        <c:crosses val="autoZero"/>
        <c:auto val="1"/>
        <c:lblAlgn val="ctr"/>
        <c:lblOffset val="100"/>
        <c:noMultiLvlLbl val="0"/>
      </c:catAx>
      <c:valAx>
        <c:axId val="6844746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08237487"/>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730079630948951"/>
          <c:y val="0.14142992698838502"/>
          <c:w val="0.67467539398624643"/>
          <c:h val="0.61684634738326727"/>
        </c:manualLayout>
      </c:layout>
      <c:barChart>
        <c:barDir val="bar"/>
        <c:grouping val="clustered"/>
        <c:varyColors val="0"/>
        <c:ser>
          <c:idx val="0"/>
          <c:order val="0"/>
          <c:tx>
            <c:strRef>
              <c:f>'C'!$B$6</c:f>
              <c:strCache>
                <c:ptCount val="1"/>
                <c:pt idx="0">
                  <c:v>Culverts</c:v>
                </c:pt>
              </c:strCache>
            </c:strRef>
          </c:tx>
          <c:spPr>
            <a:solidFill>
              <a:srgbClr val="59A089"/>
            </a:solidFill>
            <a:ln>
              <a:noFill/>
            </a:ln>
            <a:effectLst/>
          </c:spPr>
          <c:invertIfNegative val="0"/>
          <c:cat>
            <c:strRef>
              <c:f>'C'!$I$5:$N$5</c:f>
              <c:strCache>
                <c:ptCount val="6"/>
                <c:pt idx="0">
                  <c:v>Materials (A1-3)</c:v>
                </c:pt>
                <c:pt idx="1">
                  <c:v>Material Transport (A4)</c:v>
                </c:pt>
                <c:pt idx="2">
                  <c:v>Plant Use (A5)</c:v>
                </c:pt>
                <c:pt idx="3">
                  <c:v>Worker Travel (A5)</c:v>
                </c:pt>
                <c:pt idx="4">
                  <c:v>Maintenance material (B2-5)</c:v>
                </c:pt>
                <c:pt idx="5">
                  <c:v>Maintenance plant (B2-5)</c:v>
                </c:pt>
              </c:strCache>
            </c:strRef>
          </c:cat>
          <c:val>
            <c:numRef>
              <c:f>'C'!$I$6:$N$6</c:f>
              <c:numCache>
                <c:formatCode>0.0</c:formatCode>
                <c:ptCount val="6"/>
                <c:pt idx="0">
                  <c:v>1691.9736871285706</c:v>
                </c:pt>
                <c:pt idx="1">
                  <c:v>142</c:v>
                </c:pt>
                <c:pt idx="2">
                  <c:v>410.2</c:v>
                </c:pt>
                <c:pt idx="3">
                  <c:v>94.4</c:v>
                </c:pt>
                <c:pt idx="4">
                  <c:v>0.3921</c:v>
                </c:pt>
                <c:pt idx="5">
                  <c:v>0</c:v>
                </c:pt>
              </c:numCache>
            </c:numRef>
          </c:val>
          <c:extLst>
            <c:ext xmlns:c16="http://schemas.microsoft.com/office/drawing/2014/chart" uri="{C3380CC4-5D6E-409C-BE32-E72D297353CC}">
              <c16:uniqueId val="{00000000-4EB5-4336-881E-FFCBA1DDE28B}"/>
            </c:ext>
          </c:extLst>
        </c:ser>
        <c:dLbls>
          <c:showLegendKey val="0"/>
          <c:showVal val="0"/>
          <c:showCatName val="0"/>
          <c:showSerName val="0"/>
          <c:showPercent val="0"/>
          <c:showBubbleSize val="0"/>
        </c:dLbls>
        <c:gapWidth val="182"/>
        <c:axId val="862064799"/>
        <c:axId val="684593615"/>
      </c:barChart>
      <c:catAx>
        <c:axId val="8620647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593615"/>
        <c:crosses val="autoZero"/>
        <c:auto val="1"/>
        <c:lblAlgn val="ctr"/>
        <c:lblOffset val="100"/>
        <c:noMultiLvlLbl val="0"/>
      </c:catAx>
      <c:valAx>
        <c:axId val="6845936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62064799"/>
        <c:crosses val="autoZero"/>
        <c:crossBetween val="between"/>
      </c:valAx>
      <c:spPr>
        <a:noFill/>
        <a:ln>
          <a:noFill/>
        </a:ln>
        <a:effectLst/>
      </c:spPr>
    </c:plotArea>
    <c:legend>
      <c:legendPos val="r"/>
      <c:layout>
        <c:manualLayout>
          <c:xMode val="edge"/>
          <c:yMode val="edge"/>
          <c:x val="0.55341630539681574"/>
          <c:y val="0.91180179635472514"/>
          <c:w val="9.6354995629392717E-2"/>
          <c:h val="6.24858869300941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A1-A5 Carbon per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768"/>
            </a:solidFill>
            <a:ln>
              <a:noFill/>
            </a:ln>
            <a:effectLst/>
          </c:spPr>
          <c:invertIfNegative val="0"/>
          <c:cat>
            <c:strRef>
              <c:f>'M (no EW)'!$B$6</c:f>
              <c:strCache>
                <c:ptCount val="1"/>
                <c:pt idx="0">
                  <c:v>Mainline (excl earthworks)</c:v>
                </c:pt>
              </c:strCache>
            </c:strRef>
          </c:cat>
          <c:val>
            <c:numRef>
              <c:f>'M (no EW)'!$D$6</c:f>
              <c:numCache>
                <c:formatCode>0</c:formatCode>
                <c:ptCount val="1"/>
                <c:pt idx="0">
                  <c:v>44575.462000000007</c:v>
                </c:pt>
              </c:numCache>
            </c:numRef>
          </c:val>
          <c:extLst>
            <c:ext xmlns:c16="http://schemas.microsoft.com/office/drawing/2014/chart" uri="{C3380CC4-5D6E-409C-BE32-E72D297353CC}">
              <c16:uniqueId val="{00000000-3AA1-426E-BD1F-71E0E198F556}"/>
            </c:ext>
          </c:extLst>
        </c:ser>
        <c:dLbls>
          <c:showLegendKey val="0"/>
          <c:showVal val="0"/>
          <c:showCatName val="0"/>
          <c:showSerName val="0"/>
          <c:showPercent val="0"/>
          <c:showBubbleSize val="0"/>
        </c:dLbls>
        <c:gapWidth val="182"/>
        <c:axId val="1408237487"/>
        <c:axId val="684474671"/>
      </c:barChart>
      <c:catAx>
        <c:axId val="140823748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Structure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474671"/>
        <c:crosses val="autoZero"/>
        <c:auto val="1"/>
        <c:lblAlgn val="ctr"/>
        <c:lblOffset val="100"/>
        <c:noMultiLvlLbl val="0"/>
      </c:catAx>
      <c:valAx>
        <c:axId val="6844746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08237487"/>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solidFill>
                <a:latin typeface="Arial" panose="020B0604020202020204" pitchFamily="34" charset="0"/>
                <a:cs typeface="Arial" panose="020B0604020202020204" pitchFamily="34" charset="0"/>
              </a:rPr>
              <a:t>Carbon Breakdown per Lifecycle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116945968256226"/>
          <c:y val="0.1575168633093624"/>
          <c:w val="0.65882622403877122"/>
          <c:h val="0.60380800031883364"/>
        </c:manualLayout>
      </c:layout>
      <c:barChart>
        <c:barDir val="bar"/>
        <c:grouping val="clustered"/>
        <c:varyColors val="0"/>
        <c:ser>
          <c:idx val="0"/>
          <c:order val="0"/>
          <c:tx>
            <c:strRef>
              <c:f>'M (no EW)'!$B$6</c:f>
              <c:strCache>
                <c:ptCount val="1"/>
                <c:pt idx="0">
                  <c:v>Mainline (excl earthworks)</c:v>
                </c:pt>
              </c:strCache>
            </c:strRef>
          </c:tx>
          <c:spPr>
            <a:solidFill>
              <a:srgbClr val="59A089"/>
            </a:solidFill>
            <a:ln>
              <a:noFill/>
            </a:ln>
            <a:effectLst/>
          </c:spPr>
          <c:invertIfNegative val="0"/>
          <c:cat>
            <c:strRef>
              <c:f>'M (no EW)'!$G$5:$O$5</c:f>
              <c:strCache>
                <c:ptCount val="9"/>
                <c:pt idx="0">
                  <c:v>Materials (A1-3)</c:v>
                </c:pt>
                <c:pt idx="1">
                  <c:v>Material Transport (A4)</c:v>
                </c:pt>
                <c:pt idx="2">
                  <c:v>Clearance &amp; Demolition (A5)</c:v>
                </c:pt>
                <c:pt idx="3">
                  <c:v>Land Use Change (A5)</c:v>
                </c:pt>
                <c:pt idx="4">
                  <c:v>Excavation (A5)</c:v>
                </c:pt>
                <c:pt idx="5">
                  <c:v>Plant Use (A5)</c:v>
                </c:pt>
                <c:pt idx="6">
                  <c:v>Worker Travel (A5)</c:v>
                </c:pt>
                <c:pt idx="7">
                  <c:v>Maintenance material (B2-5)</c:v>
                </c:pt>
                <c:pt idx="8">
                  <c:v>Maintenance plant (B2-5)</c:v>
                </c:pt>
              </c:strCache>
            </c:strRef>
          </c:cat>
          <c:val>
            <c:numRef>
              <c:f>'M (no EW)'!$G$6:$O$6</c:f>
              <c:numCache>
                <c:formatCode>0</c:formatCode>
                <c:ptCount val="9"/>
                <c:pt idx="0">
                  <c:v>30843.762000000002</c:v>
                </c:pt>
                <c:pt idx="1">
                  <c:v>1808.2</c:v>
                </c:pt>
                <c:pt idx="2">
                  <c:v>88.9</c:v>
                </c:pt>
                <c:pt idx="3">
                  <c:v>2553.3000000000002</c:v>
                </c:pt>
                <c:pt idx="4">
                  <c:v>0</c:v>
                </c:pt>
                <c:pt idx="5">
                  <c:v>8136.3</c:v>
                </c:pt>
                <c:pt idx="6">
                  <c:v>1145</c:v>
                </c:pt>
                <c:pt idx="7">
                  <c:v>16950.572199999995</c:v>
                </c:pt>
                <c:pt idx="8">
                  <c:v>0</c:v>
                </c:pt>
              </c:numCache>
            </c:numRef>
          </c:val>
          <c:extLst>
            <c:ext xmlns:c16="http://schemas.microsoft.com/office/drawing/2014/chart" uri="{C3380CC4-5D6E-409C-BE32-E72D297353CC}">
              <c16:uniqueId val="{00000000-5C5E-4AE3-B8D6-9A68DBEE9992}"/>
            </c:ext>
          </c:extLst>
        </c:ser>
        <c:dLbls>
          <c:showLegendKey val="0"/>
          <c:showVal val="0"/>
          <c:showCatName val="0"/>
          <c:showSerName val="0"/>
          <c:showPercent val="0"/>
          <c:showBubbleSize val="0"/>
        </c:dLbls>
        <c:gapWidth val="182"/>
        <c:axId val="862064799"/>
        <c:axId val="684593615"/>
      </c:barChart>
      <c:catAx>
        <c:axId val="8620647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Lifecycle Stage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593615"/>
        <c:crosses val="autoZero"/>
        <c:auto val="1"/>
        <c:lblAlgn val="ctr"/>
        <c:lblOffset val="100"/>
        <c:noMultiLvlLbl val="0"/>
      </c:catAx>
      <c:valAx>
        <c:axId val="6845936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solidFill>
                    <a:latin typeface="Arial" panose="020B0604020202020204" pitchFamily="34" charset="0"/>
                    <a:cs typeface="Arial" panose="020B0604020202020204" pitchFamily="34" charset="0"/>
                  </a:rPr>
                  <a:t>Emissions (tCO₂e)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62064799"/>
        <c:crosses val="autoZero"/>
        <c:crossBetween val="between"/>
      </c:valAx>
      <c:spPr>
        <a:noFill/>
        <a:ln>
          <a:noFill/>
        </a:ln>
        <a:effectLst/>
      </c:spPr>
    </c:plotArea>
    <c:legend>
      <c:legendPos val="r"/>
      <c:layout>
        <c:manualLayout>
          <c:xMode val="edge"/>
          <c:yMode val="edge"/>
          <c:x val="0.48905461542961237"/>
          <c:y val="0.89755511647218833"/>
          <c:w val="0.24203086330514417"/>
          <c:h val="6.95933394007920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Embodied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4-46CE-4158-800F-F950AD1C48CE}"/>
              </c:ext>
            </c:extLst>
          </c:dPt>
          <c:dPt>
            <c:idx val="1"/>
            <c:bubble3D val="0"/>
            <c:spPr>
              <a:solidFill>
                <a:srgbClr val="0070C0"/>
              </a:solidFill>
            </c:spPr>
            <c:extLst>
              <c:ext xmlns:c16="http://schemas.microsoft.com/office/drawing/2014/chart" uri="{C3380CC4-5D6E-409C-BE32-E72D297353CC}">
                <c16:uniqueId val="{00000005-46CE-4158-800F-F950AD1C48CE}"/>
              </c:ext>
            </c:extLst>
          </c:dPt>
          <c:dPt>
            <c:idx val="2"/>
            <c:bubble3D val="0"/>
            <c:spPr>
              <a:solidFill>
                <a:schemeClr val="tx1">
                  <a:lumMod val="50000"/>
                  <a:lumOff val="50000"/>
                </a:schemeClr>
              </a:solidFill>
            </c:spPr>
            <c:extLst>
              <c:ext xmlns:c16="http://schemas.microsoft.com/office/drawing/2014/chart" uri="{C3380CC4-5D6E-409C-BE32-E72D297353CC}">
                <c16:uniqueId val="{00000006-46CE-4158-800F-F950AD1C48CE}"/>
              </c:ext>
            </c:extLst>
          </c:dPt>
          <c:dPt>
            <c:idx val="3"/>
            <c:bubble3D val="0"/>
            <c:spPr>
              <a:solidFill>
                <a:srgbClr val="FFC000"/>
              </a:solidFill>
            </c:spPr>
            <c:extLst>
              <c:ext xmlns:c16="http://schemas.microsoft.com/office/drawing/2014/chart" uri="{C3380CC4-5D6E-409C-BE32-E72D297353CC}">
                <c16:uniqueId val="{00000007-46CE-4158-800F-F950AD1C48CE}"/>
              </c:ext>
            </c:extLst>
          </c:dPt>
          <c:dPt>
            <c:idx val="4"/>
            <c:bubble3D val="0"/>
            <c:spPr>
              <a:solidFill>
                <a:srgbClr val="00B050"/>
              </a:solidFill>
            </c:spPr>
            <c:extLst>
              <c:ext xmlns:c16="http://schemas.microsoft.com/office/drawing/2014/chart" uri="{C3380CC4-5D6E-409C-BE32-E72D297353CC}">
                <c16:uniqueId val="{00000008-46CE-4158-800F-F950AD1C48CE}"/>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1-58E0-4B0E-BE44-94FCA0890C3C}"/>
              </c:ext>
            </c:extLst>
          </c:dPt>
          <c:dPt>
            <c:idx val="6"/>
            <c:bubble3D val="0"/>
            <c:spPr>
              <a:solidFill>
                <a:srgbClr val="FF0000"/>
              </a:solidFill>
              <a:ln w="19050">
                <a:solidFill>
                  <a:schemeClr val="lt1"/>
                </a:solidFill>
              </a:ln>
              <a:effectLst/>
            </c:spPr>
            <c:extLst>
              <c:ext xmlns:c16="http://schemas.microsoft.com/office/drawing/2014/chart" uri="{C3380CC4-5D6E-409C-BE32-E72D297353CC}">
                <c16:uniqueId val="{00000003-58E0-4B0E-BE44-94FCA0890C3C}"/>
              </c:ext>
            </c:extLst>
          </c:dPt>
          <c:dPt>
            <c:idx val="7"/>
            <c:bubble3D val="0"/>
            <c:spPr>
              <a:solidFill>
                <a:srgbClr val="7030A0"/>
              </a:solidFill>
            </c:spPr>
            <c:extLst>
              <c:ext xmlns:c16="http://schemas.microsoft.com/office/drawing/2014/chart" uri="{C3380CC4-5D6E-409C-BE32-E72D297353CC}">
                <c16:uniqueId val="{00000009-46CE-4158-800F-F950AD1C48CE}"/>
              </c:ext>
            </c:extLst>
          </c:dPt>
          <c:cat>
            <c:strRef>
              <c:f>'M (no EW)'!$B$48:$B$55</c:f>
              <c:strCache>
                <c:ptCount val="8"/>
                <c:pt idx="0">
                  <c:v>Aggregate</c:v>
                </c:pt>
                <c:pt idx="1">
                  <c:v>Asphalt</c:v>
                </c:pt>
                <c:pt idx="2">
                  <c:v>Steel</c:v>
                </c:pt>
                <c:pt idx="3">
                  <c:v>Cement and Concrete</c:v>
                </c:pt>
                <c:pt idx="4">
                  <c:v>Wood</c:v>
                </c:pt>
                <c:pt idx="5">
                  <c:v>Aluminium</c:v>
                </c:pt>
                <c:pt idx="6">
                  <c:v>Brick</c:v>
                </c:pt>
                <c:pt idx="7">
                  <c:v>Plastic</c:v>
                </c:pt>
              </c:strCache>
            </c:strRef>
          </c:cat>
          <c:val>
            <c:numRef>
              <c:f>'M (no EW)'!$C$48:$C$55</c:f>
              <c:numCache>
                <c:formatCode>_-* #,##0_-;\-* #,##0_-;_-* "-"??_-;_-@_-</c:formatCode>
                <c:ptCount val="8"/>
                <c:pt idx="0">
                  <c:v>1431.1969999999999</c:v>
                </c:pt>
                <c:pt idx="1">
                  <c:v>7426.4555</c:v>
                </c:pt>
                <c:pt idx="2">
                  <c:v>4987.0962</c:v>
                </c:pt>
                <c:pt idx="3">
                  <c:v>11629.878299999998</c:v>
                </c:pt>
                <c:pt idx="4">
                  <c:v>612.18779999999992</c:v>
                </c:pt>
                <c:pt idx="5">
                  <c:v>12.5367</c:v>
                </c:pt>
                <c:pt idx="6">
                  <c:v>0.1071</c:v>
                </c:pt>
                <c:pt idx="7">
                  <c:v>4744.3033999999998</c:v>
                </c:pt>
              </c:numCache>
            </c:numRef>
          </c:val>
          <c:extLst>
            <c:ext xmlns:c16="http://schemas.microsoft.com/office/drawing/2014/chart" uri="{C3380CC4-5D6E-409C-BE32-E72D297353CC}">
              <c16:uniqueId val="{00000004-58E0-4B0E-BE44-94FCA0890C3C}"/>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solidFill>
                <a:latin typeface="Arial" panose="020B0604020202020204" pitchFamily="34" charset="0"/>
                <a:cs typeface="Arial" panose="020B0604020202020204" pitchFamily="34" charset="0"/>
              </a:rPr>
              <a:t>Maintenance carbon material breakdown</a:t>
            </a:r>
          </a:p>
        </c:rich>
      </c:tx>
      <c:overlay val="0"/>
      <c:spPr>
        <a:noFill/>
        <a:ln>
          <a:noFill/>
        </a:ln>
        <a:effectLst/>
      </c:spPr>
    </c:title>
    <c:autoTitleDeleted val="0"/>
    <c:plotArea>
      <c:layout>
        <c:manualLayout>
          <c:layoutTarget val="inner"/>
          <c:xMode val="edge"/>
          <c:yMode val="edge"/>
          <c:x val="0.27509206442187822"/>
          <c:y val="0.15403233022207408"/>
          <c:w val="0.39991713309068566"/>
          <c:h val="0.71302382496706762"/>
        </c:manualLayout>
      </c:layout>
      <c:pieChart>
        <c:varyColors val="1"/>
        <c:ser>
          <c:idx val="0"/>
          <c:order val="0"/>
          <c:dPt>
            <c:idx val="0"/>
            <c:bubble3D val="0"/>
            <c:spPr>
              <a:solidFill>
                <a:schemeClr val="accent2">
                  <a:lumMod val="50000"/>
                </a:schemeClr>
              </a:solidFill>
            </c:spPr>
            <c:extLst>
              <c:ext xmlns:c16="http://schemas.microsoft.com/office/drawing/2014/chart" uri="{C3380CC4-5D6E-409C-BE32-E72D297353CC}">
                <c16:uniqueId val="{00000000-E02A-40B6-B928-AFAD72694F70}"/>
              </c:ext>
            </c:extLst>
          </c:dPt>
          <c:dPt>
            <c:idx val="1"/>
            <c:bubble3D val="0"/>
            <c:spPr>
              <a:solidFill>
                <a:srgbClr val="0070C0"/>
              </a:solidFill>
            </c:spPr>
            <c:extLst>
              <c:ext xmlns:c16="http://schemas.microsoft.com/office/drawing/2014/chart" uri="{C3380CC4-5D6E-409C-BE32-E72D297353CC}">
                <c16:uniqueId val="{00000001-E02A-40B6-B928-AFAD72694F70}"/>
              </c:ext>
            </c:extLst>
          </c:dPt>
          <c:dPt>
            <c:idx val="2"/>
            <c:bubble3D val="0"/>
            <c:spPr>
              <a:solidFill>
                <a:schemeClr val="tx1">
                  <a:lumMod val="50000"/>
                  <a:lumOff val="50000"/>
                </a:schemeClr>
              </a:solidFill>
            </c:spPr>
            <c:extLst>
              <c:ext xmlns:c16="http://schemas.microsoft.com/office/drawing/2014/chart" uri="{C3380CC4-5D6E-409C-BE32-E72D297353CC}">
                <c16:uniqueId val="{00000002-E02A-40B6-B928-AFAD72694F70}"/>
              </c:ext>
            </c:extLst>
          </c:dPt>
          <c:dPt>
            <c:idx val="3"/>
            <c:bubble3D val="0"/>
            <c:spPr>
              <a:solidFill>
                <a:srgbClr val="FFC000"/>
              </a:solidFill>
            </c:spPr>
            <c:extLst>
              <c:ext xmlns:c16="http://schemas.microsoft.com/office/drawing/2014/chart" uri="{C3380CC4-5D6E-409C-BE32-E72D297353CC}">
                <c16:uniqueId val="{00000003-E02A-40B6-B928-AFAD72694F70}"/>
              </c:ext>
            </c:extLst>
          </c:dPt>
          <c:dPt>
            <c:idx val="4"/>
            <c:bubble3D val="0"/>
            <c:spPr>
              <a:solidFill>
                <a:srgbClr val="00B050"/>
              </a:solidFill>
            </c:spPr>
            <c:extLst>
              <c:ext xmlns:c16="http://schemas.microsoft.com/office/drawing/2014/chart" uri="{C3380CC4-5D6E-409C-BE32-E72D297353CC}">
                <c16:uniqueId val="{00000004-E02A-40B6-B928-AFAD72694F70}"/>
              </c:ext>
            </c:extLst>
          </c:dPt>
          <c:dPt>
            <c:idx val="5"/>
            <c:bubble3D val="0"/>
            <c:spPr>
              <a:solidFill>
                <a:srgbClr val="FFFF00"/>
              </a:solidFill>
            </c:spPr>
            <c:extLst>
              <c:ext xmlns:c16="http://schemas.microsoft.com/office/drawing/2014/chart" uri="{C3380CC4-5D6E-409C-BE32-E72D297353CC}">
                <c16:uniqueId val="{00000005-E02A-40B6-B928-AFAD72694F70}"/>
              </c:ext>
            </c:extLst>
          </c:dPt>
          <c:dPt>
            <c:idx val="6"/>
            <c:bubble3D val="0"/>
            <c:spPr>
              <a:solidFill>
                <a:srgbClr val="FF0000"/>
              </a:solidFill>
            </c:spPr>
            <c:extLst>
              <c:ext xmlns:c16="http://schemas.microsoft.com/office/drawing/2014/chart" uri="{C3380CC4-5D6E-409C-BE32-E72D297353CC}">
                <c16:uniqueId val="{00000006-E02A-40B6-B928-AFAD72694F70}"/>
              </c:ext>
            </c:extLst>
          </c:dPt>
          <c:dPt>
            <c:idx val="7"/>
            <c:bubble3D val="0"/>
            <c:spPr>
              <a:solidFill>
                <a:srgbClr val="7030A0"/>
              </a:solidFill>
            </c:spPr>
            <c:extLst>
              <c:ext xmlns:c16="http://schemas.microsoft.com/office/drawing/2014/chart" uri="{C3380CC4-5D6E-409C-BE32-E72D297353CC}">
                <c16:uniqueId val="{00000007-E02A-40B6-B928-AFAD72694F70}"/>
              </c:ext>
            </c:extLst>
          </c:dPt>
          <c:cat>
            <c:strRef>
              <c:f>'M (no EW)'!$B$48:$B$55</c:f>
              <c:strCache>
                <c:ptCount val="8"/>
                <c:pt idx="0">
                  <c:v>Aggregate</c:v>
                </c:pt>
                <c:pt idx="1">
                  <c:v>Asphalt</c:v>
                </c:pt>
                <c:pt idx="2">
                  <c:v>Steel</c:v>
                </c:pt>
                <c:pt idx="3">
                  <c:v>Cement and Concrete</c:v>
                </c:pt>
                <c:pt idx="4">
                  <c:v>Wood</c:v>
                </c:pt>
                <c:pt idx="5">
                  <c:v>Aluminium</c:v>
                </c:pt>
                <c:pt idx="6">
                  <c:v>Brick</c:v>
                </c:pt>
                <c:pt idx="7">
                  <c:v>Plastic</c:v>
                </c:pt>
              </c:strCache>
            </c:strRef>
          </c:cat>
          <c:val>
            <c:numRef>
              <c:f>'M (no EW)'!$E$48:$E$55</c:f>
              <c:numCache>
                <c:formatCode>_-* #,##0_-;\-* #,##0_-;_-* "-"??_-;_-@_-</c:formatCode>
                <c:ptCount val="8"/>
                <c:pt idx="0">
                  <c:v>0</c:v>
                </c:pt>
                <c:pt idx="1">
                  <c:v>16488.1456</c:v>
                </c:pt>
                <c:pt idx="2">
                  <c:v>98.117999999999995</c:v>
                </c:pt>
                <c:pt idx="3">
                  <c:v>0</c:v>
                </c:pt>
                <c:pt idx="4">
                  <c:v>0</c:v>
                </c:pt>
                <c:pt idx="5">
                  <c:v>11.282999999999999</c:v>
                </c:pt>
                <c:pt idx="6">
                  <c:v>0</c:v>
                </c:pt>
                <c:pt idx="7">
                  <c:v>353.02559999999994</c:v>
                </c:pt>
              </c:numCache>
            </c:numRef>
          </c:val>
          <c:extLst>
            <c:ext xmlns:c16="http://schemas.microsoft.com/office/drawing/2014/chart" uri="{C3380CC4-5D6E-409C-BE32-E72D297353CC}">
              <c16:uniqueId val="{00000000-EC3D-45D7-B5C2-F153B52BFD6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381889763779523"/>
          <c:y val="0.17534558180227475"/>
          <c:w val="0.32180643044619422"/>
          <c:h val="0.6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image" Target="../media/image4.png"/><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4" Type="http://schemas.openxmlformats.org/officeDocument/2006/relationships/chart" Target="../charts/chart5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4" Type="http://schemas.openxmlformats.org/officeDocument/2006/relationships/chart" Target="../charts/chart5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 Id="rId4" Type="http://schemas.openxmlformats.org/officeDocument/2006/relationships/chart" Target="../charts/chart6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 Id="rId4" Type="http://schemas.openxmlformats.org/officeDocument/2006/relationships/chart" Target="../charts/chart6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4" Type="http://schemas.openxmlformats.org/officeDocument/2006/relationships/chart" Target="../charts/chart70.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 Id="rId4" Type="http://schemas.openxmlformats.org/officeDocument/2006/relationships/chart" Target="../charts/chart74.xml"/></Relationships>
</file>

<file path=xl/drawings/drawing1.xml><?xml version="1.0" encoding="utf-8"?>
<xdr:wsDr xmlns:xdr="http://schemas.openxmlformats.org/drawingml/2006/spreadsheetDrawing" xmlns:a="http://schemas.openxmlformats.org/drawingml/2006/main">
  <xdr:twoCellAnchor editAs="oneCell">
    <xdr:from>
      <xdr:col>2</xdr:col>
      <xdr:colOff>670560</xdr:colOff>
      <xdr:row>1</xdr:row>
      <xdr:rowOff>82961</xdr:rowOff>
    </xdr:from>
    <xdr:to>
      <xdr:col>4</xdr:col>
      <xdr:colOff>593274</xdr:colOff>
      <xdr:row>5</xdr:row>
      <xdr:rowOff>1906</xdr:rowOff>
    </xdr:to>
    <xdr:pic>
      <xdr:nvPicPr>
        <xdr:cNvPr id="5" name="Picture 4">
          <a:extLst>
            <a:ext uri="{FF2B5EF4-FFF2-40B4-BE49-F238E27FC236}">
              <a16:creationId xmlns:a16="http://schemas.microsoft.com/office/drawing/2014/main" id="{BF1244C2-B66D-D757-22BD-78A827F3A3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0" y="265841"/>
          <a:ext cx="2738304" cy="647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136112</xdr:rowOff>
    </xdr:from>
    <xdr:to>
      <xdr:col>2</xdr:col>
      <xdr:colOff>344170</xdr:colOff>
      <xdr:row>6</xdr:row>
      <xdr:rowOff>116072</xdr:rowOff>
    </xdr:to>
    <xdr:pic>
      <xdr:nvPicPr>
        <xdr:cNvPr id="6" name="Picture 5">
          <a:extLst>
            <a:ext uri="{FF2B5EF4-FFF2-40B4-BE49-F238E27FC236}">
              <a16:creationId xmlns:a16="http://schemas.microsoft.com/office/drawing/2014/main" id="{05A3E71A-4AFB-DD2D-8652-319C83DB3C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6112"/>
          <a:ext cx="1943100" cy="1077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125973</xdr:colOff>
      <xdr:row>28</xdr:row>
      <xdr:rowOff>1537</xdr:rowOff>
    </xdr:from>
    <xdr:to>
      <xdr:col>19</xdr:col>
      <xdr:colOff>574196</xdr:colOff>
      <xdr:row>52</xdr:row>
      <xdr:rowOff>211667</xdr:rowOff>
    </xdr:to>
    <xdr:graphicFrame macro="">
      <xdr:nvGraphicFramePr>
        <xdr:cNvPr id="2" name="Chart 1">
          <a:extLst>
            <a:ext uri="{FF2B5EF4-FFF2-40B4-BE49-F238E27FC236}">
              <a16:creationId xmlns:a16="http://schemas.microsoft.com/office/drawing/2014/main" id="{9E96E9EE-F501-7474-7C2A-EFF2DEAE64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173050</xdr:colOff>
      <xdr:row>6</xdr:row>
      <xdr:rowOff>127908</xdr:rowOff>
    </xdr:from>
    <xdr:to>
      <xdr:col>17</xdr:col>
      <xdr:colOff>134470</xdr:colOff>
      <xdr:row>16</xdr:row>
      <xdr:rowOff>459442</xdr:rowOff>
    </xdr:to>
    <xdr:graphicFrame macro="">
      <xdr:nvGraphicFramePr>
        <xdr:cNvPr id="4" name="Chart 3">
          <a:extLst>
            <a:ext uri="{FF2B5EF4-FFF2-40B4-BE49-F238E27FC236}">
              <a16:creationId xmlns:a16="http://schemas.microsoft.com/office/drawing/2014/main" id="{3868C4E1-523C-4D32-BBAF-8CDC4E952D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126067</xdr:colOff>
      <xdr:row>6</xdr:row>
      <xdr:rowOff>129990</xdr:rowOff>
    </xdr:from>
    <xdr:to>
      <xdr:col>7</xdr:col>
      <xdr:colOff>369795</xdr:colOff>
      <xdr:row>16</xdr:row>
      <xdr:rowOff>459442</xdr:rowOff>
    </xdr:to>
    <xdr:graphicFrame macro="">
      <xdr:nvGraphicFramePr>
        <xdr:cNvPr id="3" name="Chart 2">
          <a:extLst>
            <a:ext uri="{FF2B5EF4-FFF2-40B4-BE49-F238E27FC236}">
              <a16:creationId xmlns:a16="http://schemas.microsoft.com/office/drawing/2014/main" id="{AABEFFD2-E537-8342-2592-9F52897200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121334</xdr:colOff>
      <xdr:row>16</xdr:row>
      <xdr:rowOff>539152</xdr:rowOff>
    </xdr:from>
    <xdr:to>
      <xdr:col>7</xdr:col>
      <xdr:colOff>409575</xdr:colOff>
      <xdr:row>27</xdr:row>
      <xdr:rowOff>66675</xdr:rowOff>
    </xdr:to>
    <xdr:graphicFrame macro="">
      <xdr:nvGraphicFramePr>
        <xdr:cNvPr id="5" name="Chart 4">
          <a:extLst>
            <a:ext uri="{FF2B5EF4-FFF2-40B4-BE49-F238E27FC236}">
              <a16:creationId xmlns:a16="http://schemas.microsoft.com/office/drawing/2014/main" id="{0C0E2F23-9187-4435-A2B5-744927F3C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168088</xdr:colOff>
      <xdr:row>16</xdr:row>
      <xdr:rowOff>560294</xdr:rowOff>
    </xdr:from>
    <xdr:to>
      <xdr:col>17</xdr:col>
      <xdr:colOff>129508</xdr:colOff>
      <xdr:row>27</xdr:row>
      <xdr:rowOff>118621</xdr:rowOff>
    </xdr:to>
    <xdr:graphicFrame macro="">
      <xdr:nvGraphicFramePr>
        <xdr:cNvPr id="7" name="Chart 6">
          <a:extLst>
            <a:ext uri="{FF2B5EF4-FFF2-40B4-BE49-F238E27FC236}">
              <a16:creationId xmlns:a16="http://schemas.microsoft.com/office/drawing/2014/main" id="{73322285-62ED-435F-AB67-6BFBB69A7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153670</xdr:colOff>
      <xdr:row>48</xdr:row>
      <xdr:rowOff>45720</xdr:rowOff>
    </xdr:from>
    <xdr:to>
      <xdr:col>7</xdr:col>
      <xdr:colOff>381000</xdr:colOff>
      <xdr:row>71</xdr:row>
      <xdr:rowOff>15240</xdr:rowOff>
    </xdr:to>
    <xdr:grpSp>
      <xdr:nvGrpSpPr>
        <xdr:cNvPr id="9" name="Group 8">
          <a:extLst>
            <a:ext uri="{FF2B5EF4-FFF2-40B4-BE49-F238E27FC236}">
              <a16:creationId xmlns:a16="http://schemas.microsoft.com/office/drawing/2014/main" id="{BC8CA7C6-456E-3724-D710-1B17825839DB}"/>
            </a:ext>
          </a:extLst>
        </xdr:cNvPr>
        <xdr:cNvGrpSpPr/>
      </xdr:nvGrpSpPr>
      <xdr:grpSpPr>
        <a:xfrm>
          <a:off x="153670" y="10951845"/>
          <a:ext cx="8910955" cy="4668520"/>
          <a:chOff x="0" y="0"/>
          <a:chExt cx="5731510" cy="3172460"/>
        </a:xfrm>
      </xdr:grpSpPr>
      <xdr:pic>
        <xdr:nvPicPr>
          <xdr:cNvPr id="10" name="Picture 9" descr="A screenshot of a computer&#10;&#10;Description automatically generated">
            <a:extLst>
              <a:ext uri="{FF2B5EF4-FFF2-40B4-BE49-F238E27FC236}">
                <a16:creationId xmlns:a16="http://schemas.microsoft.com/office/drawing/2014/main" id="{33FE0EB1-9D08-12F4-6143-3C93FECCCD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5731510" cy="3172460"/>
          </a:xfrm>
          <a:prstGeom prst="rect">
            <a:avLst/>
          </a:prstGeom>
        </xdr:spPr>
      </xdr:pic>
      <xdr:sp macro="" textlink="">
        <xdr:nvSpPr>
          <xdr:cNvPr id="11" name="Rectangle 10">
            <a:extLst>
              <a:ext uri="{FF2B5EF4-FFF2-40B4-BE49-F238E27FC236}">
                <a16:creationId xmlns:a16="http://schemas.microsoft.com/office/drawing/2014/main" id="{F89162B6-BF97-9495-DBE1-54A6D0CCFBC4}"/>
              </a:ext>
            </a:extLst>
          </xdr:cNvPr>
          <xdr:cNvSpPr/>
        </xdr:nvSpPr>
        <xdr:spPr>
          <a:xfrm>
            <a:off x="74644" y="804441"/>
            <a:ext cx="3073669" cy="2050726"/>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xdr:from>
      <xdr:col>11</xdr:col>
      <xdr:colOff>142875</xdr:colOff>
      <xdr:row>53</xdr:row>
      <xdr:rowOff>127000</xdr:rowOff>
    </xdr:from>
    <xdr:to>
      <xdr:col>19</xdr:col>
      <xdr:colOff>591098</xdr:colOff>
      <xdr:row>80</xdr:row>
      <xdr:rowOff>146630</xdr:rowOff>
    </xdr:to>
    <xdr:graphicFrame macro="">
      <xdr:nvGraphicFramePr>
        <xdr:cNvPr id="6" name="Chart 5">
          <a:extLst>
            <a:ext uri="{FF2B5EF4-FFF2-40B4-BE49-F238E27FC236}">
              <a16:creationId xmlns:a16="http://schemas.microsoft.com/office/drawing/2014/main" id="{257FC58D-615E-4BAB-943A-5B949A4AE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317923</xdr:colOff>
      <xdr:row>5</xdr:row>
      <xdr:rowOff>122132</xdr:rowOff>
    </xdr:from>
    <xdr:to>
      <xdr:col>10</xdr:col>
      <xdr:colOff>26875</xdr:colOff>
      <xdr:row>17</xdr:row>
      <xdr:rowOff>53598</xdr:rowOff>
    </xdr:to>
    <xdr:graphicFrame macro="">
      <xdr:nvGraphicFramePr>
        <xdr:cNvPr id="2" name="Chart 1">
          <a:extLst>
            <a:ext uri="{FF2B5EF4-FFF2-40B4-BE49-F238E27FC236}">
              <a16:creationId xmlns:a16="http://schemas.microsoft.com/office/drawing/2014/main" id="{8AF33E51-B565-4E35-A14E-309FB45FF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642940</xdr:colOff>
      <xdr:row>5</xdr:row>
      <xdr:rowOff>142080</xdr:rowOff>
    </xdr:from>
    <xdr:to>
      <xdr:col>13</xdr:col>
      <xdr:colOff>793750</xdr:colOff>
      <xdr:row>24</xdr:row>
      <xdr:rowOff>123032</xdr:rowOff>
    </xdr:to>
    <xdr:graphicFrame macro="">
      <xdr:nvGraphicFramePr>
        <xdr:cNvPr id="3" name="Chart 1">
          <a:extLst>
            <a:ext uri="{FF2B5EF4-FFF2-40B4-BE49-F238E27FC236}">
              <a16:creationId xmlns:a16="http://schemas.microsoft.com/office/drawing/2014/main" id="{43676881-BEDE-B6A8-EBE6-459AA7BA22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21315</xdr:colOff>
      <xdr:row>50</xdr:row>
      <xdr:rowOff>130628</xdr:rowOff>
    </xdr:from>
    <xdr:to>
      <xdr:col>15</xdr:col>
      <xdr:colOff>206374</xdr:colOff>
      <xdr:row>96</xdr:row>
      <xdr:rowOff>0</xdr:rowOff>
    </xdr:to>
    <xdr:graphicFrame macro="">
      <xdr:nvGraphicFramePr>
        <xdr:cNvPr id="5" name="Chart 4">
          <a:extLst>
            <a:ext uri="{FF2B5EF4-FFF2-40B4-BE49-F238E27FC236}">
              <a16:creationId xmlns:a16="http://schemas.microsoft.com/office/drawing/2014/main" id="{F6740F67-9CD6-DCF3-5687-F8E0D2198C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603795</xdr:colOff>
      <xdr:row>99</xdr:row>
      <xdr:rowOff>14785</xdr:rowOff>
    </xdr:from>
    <xdr:to>
      <xdr:col>15</xdr:col>
      <xdr:colOff>175260</xdr:colOff>
      <xdr:row>151</xdr:row>
      <xdr:rowOff>3174</xdr:rowOff>
    </xdr:to>
    <xdr:graphicFrame macro="">
      <xdr:nvGraphicFramePr>
        <xdr:cNvPr id="6" name="Chart 5">
          <a:extLst>
            <a:ext uri="{FF2B5EF4-FFF2-40B4-BE49-F238E27FC236}">
              <a16:creationId xmlns:a16="http://schemas.microsoft.com/office/drawing/2014/main" id="{3F080561-CBB2-4B9E-938A-1F592CB2C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896708</xdr:colOff>
      <xdr:row>49</xdr:row>
      <xdr:rowOff>146050</xdr:rowOff>
    </xdr:from>
    <xdr:to>
      <xdr:col>31</xdr:col>
      <xdr:colOff>349249</xdr:colOff>
      <xdr:row>94</xdr:row>
      <xdr:rowOff>31750</xdr:rowOff>
    </xdr:to>
    <xdr:graphicFrame macro="">
      <xdr:nvGraphicFramePr>
        <xdr:cNvPr id="4" name="Chart 3">
          <a:extLst>
            <a:ext uri="{FF2B5EF4-FFF2-40B4-BE49-F238E27FC236}">
              <a16:creationId xmlns:a16="http://schemas.microsoft.com/office/drawing/2014/main" id="{4D1958CA-2756-41C9-BFA6-BBDAF008F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77787</xdr:colOff>
      <xdr:row>85</xdr:row>
      <xdr:rowOff>55562</xdr:rowOff>
    </xdr:from>
    <xdr:to>
      <xdr:col>11</xdr:col>
      <xdr:colOff>1396102</xdr:colOff>
      <xdr:row>100</xdr:row>
      <xdr:rowOff>59917</xdr:rowOff>
    </xdr:to>
    <xdr:pic>
      <xdr:nvPicPr>
        <xdr:cNvPr id="6" name="Picture 5">
          <a:extLst>
            <a:ext uri="{FF2B5EF4-FFF2-40B4-BE49-F238E27FC236}">
              <a16:creationId xmlns:a16="http://schemas.microsoft.com/office/drawing/2014/main" id="{FF485A28-4EA8-32E5-38DA-E3DAB780BB9A}"/>
            </a:ext>
          </a:extLst>
        </xdr:cNvPr>
        <xdr:cNvPicPr>
          <a:picLocks noChangeAspect="1"/>
        </xdr:cNvPicPr>
      </xdr:nvPicPr>
      <xdr:blipFill>
        <a:blip xmlns:r="http://schemas.openxmlformats.org/officeDocument/2006/relationships" r:embed="rId1"/>
        <a:stretch>
          <a:fillRect/>
        </a:stretch>
      </xdr:blipFill>
      <xdr:spPr>
        <a:xfrm>
          <a:off x="7967662" y="23772812"/>
          <a:ext cx="7300015" cy="3946435"/>
        </a:xfrm>
        <a:prstGeom prst="rect">
          <a:avLst/>
        </a:prstGeom>
      </xdr:spPr>
    </xdr:pic>
    <xdr:clientData/>
  </xdr:twoCellAnchor>
  <xdr:twoCellAnchor>
    <xdr:from>
      <xdr:col>0</xdr:col>
      <xdr:colOff>524781</xdr:colOff>
      <xdr:row>101</xdr:row>
      <xdr:rowOff>51253</xdr:rowOff>
    </xdr:from>
    <xdr:to>
      <xdr:col>8</xdr:col>
      <xdr:colOff>100239</xdr:colOff>
      <xdr:row>127</xdr:row>
      <xdr:rowOff>263525</xdr:rowOff>
    </xdr:to>
    <xdr:graphicFrame macro="">
      <xdr:nvGraphicFramePr>
        <xdr:cNvPr id="7" name="Chart 6">
          <a:extLst>
            <a:ext uri="{FF2B5EF4-FFF2-40B4-BE49-F238E27FC236}">
              <a16:creationId xmlns:a16="http://schemas.microsoft.com/office/drawing/2014/main" id="{1924EF32-799B-60FD-C11D-CADDB514B5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477066</xdr:colOff>
      <xdr:row>63</xdr:row>
      <xdr:rowOff>96520</xdr:rowOff>
    </xdr:from>
    <xdr:to>
      <xdr:col>4</xdr:col>
      <xdr:colOff>716280</xdr:colOff>
      <xdr:row>78</xdr:row>
      <xdr:rowOff>327842</xdr:rowOff>
    </xdr:to>
    <xdr:graphicFrame macro="">
      <xdr:nvGraphicFramePr>
        <xdr:cNvPr id="2" name="Chart 1">
          <a:extLst>
            <a:ext uri="{FF2B5EF4-FFF2-40B4-BE49-F238E27FC236}">
              <a16:creationId xmlns:a16="http://schemas.microsoft.com/office/drawing/2014/main" id="{CBC7A640-93F9-8A90-4EAC-EEAB15E006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386804</xdr:colOff>
      <xdr:row>63</xdr:row>
      <xdr:rowOff>88718</xdr:rowOff>
    </xdr:from>
    <xdr:to>
      <xdr:col>9</xdr:col>
      <xdr:colOff>1077142</xdr:colOff>
      <xdr:row>79</xdr:row>
      <xdr:rowOff>30480</xdr:rowOff>
    </xdr:to>
    <xdr:graphicFrame macro="">
      <xdr:nvGraphicFramePr>
        <xdr:cNvPr id="4" name="Chart 3">
          <a:extLst>
            <a:ext uri="{FF2B5EF4-FFF2-40B4-BE49-F238E27FC236}">
              <a16:creationId xmlns:a16="http://schemas.microsoft.com/office/drawing/2014/main" id="{3BD4B002-50FB-5296-5DF7-BFE1BBB60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290078</xdr:colOff>
      <xdr:row>3</xdr:row>
      <xdr:rowOff>75656</xdr:rowOff>
    </xdr:from>
    <xdr:to>
      <xdr:col>14</xdr:col>
      <xdr:colOff>823091</xdr:colOff>
      <xdr:row>21</xdr:row>
      <xdr:rowOff>447593</xdr:rowOff>
    </xdr:to>
    <xdr:grpSp>
      <xdr:nvGrpSpPr>
        <xdr:cNvPr id="14" name="Group 13">
          <a:extLst>
            <a:ext uri="{FF2B5EF4-FFF2-40B4-BE49-F238E27FC236}">
              <a16:creationId xmlns:a16="http://schemas.microsoft.com/office/drawing/2014/main" id="{ACE1D51A-654F-464D-4FB8-FFFC9D42CD42}"/>
            </a:ext>
          </a:extLst>
        </xdr:cNvPr>
        <xdr:cNvGrpSpPr/>
      </xdr:nvGrpSpPr>
      <xdr:grpSpPr>
        <a:xfrm>
          <a:off x="11164453" y="1186906"/>
          <a:ext cx="8708638" cy="6912437"/>
          <a:chOff x="24825209" y="2097919"/>
          <a:chExt cx="8387142" cy="5411220"/>
        </a:xfrm>
      </xdr:grpSpPr>
      <xdr:grpSp>
        <xdr:nvGrpSpPr>
          <xdr:cNvPr id="13" name="Group 12">
            <a:extLst>
              <a:ext uri="{FF2B5EF4-FFF2-40B4-BE49-F238E27FC236}">
                <a16:creationId xmlns:a16="http://schemas.microsoft.com/office/drawing/2014/main" id="{68BE690B-4BCE-D908-13FC-15AD93E575E0}"/>
              </a:ext>
            </a:extLst>
          </xdr:cNvPr>
          <xdr:cNvGrpSpPr/>
        </xdr:nvGrpSpPr>
        <xdr:grpSpPr>
          <a:xfrm>
            <a:off x="24825209" y="2097919"/>
            <a:ext cx="8387142" cy="5411220"/>
            <a:chOff x="24825209" y="2097919"/>
            <a:chExt cx="8387142" cy="5411220"/>
          </a:xfrm>
        </xdr:grpSpPr>
        <xdr:graphicFrame macro="">
          <xdr:nvGraphicFramePr>
            <xdr:cNvPr id="8" name="Chart 7">
              <a:extLst>
                <a:ext uri="{FF2B5EF4-FFF2-40B4-BE49-F238E27FC236}">
                  <a16:creationId xmlns:a16="http://schemas.microsoft.com/office/drawing/2014/main" id="{03796B89-FA51-E779-D88D-F1E74D016F5C}"/>
                </a:ext>
              </a:extLst>
            </xdr:cNvPr>
            <xdr:cNvGraphicFramePr/>
          </xdr:nvGraphicFramePr>
          <xdr:xfrm>
            <a:off x="24825209" y="2097919"/>
            <a:ext cx="8387142" cy="541122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5" name="Chart 4">
              <a:extLst>
                <a:ext uri="{FF2B5EF4-FFF2-40B4-BE49-F238E27FC236}">
                  <a16:creationId xmlns:a16="http://schemas.microsoft.com/office/drawing/2014/main" id="{235762E1-CCC4-D0BA-AC8A-1A156C79E237}"/>
                </a:ext>
              </a:extLst>
            </xdr:cNvPr>
            <xdr:cNvGraphicFramePr/>
          </xdr:nvGraphicFramePr>
          <xdr:xfrm>
            <a:off x="26067239" y="2972368"/>
            <a:ext cx="5899038" cy="3604343"/>
          </xdr:xfrm>
          <a:graphic>
            <a:graphicData uri="http://schemas.openxmlformats.org/drawingml/2006/chart">
              <c:chart xmlns:c="http://schemas.openxmlformats.org/drawingml/2006/chart" xmlns:r="http://schemas.openxmlformats.org/officeDocument/2006/relationships" r:id="rId6"/>
            </a:graphicData>
          </a:graphic>
        </xdr:graphicFrame>
      </xdr:grpSp>
      <xdr:cxnSp macro="">
        <xdr:nvCxnSpPr>
          <xdr:cNvPr id="10" name="Straight Connector 9">
            <a:extLst>
              <a:ext uri="{FF2B5EF4-FFF2-40B4-BE49-F238E27FC236}">
                <a16:creationId xmlns:a16="http://schemas.microsoft.com/office/drawing/2014/main" id="{87096B66-4860-9E3F-F87C-82509EC9C42F}"/>
              </a:ext>
            </a:extLst>
          </xdr:cNvPr>
          <xdr:cNvCxnSpPr>
            <a:endCxn id="8" idx="0"/>
          </xdr:cNvCxnSpPr>
        </xdr:nvCxnSpPr>
        <xdr:spPr>
          <a:xfrm flipV="1">
            <a:off x="29012092" y="2097919"/>
            <a:ext cx="3513" cy="1592489"/>
          </a:xfrm>
          <a:prstGeom prst="line">
            <a:avLst/>
          </a:prstGeom>
          <a:ln>
            <a:solidFill>
              <a:schemeClr val="tx1"/>
            </a:solidFill>
          </a:ln>
        </xdr:spPr>
        <xdr:style>
          <a:lnRef idx="3">
            <a:schemeClr val="dk1"/>
          </a:lnRef>
          <a:fillRef idx="0">
            <a:schemeClr val="dk1"/>
          </a:fillRef>
          <a:effectRef idx="2">
            <a:schemeClr val="dk1"/>
          </a:effectRef>
          <a:fontRef idx="minor">
            <a:schemeClr val="tx1"/>
          </a:fontRef>
        </xdr:style>
      </xdr:cxnSp>
      <xdr:cxnSp macro="">
        <xdr:nvCxnSpPr>
          <xdr:cNvPr id="11" name="Straight Connector 10">
            <a:extLst>
              <a:ext uri="{FF2B5EF4-FFF2-40B4-BE49-F238E27FC236}">
                <a16:creationId xmlns:a16="http://schemas.microsoft.com/office/drawing/2014/main" id="{18F87BFB-30AA-4A67-A8A8-C3DE9725C2F3}"/>
              </a:ext>
            </a:extLst>
          </xdr:cNvPr>
          <xdr:cNvCxnSpPr/>
        </xdr:nvCxnSpPr>
        <xdr:spPr>
          <a:xfrm flipH="1">
            <a:off x="26386769" y="5329428"/>
            <a:ext cx="1464959" cy="730443"/>
          </a:xfrm>
          <a:prstGeom prst="line">
            <a:avLst/>
          </a:prstGeom>
          <a:ln>
            <a:solidFill>
              <a:schemeClr val="tx1"/>
            </a:solidFill>
          </a:ln>
        </xdr:spPr>
        <xdr:style>
          <a:lnRef idx="3">
            <a:schemeClr val="dk1"/>
          </a:lnRef>
          <a:fillRef idx="0">
            <a:schemeClr val="dk1"/>
          </a:fillRef>
          <a:effectRef idx="2">
            <a:schemeClr val="dk1"/>
          </a:effectRef>
          <a:fontRef idx="minor">
            <a:schemeClr val="tx1"/>
          </a:fontRef>
        </xdr:style>
      </xdr:cxnSp>
    </xdr:grpSp>
    <xdr:clientData/>
  </xdr:twoCellAnchor>
  <xdr:twoCellAnchor>
    <xdr:from>
      <xdr:col>10</xdr:col>
      <xdr:colOff>14332</xdr:colOff>
      <xdr:row>63</xdr:row>
      <xdr:rowOff>28439</xdr:rowOff>
    </xdr:from>
    <xdr:to>
      <xdr:col>21</xdr:col>
      <xdr:colOff>521333</xdr:colOff>
      <xdr:row>79</xdr:row>
      <xdr:rowOff>907</xdr:rowOff>
    </xdr:to>
    <xdr:graphicFrame macro="">
      <xdr:nvGraphicFramePr>
        <xdr:cNvPr id="15" name="Chart 14">
          <a:extLst>
            <a:ext uri="{FF2B5EF4-FFF2-40B4-BE49-F238E27FC236}">
              <a16:creationId xmlns:a16="http://schemas.microsoft.com/office/drawing/2014/main" id="{A36604B0-F304-30FE-E54C-242463D0DD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723900</xdr:colOff>
      <xdr:row>23</xdr:row>
      <xdr:rowOff>198437</xdr:rowOff>
    </xdr:from>
    <xdr:to>
      <xdr:col>34</xdr:col>
      <xdr:colOff>457200</xdr:colOff>
      <xdr:row>40</xdr:row>
      <xdr:rowOff>146050</xdr:rowOff>
    </xdr:to>
    <xdr:graphicFrame macro="">
      <xdr:nvGraphicFramePr>
        <xdr:cNvPr id="4" name="Chart 3">
          <a:extLst>
            <a:ext uri="{FF2B5EF4-FFF2-40B4-BE49-F238E27FC236}">
              <a16:creationId xmlns:a16="http://schemas.microsoft.com/office/drawing/2014/main" id="{0F02BCCB-DC23-B573-5623-15F0745762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268434</xdr:colOff>
      <xdr:row>20</xdr:row>
      <xdr:rowOff>148168</xdr:rowOff>
    </xdr:from>
    <xdr:to>
      <xdr:col>3</xdr:col>
      <xdr:colOff>296335</xdr:colOff>
      <xdr:row>36</xdr:row>
      <xdr:rowOff>124403</xdr:rowOff>
    </xdr:to>
    <xdr:graphicFrame macro="">
      <xdr:nvGraphicFramePr>
        <xdr:cNvPr id="2" name="Chart 1">
          <a:extLst>
            <a:ext uri="{FF2B5EF4-FFF2-40B4-BE49-F238E27FC236}">
              <a16:creationId xmlns:a16="http://schemas.microsoft.com/office/drawing/2014/main" id="{6104D096-2AFD-D4A3-DED4-7149D4C3E0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517314</xdr:colOff>
      <xdr:row>21</xdr:row>
      <xdr:rowOff>0</xdr:rowOff>
    </xdr:from>
    <xdr:to>
      <xdr:col>7</xdr:col>
      <xdr:colOff>822960</xdr:colOff>
      <xdr:row>36</xdr:row>
      <xdr:rowOff>152400</xdr:rowOff>
    </xdr:to>
    <xdr:graphicFrame macro="">
      <xdr:nvGraphicFramePr>
        <xdr:cNvPr id="3" name="Chart 2">
          <a:extLst>
            <a:ext uri="{FF2B5EF4-FFF2-40B4-BE49-F238E27FC236}">
              <a16:creationId xmlns:a16="http://schemas.microsoft.com/office/drawing/2014/main" id="{03E16054-9300-CC09-E29D-D26A54E851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99962</xdr:colOff>
      <xdr:row>39</xdr:row>
      <xdr:rowOff>167005</xdr:rowOff>
    </xdr:from>
    <xdr:to>
      <xdr:col>9</xdr:col>
      <xdr:colOff>977900</xdr:colOff>
      <xdr:row>50</xdr:row>
      <xdr:rowOff>266700</xdr:rowOff>
    </xdr:to>
    <xdr:graphicFrame macro="">
      <xdr:nvGraphicFramePr>
        <xdr:cNvPr id="4" name="Chart 3">
          <a:extLst>
            <a:ext uri="{FF2B5EF4-FFF2-40B4-BE49-F238E27FC236}">
              <a16:creationId xmlns:a16="http://schemas.microsoft.com/office/drawing/2014/main" id="{1FA7B9A6-D0DE-4A87-805D-0DFBA4E42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1158242</xdr:colOff>
      <xdr:row>39</xdr:row>
      <xdr:rowOff>154244</xdr:rowOff>
    </xdr:from>
    <xdr:to>
      <xdr:col>12</xdr:col>
      <xdr:colOff>123190</xdr:colOff>
      <xdr:row>50</xdr:row>
      <xdr:rowOff>279400</xdr:rowOff>
    </xdr:to>
    <xdr:graphicFrame macro="">
      <xdr:nvGraphicFramePr>
        <xdr:cNvPr id="5" name="Chart 4">
          <a:extLst>
            <a:ext uri="{FF2B5EF4-FFF2-40B4-BE49-F238E27FC236}">
              <a16:creationId xmlns:a16="http://schemas.microsoft.com/office/drawing/2014/main" id="{D457D572-36B1-425D-A85C-1FA6B71D1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574100</xdr:colOff>
      <xdr:row>32</xdr:row>
      <xdr:rowOff>97972</xdr:rowOff>
    </xdr:from>
    <xdr:to>
      <xdr:col>3</xdr:col>
      <xdr:colOff>653144</xdr:colOff>
      <xdr:row>48</xdr:row>
      <xdr:rowOff>99349</xdr:rowOff>
    </xdr:to>
    <xdr:graphicFrame macro="">
      <xdr:nvGraphicFramePr>
        <xdr:cNvPr id="3" name="Chart 2">
          <a:extLst>
            <a:ext uri="{FF2B5EF4-FFF2-40B4-BE49-F238E27FC236}">
              <a16:creationId xmlns:a16="http://schemas.microsoft.com/office/drawing/2014/main" id="{C2A4C889-DFB3-4370-7FBE-6E2CBE7804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1230086</xdr:colOff>
      <xdr:row>32</xdr:row>
      <xdr:rowOff>65316</xdr:rowOff>
    </xdr:from>
    <xdr:to>
      <xdr:col>7</xdr:col>
      <xdr:colOff>748574</xdr:colOff>
      <xdr:row>48</xdr:row>
      <xdr:rowOff>107588</xdr:rowOff>
    </xdr:to>
    <xdr:graphicFrame macro="">
      <xdr:nvGraphicFramePr>
        <xdr:cNvPr id="4" name="Chart 3">
          <a:extLst>
            <a:ext uri="{FF2B5EF4-FFF2-40B4-BE49-F238E27FC236}">
              <a16:creationId xmlns:a16="http://schemas.microsoft.com/office/drawing/2014/main" id="{C78C1148-FF69-C622-5304-4ECB30D193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575213</xdr:colOff>
      <xdr:row>63</xdr:row>
      <xdr:rowOff>478489</xdr:rowOff>
    </xdr:from>
    <xdr:to>
      <xdr:col>2</xdr:col>
      <xdr:colOff>1358968</xdr:colOff>
      <xdr:row>70</xdr:row>
      <xdr:rowOff>95252</xdr:rowOff>
    </xdr:to>
    <xdr:graphicFrame macro="">
      <xdr:nvGraphicFramePr>
        <xdr:cNvPr id="5" name="Chart 4">
          <a:extLst>
            <a:ext uri="{FF2B5EF4-FFF2-40B4-BE49-F238E27FC236}">
              <a16:creationId xmlns:a16="http://schemas.microsoft.com/office/drawing/2014/main" id="{557F5B3A-4DB6-4C30-BD67-56F37F6C4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26890</xdr:colOff>
      <xdr:row>63</xdr:row>
      <xdr:rowOff>486779</xdr:rowOff>
    </xdr:from>
    <xdr:to>
      <xdr:col>6</xdr:col>
      <xdr:colOff>285750</xdr:colOff>
      <xdr:row>70</xdr:row>
      <xdr:rowOff>119062</xdr:rowOff>
    </xdr:to>
    <xdr:graphicFrame macro="">
      <xdr:nvGraphicFramePr>
        <xdr:cNvPr id="6" name="Chart 5">
          <a:extLst>
            <a:ext uri="{FF2B5EF4-FFF2-40B4-BE49-F238E27FC236}">
              <a16:creationId xmlns:a16="http://schemas.microsoft.com/office/drawing/2014/main" id="{0A099535-5CF1-466E-A570-3FB391300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734099</xdr:colOff>
      <xdr:row>23</xdr:row>
      <xdr:rowOff>29538</xdr:rowOff>
    </xdr:from>
    <xdr:to>
      <xdr:col>3</xdr:col>
      <xdr:colOff>858501</xdr:colOff>
      <xdr:row>36</xdr:row>
      <xdr:rowOff>137199</xdr:rowOff>
    </xdr:to>
    <xdr:graphicFrame macro="">
      <xdr:nvGraphicFramePr>
        <xdr:cNvPr id="2" name="Chart 1">
          <a:extLst>
            <a:ext uri="{FF2B5EF4-FFF2-40B4-BE49-F238E27FC236}">
              <a16:creationId xmlns:a16="http://schemas.microsoft.com/office/drawing/2014/main" id="{05BF71AF-737B-902E-7DAE-1AFF49441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1089199</xdr:colOff>
      <xdr:row>23</xdr:row>
      <xdr:rowOff>46028</xdr:rowOff>
    </xdr:from>
    <xdr:to>
      <xdr:col>8</xdr:col>
      <xdr:colOff>95250</xdr:colOff>
      <xdr:row>36</xdr:row>
      <xdr:rowOff>161925</xdr:rowOff>
    </xdr:to>
    <xdr:graphicFrame macro="">
      <xdr:nvGraphicFramePr>
        <xdr:cNvPr id="3" name="Chart 2">
          <a:extLst>
            <a:ext uri="{FF2B5EF4-FFF2-40B4-BE49-F238E27FC236}">
              <a16:creationId xmlns:a16="http://schemas.microsoft.com/office/drawing/2014/main" id="{BE16FF0C-8990-C8B1-DC83-A06F84372E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449370</xdr:colOff>
      <xdr:row>39</xdr:row>
      <xdr:rowOff>146473</xdr:rowOff>
    </xdr:from>
    <xdr:to>
      <xdr:col>10</xdr:col>
      <xdr:colOff>154094</xdr:colOff>
      <xdr:row>51</xdr:row>
      <xdr:rowOff>108796</xdr:rowOff>
    </xdr:to>
    <xdr:graphicFrame macro="">
      <xdr:nvGraphicFramePr>
        <xdr:cNvPr id="4" name="Chart 3">
          <a:extLst>
            <a:ext uri="{FF2B5EF4-FFF2-40B4-BE49-F238E27FC236}">
              <a16:creationId xmlns:a16="http://schemas.microsoft.com/office/drawing/2014/main" id="{28EAA1FE-56B3-4834-9434-519761CCA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267971</xdr:colOff>
      <xdr:row>39</xdr:row>
      <xdr:rowOff>115509</xdr:rowOff>
    </xdr:from>
    <xdr:to>
      <xdr:col>13</xdr:col>
      <xdr:colOff>355600</xdr:colOff>
      <xdr:row>51</xdr:row>
      <xdr:rowOff>127000</xdr:rowOff>
    </xdr:to>
    <xdr:graphicFrame macro="">
      <xdr:nvGraphicFramePr>
        <xdr:cNvPr id="5" name="Chart 4">
          <a:extLst>
            <a:ext uri="{FF2B5EF4-FFF2-40B4-BE49-F238E27FC236}">
              <a16:creationId xmlns:a16="http://schemas.microsoft.com/office/drawing/2014/main" id="{F736D4D7-6127-4A7B-BD04-82AD258A1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1209922</xdr:colOff>
      <xdr:row>22</xdr:row>
      <xdr:rowOff>140207</xdr:rowOff>
    </xdr:from>
    <xdr:to>
      <xdr:col>3</xdr:col>
      <xdr:colOff>1303494</xdr:colOff>
      <xdr:row>33</xdr:row>
      <xdr:rowOff>50800</xdr:rowOff>
    </xdr:to>
    <xdr:graphicFrame macro="">
      <xdr:nvGraphicFramePr>
        <xdr:cNvPr id="2" name="Chart 1">
          <a:extLst>
            <a:ext uri="{FF2B5EF4-FFF2-40B4-BE49-F238E27FC236}">
              <a16:creationId xmlns:a16="http://schemas.microsoft.com/office/drawing/2014/main" id="{308D2588-F832-4DAB-8F0D-9C422A532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230188</xdr:colOff>
      <xdr:row>22</xdr:row>
      <xdr:rowOff>155503</xdr:rowOff>
    </xdr:from>
    <xdr:to>
      <xdr:col>8</xdr:col>
      <xdr:colOff>726281</xdr:colOff>
      <xdr:row>33</xdr:row>
      <xdr:rowOff>59531</xdr:rowOff>
    </xdr:to>
    <xdr:graphicFrame macro="">
      <xdr:nvGraphicFramePr>
        <xdr:cNvPr id="3" name="Chart 2">
          <a:extLst>
            <a:ext uri="{FF2B5EF4-FFF2-40B4-BE49-F238E27FC236}">
              <a16:creationId xmlns:a16="http://schemas.microsoft.com/office/drawing/2014/main" id="{783B134E-FBB4-4905-AA98-083335662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252679</xdr:colOff>
      <xdr:row>37</xdr:row>
      <xdr:rowOff>126471</xdr:rowOff>
    </xdr:from>
    <xdr:to>
      <xdr:col>9</xdr:col>
      <xdr:colOff>1402821</xdr:colOff>
      <xdr:row>49</xdr:row>
      <xdr:rowOff>97366</xdr:rowOff>
    </xdr:to>
    <xdr:graphicFrame macro="">
      <xdr:nvGraphicFramePr>
        <xdr:cNvPr id="4" name="Chart 3">
          <a:extLst>
            <a:ext uri="{FF2B5EF4-FFF2-40B4-BE49-F238E27FC236}">
              <a16:creationId xmlns:a16="http://schemas.microsoft.com/office/drawing/2014/main" id="{5069587C-2135-4499-AFCD-E6B363599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15080</xdr:colOff>
      <xdr:row>37</xdr:row>
      <xdr:rowOff>109160</xdr:rowOff>
    </xdr:from>
    <xdr:to>
      <xdr:col>12</xdr:col>
      <xdr:colOff>2024063</xdr:colOff>
      <xdr:row>49</xdr:row>
      <xdr:rowOff>92075</xdr:rowOff>
    </xdr:to>
    <xdr:graphicFrame macro="">
      <xdr:nvGraphicFramePr>
        <xdr:cNvPr id="5" name="Chart 4">
          <a:extLst>
            <a:ext uri="{FF2B5EF4-FFF2-40B4-BE49-F238E27FC236}">
              <a16:creationId xmlns:a16="http://schemas.microsoft.com/office/drawing/2014/main" id="{EE4DC341-4C3A-4DCB-8095-04E321212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564766</xdr:colOff>
      <xdr:row>28</xdr:row>
      <xdr:rowOff>50704</xdr:rowOff>
    </xdr:from>
    <xdr:to>
      <xdr:col>3</xdr:col>
      <xdr:colOff>709083</xdr:colOff>
      <xdr:row>44</xdr:row>
      <xdr:rowOff>63500</xdr:rowOff>
    </xdr:to>
    <xdr:graphicFrame macro="">
      <xdr:nvGraphicFramePr>
        <xdr:cNvPr id="2" name="Chart 1">
          <a:extLst>
            <a:ext uri="{FF2B5EF4-FFF2-40B4-BE49-F238E27FC236}">
              <a16:creationId xmlns:a16="http://schemas.microsoft.com/office/drawing/2014/main" id="{005C7761-5717-4DDF-BD6D-CED5E94A3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877742</xdr:colOff>
      <xdr:row>28</xdr:row>
      <xdr:rowOff>28671</xdr:rowOff>
    </xdr:from>
    <xdr:to>
      <xdr:col>7</xdr:col>
      <xdr:colOff>592666</xdr:colOff>
      <xdr:row>44</xdr:row>
      <xdr:rowOff>74083</xdr:rowOff>
    </xdr:to>
    <xdr:graphicFrame macro="">
      <xdr:nvGraphicFramePr>
        <xdr:cNvPr id="3" name="Chart 2">
          <a:extLst>
            <a:ext uri="{FF2B5EF4-FFF2-40B4-BE49-F238E27FC236}">
              <a16:creationId xmlns:a16="http://schemas.microsoft.com/office/drawing/2014/main" id="{988E4677-AE07-4FBB-8DC1-D7379E579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538087</xdr:colOff>
      <xdr:row>61</xdr:row>
      <xdr:rowOff>119440</xdr:rowOff>
    </xdr:from>
    <xdr:to>
      <xdr:col>3</xdr:col>
      <xdr:colOff>390072</xdr:colOff>
      <xdr:row>70</xdr:row>
      <xdr:rowOff>71059</xdr:rowOff>
    </xdr:to>
    <xdr:graphicFrame macro="">
      <xdr:nvGraphicFramePr>
        <xdr:cNvPr id="4" name="Chart 3">
          <a:extLst>
            <a:ext uri="{FF2B5EF4-FFF2-40B4-BE49-F238E27FC236}">
              <a16:creationId xmlns:a16="http://schemas.microsoft.com/office/drawing/2014/main" id="{21B50C2A-8EE8-4D0D-BCE6-0C74E2AA6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575463</xdr:colOff>
      <xdr:row>61</xdr:row>
      <xdr:rowOff>116989</xdr:rowOff>
    </xdr:from>
    <xdr:to>
      <xdr:col>7</xdr:col>
      <xdr:colOff>520397</xdr:colOff>
      <xdr:row>70</xdr:row>
      <xdr:rowOff>70786</xdr:rowOff>
    </xdr:to>
    <xdr:graphicFrame macro="">
      <xdr:nvGraphicFramePr>
        <xdr:cNvPr id="5" name="Chart 4">
          <a:extLst>
            <a:ext uri="{FF2B5EF4-FFF2-40B4-BE49-F238E27FC236}">
              <a16:creationId xmlns:a16="http://schemas.microsoft.com/office/drawing/2014/main" id="{C05607BC-0F41-4D2D-B3F2-7EB946EE9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1550</xdr:colOff>
      <xdr:row>23</xdr:row>
      <xdr:rowOff>122198</xdr:rowOff>
    </xdr:from>
    <xdr:to>
      <xdr:col>3</xdr:col>
      <xdr:colOff>1266825</xdr:colOff>
      <xdr:row>39</xdr:row>
      <xdr:rowOff>161924</xdr:rowOff>
    </xdr:to>
    <xdr:graphicFrame macro="">
      <xdr:nvGraphicFramePr>
        <xdr:cNvPr id="2" name="Chart 1">
          <a:extLst>
            <a:ext uri="{FF2B5EF4-FFF2-40B4-BE49-F238E27FC236}">
              <a16:creationId xmlns:a16="http://schemas.microsoft.com/office/drawing/2014/main" id="{12B7DD62-64E3-4BB2-813F-63FDB973D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xdr:colOff>
      <xdr:row>23</xdr:row>
      <xdr:rowOff>114299</xdr:rowOff>
    </xdr:from>
    <xdr:to>
      <xdr:col>8</xdr:col>
      <xdr:colOff>47625</xdr:colOff>
      <xdr:row>39</xdr:row>
      <xdr:rowOff>133349</xdr:rowOff>
    </xdr:to>
    <xdr:graphicFrame macro="">
      <xdr:nvGraphicFramePr>
        <xdr:cNvPr id="3" name="Chart 2">
          <a:extLst>
            <a:ext uri="{FF2B5EF4-FFF2-40B4-BE49-F238E27FC236}">
              <a16:creationId xmlns:a16="http://schemas.microsoft.com/office/drawing/2014/main" id="{600C6888-FB08-46DB-B25C-F497C3E60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236010</xdr:colOff>
      <xdr:row>42</xdr:row>
      <xdr:rowOff>131233</xdr:rowOff>
    </xdr:from>
    <xdr:to>
      <xdr:col>9</xdr:col>
      <xdr:colOff>1398059</xdr:colOff>
      <xdr:row>54</xdr:row>
      <xdr:rowOff>106891</xdr:rowOff>
    </xdr:to>
    <xdr:graphicFrame macro="">
      <xdr:nvGraphicFramePr>
        <xdr:cNvPr id="4" name="Chart 3">
          <a:extLst>
            <a:ext uri="{FF2B5EF4-FFF2-40B4-BE49-F238E27FC236}">
              <a16:creationId xmlns:a16="http://schemas.microsoft.com/office/drawing/2014/main" id="{1F8775C4-1438-4849-ACBC-7277736BC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1534162</xdr:colOff>
      <xdr:row>42</xdr:row>
      <xdr:rowOff>143449</xdr:rowOff>
    </xdr:from>
    <xdr:to>
      <xdr:col>13</xdr:col>
      <xdr:colOff>28576</xdr:colOff>
      <xdr:row>54</xdr:row>
      <xdr:rowOff>123825</xdr:rowOff>
    </xdr:to>
    <xdr:graphicFrame macro="">
      <xdr:nvGraphicFramePr>
        <xdr:cNvPr id="5" name="Chart 4">
          <a:extLst>
            <a:ext uri="{FF2B5EF4-FFF2-40B4-BE49-F238E27FC236}">
              <a16:creationId xmlns:a16="http://schemas.microsoft.com/office/drawing/2014/main" id="{46B29FC5-0852-47D1-A3A5-61A1280B5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21</xdr:row>
      <xdr:rowOff>127001</xdr:rowOff>
    </xdr:from>
    <xdr:to>
      <xdr:col>3</xdr:col>
      <xdr:colOff>771525</xdr:colOff>
      <xdr:row>37</xdr:row>
      <xdr:rowOff>149802</xdr:rowOff>
    </xdr:to>
    <xdr:graphicFrame macro="">
      <xdr:nvGraphicFramePr>
        <xdr:cNvPr id="2" name="Chart 1">
          <a:extLst>
            <a:ext uri="{FF2B5EF4-FFF2-40B4-BE49-F238E27FC236}">
              <a16:creationId xmlns:a16="http://schemas.microsoft.com/office/drawing/2014/main" id="{638067A9-FADC-4A50-B61E-9FB421F16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906992</xdr:colOff>
      <xdr:row>21</xdr:row>
      <xdr:rowOff>123825</xdr:rowOff>
    </xdr:from>
    <xdr:to>
      <xdr:col>7</xdr:col>
      <xdr:colOff>751418</xdr:colOff>
      <xdr:row>37</xdr:row>
      <xdr:rowOff>120650</xdr:rowOff>
    </xdr:to>
    <xdr:graphicFrame macro="">
      <xdr:nvGraphicFramePr>
        <xdr:cNvPr id="3" name="Chart 2">
          <a:extLst>
            <a:ext uri="{FF2B5EF4-FFF2-40B4-BE49-F238E27FC236}">
              <a16:creationId xmlns:a16="http://schemas.microsoft.com/office/drawing/2014/main" id="{7ED3367C-DBDE-4847-9656-23B2754E4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179919</xdr:colOff>
      <xdr:row>40</xdr:row>
      <xdr:rowOff>102658</xdr:rowOff>
    </xdr:from>
    <xdr:to>
      <xdr:col>9</xdr:col>
      <xdr:colOff>1495426</xdr:colOff>
      <xdr:row>52</xdr:row>
      <xdr:rowOff>81491</xdr:rowOff>
    </xdr:to>
    <xdr:graphicFrame macro="">
      <xdr:nvGraphicFramePr>
        <xdr:cNvPr id="4" name="Chart 3">
          <a:extLst>
            <a:ext uri="{FF2B5EF4-FFF2-40B4-BE49-F238E27FC236}">
              <a16:creationId xmlns:a16="http://schemas.microsoft.com/office/drawing/2014/main" id="{AC3036D5-089F-407F-8D6B-8488582EB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59904</xdr:colOff>
      <xdr:row>40</xdr:row>
      <xdr:rowOff>95824</xdr:rowOff>
    </xdr:from>
    <xdr:to>
      <xdr:col>13</xdr:col>
      <xdr:colOff>423334</xdr:colOff>
      <xdr:row>52</xdr:row>
      <xdr:rowOff>52917</xdr:rowOff>
    </xdr:to>
    <xdr:graphicFrame macro="">
      <xdr:nvGraphicFramePr>
        <xdr:cNvPr id="5" name="Chart 4">
          <a:extLst>
            <a:ext uri="{FF2B5EF4-FFF2-40B4-BE49-F238E27FC236}">
              <a16:creationId xmlns:a16="http://schemas.microsoft.com/office/drawing/2014/main" id="{CAE7C493-1EE4-4E7A-9488-B93BCE3FF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11762</xdr:colOff>
      <xdr:row>19</xdr:row>
      <xdr:rowOff>197573</xdr:rowOff>
    </xdr:from>
    <xdr:to>
      <xdr:col>3</xdr:col>
      <xdr:colOff>547687</xdr:colOff>
      <xdr:row>30</xdr:row>
      <xdr:rowOff>71437</xdr:rowOff>
    </xdr:to>
    <xdr:graphicFrame macro="">
      <xdr:nvGraphicFramePr>
        <xdr:cNvPr id="2" name="Chart 1">
          <a:extLst>
            <a:ext uri="{FF2B5EF4-FFF2-40B4-BE49-F238E27FC236}">
              <a16:creationId xmlns:a16="http://schemas.microsoft.com/office/drawing/2014/main" id="{8D521399-9F2A-43DA-B49B-907B22AC0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671730</xdr:colOff>
      <xdr:row>19</xdr:row>
      <xdr:rowOff>188984</xdr:rowOff>
    </xdr:from>
    <xdr:to>
      <xdr:col>7</xdr:col>
      <xdr:colOff>1337469</xdr:colOff>
      <xdr:row>30</xdr:row>
      <xdr:rowOff>63499</xdr:rowOff>
    </xdr:to>
    <xdr:graphicFrame macro="">
      <xdr:nvGraphicFramePr>
        <xdr:cNvPr id="3" name="Chart 2">
          <a:extLst>
            <a:ext uri="{FF2B5EF4-FFF2-40B4-BE49-F238E27FC236}">
              <a16:creationId xmlns:a16="http://schemas.microsoft.com/office/drawing/2014/main" id="{55B42554-FB45-400E-87B7-3356A15C1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283821</xdr:colOff>
      <xdr:row>33</xdr:row>
      <xdr:rowOff>142193</xdr:rowOff>
    </xdr:from>
    <xdr:to>
      <xdr:col>9</xdr:col>
      <xdr:colOff>214312</xdr:colOff>
      <xdr:row>48</xdr:row>
      <xdr:rowOff>154781</xdr:rowOff>
    </xdr:to>
    <xdr:graphicFrame macro="">
      <xdr:nvGraphicFramePr>
        <xdr:cNvPr id="4" name="Chart 3">
          <a:extLst>
            <a:ext uri="{FF2B5EF4-FFF2-40B4-BE49-F238E27FC236}">
              <a16:creationId xmlns:a16="http://schemas.microsoft.com/office/drawing/2014/main" id="{37A487D2-C123-4238-BC43-F302625C2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372270</xdr:colOff>
      <xdr:row>33</xdr:row>
      <xdr:rowOff>132216</xdr:rowOff>
    </xdr:from>
    <xdr:to>
      <xdr:col>11</xdr:col>
      <xdr:colOff>1250156</xdr:colOff>
      <xdr:row>48</xdr:row>
      <xdr:rowOff>130969</xdr:rowOff>
    </xdr:to>
    <xdr:graphicFrame macro="">
      <xdr:nvGraphicFramePr>
        <xdr:cNvPr id="5" name="Chart 4">
          <a:extLst>
            <a:ext uri="{FF2B5EF4-FFF2-40B4-BE49-F238E27FC236}">
              <a16:creationId xmlns:a16="http://schemas.microsoft.com/office/drawing/2014/main" id="{D299A0E6-5ECD-45D5-9C49-E64E24F8C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44930</xdr:colOff>
      <xdr:row>24</xdr:row>
      <xdr:rowOff>21166</xdr:rowOff>
    </xdr:from>
    <xdr:to>
      <xdr:col>3</xdr:col>
      <xdr:colOff>751416</xdr:colOff>
      <xdr:row>38</xdr:row>
      <xdr:rowOff>116415</xdr:rowOff>
    </xdr:to>
    <xdr:graphicFrame macro="">
      <xdr:nvGraphicFramePr>
        <xdr:cNvPr id="2" name="Chart 1">
          <a:extLst>
            <a:ext uri="{FF2B5EF4-FFF2-40B4-BE49-F238E27FC236}">
              <a16:creationId xmlns:a16="http://schemas.microsoft.com/office/drawing/2014/main" id="{AB405869-7DD4-47B1-8CC1-D709DBAA2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1020231</xdr:colOff>
      <xdr:row>24</xdr:row>
      <xdr:rowOff>10584</xdr:rowOff>
    </xdr:from>
    <xdr:to>
      <xdr:col>8</xdr:col>
      <xdr:colOff>201084</xdr:colOff>
      <xdr:row>38</xdr:row>
      <xdr:rowOff>116416</xdr:rowOff>
    </xdr:to>
    <xdr:graphicFrame macro="">
      <xdr:nvGraphicFramePr>
        <xdr:cNvPr id="3" name="Chart 2">
          <a:extLst>
            <a:ext uri="{FF2B5EF4-FFF2-40B4-BE49-F238E27FC236}">
              <a16:creationId xmlns:a16="http://schemas.microsoft.com/office/drawing/2014/main" id="{ED0F4950-A246-42EA-A865-D3AC6096F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275168</xdr:colOff>
      <xdr:row>41</xdr:row>
      <xdr:rowOff>144991</xdr:rowOff>
    </xdr:from>
    <xdr:to>
      <xdr:col>9</xdr:col>
      <xdr:colOff>1421343</xdr:colOff>
      <xdr:row>53</xdr:row>
      <xdr:rowOff>102657</xdr:rowOff>
    </xdr:to>
    <xdr:graphicFrame macro="">
      <xdr:nvGraphicFramePr>
        <xdr:cNvPr id="4" name="Chart 3">
          <a:extLst>
            <a:ext uri="{FF2B5EF4-FFF2-40B4-BE49-F238E27FC236}">
              <a16:creationId xmlns:a16="http://schemas.microsoft.com/office/drawing/2014/main" id="{664B170F-FA3A-4940-A5B0-80C63728C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84245</xdr:colOff>
      <xdr:row>41</xdr:row>
      <xdr:rowOff>140274</xdr:rowOff>
    </xdr:from>
    <xdr:to>
      <xdr:col>13</xdr:col>
      <xdr:colOff>275166</xdr:colOff>
      <xdr:row>53</xdr:row>
      <xdr:rowOff>95250</xdr:rowOff>
    </xdr:to>
    <xdr:graphicFrame macro="">
      <xdr:nvGraphicFramePr>
        <xdr:cNvPr id="5" name="Chart 4">
          <a:extLst>
            <a:ext uri="{FF2B5EF4-FFF2-40B4-BE49-F238E27FC236}">
              <a16:creationId xmlns:a16="http://schemas.microsoft.com/office/drawing/2014/main" id="{AEE5215B-C0D9-4A5C-AAD8-91BD04E76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578066</xdr:colOff>
      <xdr:row>28</xdr:row>
      <xdr:rowOff>74613</xdr:rowOff>
    </xdr:from>
    <xdr:to>
      <xdr:col>3</xdr:col>
      <xdr:colOff>1166812</xdr:colOff>
      <xdr:row>42</xdr:row>
      <xdr:rowOff>110331</xdr:rowOff>
    </xdr:to>
    <xdr:graphicFrame macro="">
      <xdr:nvGraphicFramePr>
        <xdr:cNvPr id="2" name="Chart 1">
          <a:extLst>
            <a:ext uri="{FF2B5EF4-FFF2-40B4-BE49-F238E27FC236}">
              <a16:creationId xmlns:a16="http://schemas.microsoft.com/office/drawing/2014/main" id="{7D0B2FD1-B5F1-4DB7-96EE-4E5AB1C08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1300017</xdr:colOff>
      <xdr:row>28</xdr:row>
      <xdr:rowOff>95250</xdr:rowOff>
    </xdr:from>
    <xdr:to>
      <xdr:col>8</xdr:col>
      <xdr:colOff>634205</xdr:colOff>
      <xdr:row>42</xdr:row>
      <xdr:rowOff>122237</xdr:rowOff>
    </xdr:to>
    <xdr:graphicFrame macro="">
      <xdr:nvGraphicFramePr>
        <xdr:cNvPr id="5" name="Chart 4">
          <a:extLst>
            <a:ext uri="{FF2B5EF4-FFF2-40B4-BE49-F238E27FC236}">
              <a16:creationId xmlns:a16="http://schemas.microsoft.com/office/drawing/2014/main" id="{2CAFED2A-8D8A-4802-A787-2EDE2E693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585034</xdr:colOff>
      <xdr:row>57</xdr:row>
      <xdr:rowOff>43129</xdr:rowOff>
    </xdr:from>
    <xdr:to>
      <xdr:col>3</xdr:col>
      <xdr:colOff>759885</xdr:colOff>
      <xdr:row>62</xdr:row>
      <xdr:rowOff>476668</xdr:rowOff>
    </xdr:to>
    <xdr:graphicFrame macro="">
      <xdr:nvGraphicFramePr>
        <xdr:cNvPr id="3" name="Chart 2">
          <a:extLst>
            <a:ext uri="{FF2B5EF4-FFF2-40B4-BE49-F238E27FC236}">
              <a16:creationId xmlns:a16="http://schemas.microsoft.com/office/drawing/2014/main" id="{3A5A5577-69CA-4C49-8DC6-231A07BD1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1126175</xdr:colOff>
      <xdr:row>57</xdr:row>
      <xdr:rowOff>8171</xdr:rowOff>
    </xdr:from>
    <xdr:to>
      <xdr:col>7</xdr:col>
      <xdr:colOff>926193</xdr:colOff>
      <xdr:row>62</xdr:row>
      <xdr:rowOff>451825</xdr:rowOff>
    </xdr:to>
    <xdr:graphicFrame macro="">
      <xdr:nvGraphicFramePr>
        <xdr:cNvPr id="4" name="Chart 3">
          <a:extLst>
            <a:ext uri="{FF2B5EF4-FFF2-40B4-BE49-F238E27FC236}">
              <a16:creationId xmlns:a16="http://schemas.microsoft.com/office/drawing/2014/main" id="{38BC3395-E0C8-4C27-80FA-B63B00B15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27214</xdr:colOff>
      <xdr:row>23</xdr:row>
      <xdr:rowOff>95250</xdr:rowOff>
    </xdr:from>
    <xdr:to>
      <xdr:col>3</xdr:col>
      <xdr:colOff>296182</xdr:colOff>
      <xdr:row>41</xdr:row>
      <xdr:rowOff>87993</xdr:rowOff>
    </xdr:to>
    <xdr:graphicFrame macro="">
      <xdr:nvGraphicFramePr>
        <xdr:cNvPr id="2" name="Chart 1">
          <a:extLst>
            <a:ext uri="{FF2B5EF4-FFF2-40B4-BE49-F238E27FC236}">
              <a16:creationId xmlns:a16="http://schemas.microsoft.com/office/drawing/2014/main" id="{CFF0DE47-A74B-4229-AEB0-F1820B97C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530678</xdr:colOff>
      <xdr:row>23</xdr:row>
      <xdr:rowOff>84818</xdr:rowOff>
    </xdr:from>
    <xdr:to>
      <xdr:col>8</xdr:col>
      <xdr:colOff>742950</xdr:colOff>
      <xdr:row>41</xdr:row>
      <xdr:rowOff>47625</xdr:rowOff>
    </xdr:to>
    <xdr:graphicFrame macro="">
      <xdr:nvGraphicFramePr>
        <xdr:cNvPr id="3" name="Chart 2">
          <a:extLst>
            <a:ext uri="{FF2B5EF4-FFF2-40B4-BE49-F238E27FC236}">
              <a16:creationId xmlns:a16="http://schemas.microsoft.com/office/drawing/2014/main" id="{F79DD146-EA61-4190-AB80-F4DA5C0A3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121103</xdr:colOff>
      <xdr:row>44</xdr:row>
      <xdr:rowOff>134256</xdr:rowOff>
    </xdr:from>
    <xdr:to>
      <xdr:col>9</xdr:col>
      <xdr:colOff>85725</xdr:colOff>
      <xdr:row>61</xdr:row>
      <xdr:rowOff>114301</xdr:rowOff>
    </xdr:to>
    <xdr:graphicFrame macro="">
      <xdr:nvGraphicFramePr>
        <xdr:cNvPr id="4" name="Chart 3">
          <a:extLst>
            <a:ext uri="{FF2B5EF4-FFF2-40B4-BE49-F238E27FC236}">
              <a16:creationId xmlns:a16="http://schemas.microsoft.com/office/drawing/2014/main" id="{639A5157-3708-036F-1166-A89B9AE6A4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171451</xdr:colOff>
      <xdr:row>44</xdr:row>
      <xdr:rowOff>130630</xdr:rowOff>
    </xdr:from>
    <xdr:to>
      <xdr:col>12</xdr:col>
      <xdr:colOff>457201</xdr:colOff>
      <xdr:row>61</xdr:row>
      <xdr:rowOff>114301</xdr:rowOff>
    </xdr:to>
    <xdr:graphicFrame macro="">
      <xdr:nvGraphicFramePr>
        <xdr:cNvPr id="5" name="Chart 4">
          <a:extLst>
            <a:ext uri="{FF2B5EF4-FFF2-40B4-BE49-F238E27FC236}">
              <a16:creationId xmlns:a16="http://schemas.microsoft.com/office/drawing/2014/main" id="{481DCCE5-38EC-4B1B-8F86-6A96EB304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26</xdr:row>
      <xdr:rowOff>146049</xdr:rowOff>
    </xdr:from>
    <xdr:to>
      <xdr:col>3</xdr:col>
      <xdr:colOff>1393031</xdr:colOff>
      <xdr:row>43</xdr:row>
      <xdr:rowOff>47625</xdr:rowOff>
    </xdr:to>
    <xdr:graphicFrame macro="">
      <xdr:nvGraphicFramePr>
        <xdr:cNvPr id="2" name="Chart 1">
          <a:extLst>
            <a:ext uri="{FF2B5EF4-FFF2-40B4-BE49-F238E27FC236}">
              <a16:creationId xmlns:a16="http://schemas.microsoft.com/office/drawing/2014/main" id="{53DD6B04-999E-40C7-BFA8-E994B7A54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50800</xdr:colOff>
      <xdr:row>26</xdr:row>
      <xdr:rowOff>145257</xdr:rowOff>
    </xdr:from>
    <xdr:to>
      <xdr:col>9</xdr:col>
      <xdr:colOff>1357313</xdr:colOff>
      <xdr:row>43</xdr:row>
      <xdr:rowOff>35718</xdr:rowOff>
    </xdr:to>
    <xdr:graphicFrame macro="">
      <xdr:nvGraphicFramePr>
        <xdr:cNvPr id="3" name="Chart 2">
          <a:extLst>
            <a:ext uri="{FF2B5EF4-FFF2-40B4-BE49-F238E27FC236}">
              <a16:creationId xmlns:a16="http://schemas.microsoft.com/office/drawing/2014/main" id="{8F3EC711-0CC2-440D-A466-31562BF00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276492</xdr:colOff>
      <xdr:row>45</xdr:row>
      <xdr:rowOff>162189</xdr:rowOff>
    </xdr:from>
    <xdr:to>
      <xdr:col>10</xdr:col>
      <xdr:colOff>664634</xdr:colOff>
      <xdr:row>57</xdr:row>
      <xdr:rowOff>121178</xdr:rowOff>
    </xdr:to>
    <xdr:graphicFrame macro="">
      <xdr:nvGraphicFramePr>
        <xdr:cNvPr id="4" name="Chart 3">
          <a:extLst>
            <a:ext uri="{FF2B5EF4-FFF2-40B4-BE49-F238E27FC236}">
              <a16:creationId xmlns:a16="http://schemas.microsoft.com/office/drawing/2014/main" id="{CFB69CCF-8734-4B63-B291-66CDBD398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907520</xdr:colOff>
      <xdr:row>45</xdr:row>
      <xdr:rowOff>135467</xdr:rowOff>
    </xdr:from>
    <xdr:to>
      <xdr:col>13</xdr:col>
      <xdr:colOff>1762124</xdr:colOff>
      <xdr:row>57</xdr:row>
      <xdr:rowOff>130968</xdr:rowOff>
    </xdr:to>
    <xdr:graphicFrame macro="">
      <xdr:nvGraphicFramePr>
        <xdr:cNvPr id="5" name="Chart 4">
          <a:extLst>
            <a:ext uri="{FF2B5EF4-FFF2-40B4-BE49-F238E27FC236}">
              <a16:creationId xmlns:a16="http://schemas.microsoft.com/office/drawing/2014/main" id="{12AF1082-9CF8-4E51-A2AA-034CA3985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275017</xdr:colOff>
      <xdr:row>39</xdr:row>
      <xdr:rowOff>126697</xdr:rowOff>
    </xdr:from>
    <xdr:to>
      <xdr:col>9</xdr:col>
      <xdr:colOff>1632857</xdr:colOff>
      <xdr:row>51</xdr:row>
      <xdr:rowOff>54428</xdr:rowOff>
    </xdr:to>
    <xdr:graphicFrame macro="">
      <xdr:nvGraphicFramePr>
        <xdr:cNvPr id="2" name="Chart 1">
          <a:extLst>
            <a:ext uri="{FF2B5EF4-FFF2-40B4-BE49-F238E27FC236}">
              <a16:creationId xmlns:a16="http://schemas.microsoft.com/office/drawing/2014/main" id="{94B72CD6-7871-4B48-8622-51F730EA5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296183</xdr:colOff>
      <xdr:row>39</xdr:row>
      <xdr:rowOff>135919</xdr:rowOff>
    </xdr:from>
    <xdr:to>
      <xdr:col>13</xdr:col>
      <xdr:colOff>517071</xdr:colOff>
      <xdr:row>51</xdr:row>
      <xdr:rowOff>54428</xdr:rowOff>
    </xdr:to>
    <xdr:graphicFrame macro="">
      <xdr:nvGraphicFramePr>
        <xdr:cNvPr id="3" name="Chart 2">
          <a:extLst>
            <a:ext uri="{FF2B5EF4-FFF2-40B4-BE49-F238E27FC236}">
              <a16:creationId xmlns:a16="http://schemas.microsoft.com/office/drawing/2014/main" id="{BD685FEC-2A70-404D-B481-179500522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46569</xdr:colOff>
      <xdr:row>22</xdr:row>
      <xdr:rowOff>125942</xdr:rowOff>
    </xdr:from>
    <xdr:to>
      <xdr:col>3</xdr:col>
      <xdr:colOff>775607</xdr:colOff>
      <xdr:row>36</xdr:row>
      <xdr:rowOff>122465</xdr:rowOff>
    </xdr:to>
    <xdr:graphicFrame macro="">
      <xdr:nvGraphicFramePr>
        <xdr:cNvPr id="4" name="Chart 3">
          <a:extLst>
            <a:ext uri="{FF2B5EF4-FFF2-40B4-BE49-F238E27FC236}">
              <a16:creationId xmlns:a16="http://schemas.microsoft.com/office/drawing/2014/main" id="{3A3FB66A-1971-47F8-A9A4-FE595A24D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1019177</xdr:colOff>
      <xdr:row>22</xdr:row>
      <xdr:rowOff>123824</xdr:rowOff>
    </xdr:from>
    <xdr:to>
      <xdr:col>8</xdr:col>
      <xdr:colOff>585107</xdr:colOff>
      <xdr:row>36</xdr:row>
      <xdr:rowOff>136071</xdr:rowOff>
    </xdr:to>
    <xdr:graphicFrame macro="">
      <xdr:nvGraphicFramePr>
        <xdr:cNvPr id="5" name="Chart 4">
          <a:extLst>
            <a:ext uri="{FF2B5EF4-FFF2-40B4-BE49-F238E27FC236}">
              <a16:creationId xmlns:a16="http://schemas.microsoft.com/office/drawing/2014/main" id="{5CD612AA-77B7-48C5-916D-DF836AA97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25</xdr:row>
      <xdr:rowOff>44449</xdr:rowOff>
    </xdr:from>
    <xdr:to>
      <xdr:col>4</xdr:col>
      <xdr:colOff>276225</xdr:colOff>
      <xdr:row>41</xdr:row>
      <xdr:rowOff>76199</xdr:rowOff>
    </xdr:to>
    <xdr:graphicFrame macro="">
      <xdr:nvGraphicFramePr>
        <xdr:cNvPr id="2" name="Chart 1">
          <a:extLst>
            <a:ext uri="{FF2B5EF4-FFF2-40B4-BE49-F238E27FC236}">
              <a16:creationId xmlns:a16="http://schemas.microsoft.com/office/drawing/2014/main" id="{014C127D-D09E-4F6E-A1C1-8E80E3B27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459797</xdr:colOff>
      <xdr:row>25</xdr:row>
      <xdr:rowOff>7216</xdr:rowOff>
    </xdr:from>
    <xdr:to>
      <xdr:col>9</xdr:col>
      <xdr:colOff>57149</xdr:colOff>
      <xdr:row>41</xdr:row>
      <xdr:rowOff>123825</xdr:rowOff>
    </xdr:to>
    <xdr:graphicFrame macro="">
      <xdr:nvGraphicFramePr>
        <xdr:cNvPr id="3" name="Chart 2">
          <a:extLst>
            <a:ext uri="{FF2B5EF4-FFF2-40B4-BE49-F238E27FC236}">
              <a16:creationId xmlns:a16="http://schemas.microsoft.com/office/drawing/2014/main" id="{13560908-8BEE-4456-A4B9-4439F3201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319013</xdr:colOff>
      <xdr:row>44</xdr:row>
      <xdr:rowOff>129873</xdr:rowOff>
    </xdr:from>
    <xdr:to>
      <xdr:col>9</xdr:col>
      <xdr:colOff>1569509</xdr:colOff>
      <xdr:row>56</xdr:row>
      <xdr:rowOff>104170</xdr:rowOff>
    </xdr:to>
    <xdr:graphicFrame macro="">
      <xdr:nvGraphicFramePr>
        <xdr:cNvPr id="4" name="Chart 3">
          <a:extLst>
            <a:ext uri="{FF2B5EF4-FFF2-40B4-BE49-F238E27FC236}">
              <a16:creationId xmlns:a16="http://schemas.microsoft.com/office/drawing/2014/main" id="{FB555E16-839D-4226-A7AC-FF4137F01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159839</xdr:colOff>
      <xdr:row>44</xdr:row>
      <xdr:rowOff>132110</xdr:rowOff>
    </xdr:from>
    <xdr:to>
      <xdr:col>14</xdr:col>
      <xdr:colOff>163286</xdr:colOff>
      <xdr:row>56</xdr:row>
      <xdr:rowOff>0</xdr:rowOff>
    </xdr:to>
    <xdr:graphicFrame macro="">
      <xdr:nvGraphicFramePr>
        <xdr:cNvPr id="5" name="Chart 4">
          <a:extLst>
            <a:ext uri="{FF2B5EF4-FFF2-40B4-BE49-F238E27FC236}">
              <a16:creationId xmlns:a16="http://schemas.microsoft.com/office/drawing/2014/main" id="{763CBE3D-2F0B-4036-B77A-723115E14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KealanB\AppData\Local\Microsoft\Windows\Temporary%20Internet%20Files\Content.Outlook\4ACNRCOP\930%20Est%20Sh%2005-07-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22ercom-my.sharepoint.com/Users/stephen/AppData/Local/Microsoft/Windows/INetCache/Content.Outlook/MY10BRI4/C0143%20Daily-Weekly%20Sheet%20v4.1%20WE%20230721%20FINAL%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22ercom-my.sharepoint.com/Users/conorw/AppData/Local/Microsoft/Windows/INetCache/Content.Outlook/MAJZXNTV/Revised%20Forecast/Plant%20and%20Labour%20Cal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22ercom-my.sharepoint.com/Users/hughgarreth/AppData/Local/Microsoft/Windows/INetCache/Content.Outlook/C5RVD7B7/R132%20Est.%20Sheet%20110811(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Parameters"/>
      <sheetName val="Bill 1"/>
      <sheetName val="Bill 2"/>
      <sheetName val="Bill 3"/>
      <sheetName val="Bill 4"/>
      <sheetName val="Bill 5"/>
      <sheetName val="Bill 6"/>
      <sheetName val="Item 7"/>
      <sheetName val="SUMMARY SHEET "/>
    </sheetNames>
    <sheetDataSet>
      <sheetData sheetId="0">
        <row r="2">
          <cell r="B2">
            <v>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Error Checking"/>
      <sheetName val="Home"/>
      <sheetName val="Change Log"/>
      <sheetName val="Data"/>
      <sheetName val="Data_2"/>
      <sheetName val="Data_3"/>
      <sheetName val="Payroll_Labour"/>
      <sheetName val="Payroll_Export"/>
      <sheetName val="Client_Labour"/>
      <sheetName val="Client_Sub"/>
      <sheetName val="Client_Sub (2)"/>
      <sheetName val="Client_Plant"/>
      <sheetName val="P_L_Format"/>
      <sheetName val="C_L_Format"/>
      <sheetName val="C_S_Format"/>
      <sheetName val="C_S2_Format"/>
      <sheetName val="C_P_Forma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ips"/>
      <sheetName val="Saturday"/>
      <sheetName val="Sunday"/>
      <sheetName val="Monday"/>
      <sheetName val="Tuesday"/>
      <sheetName val="Wednesday"/>
      <sheetName val="Thursday"/>
      <sheetName val="Friday"/>
      <sheetName val="Weekly Activity Sheet"/>
      <sheetName val="Lists"/>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Parameters"/>
      <sheetName val="Bill 1"/>
      <sheetName val=" Earthworks"/>
      <sheetName val="Bill 3 Roadworks"/>
      <sheetName val="Bill 4 SIgns + Roadmarking"/>
      <sheetName val="Bill 5 - Structures"/>
      <sheetName val="Bill 6- Strs designed by "/>
      <sheetName val="Bill 7- Acommodation Wks"/>
      <sheetName val="Bill 8 - Watermain"/>
      <sheetName val="Bill 9 - Landscaping"/>
      <sheetName val="Bill 10"/>
      <sheetName val="SUMMARY SHEET "/>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FFDA-3EEF-4AC9-9586-CAFA26A56CCD}">
  <dimension ref="B1:BGU233"/>
  <sheetViews>
    <sheetView workbookViewId="0">
      <selection activeCell="L22" sqref="L22"/>
    </sheetView>
  </sheetViews>
  <sheetFormatPr defaultColWidth="8.7265625" defaultRowHeight="14.5" x14ac:dyDescent="0.35"/>
  <cols>
    <col min="1" max="1" width="2.7265625" style="13" customWidth="1"/>
    <col min="2" max="8" width="20.26953125" style="12" customWidth="1"/>
    <col min="9" max="11" width="8.7265625" style="12"/>
    <col min="12" max="16384" width="8.7265625" style="13"/>
  </cols>
  <sheetData>
    <row r="1" spans="2:8 1552:1555" x14ac:dyDescent="0.35">
      <c r="BGR1" s="262"/>
      <c r="BGS1" s="262"/>
      <c r="BGT1" s="262"/>
      <c r="BGU1" s="262"/>
    </row>
    <row r="2" spans="2:8 1552:1555" x14ac:dyDescent="0.35">
      <c r="BGR2" s="262"/>
      <c r="BGS2" s="262"/>
      <c r="BGT2" s="262"/>
      <c r="BGU2" s="262"/>
    </row>
    <row r="3" spans="2:8 1552:1555" x14ac:dyDescent="0.35">
      <c r="BGR3" s="262"/>
      <c r="BGS3" s="262"/>
      <c r="BGT3" s="262"/>
      <c r="BGU3" s="262"/>
    </row>
    <row r="4" spans="2:8 1552:1555" x14ac:dyDescent="0.35">
      <c r="C4"/>
      <c r="D4"/>
      <c r="H4" s="13"/>
      <c r="BGR4" s="263"/>
      <c r="BGS4" s="262"/>
      <c r="BGT4" s="262"/>
      <c r="BGU4" s="262"/>
    </row>
    <row r="5" spans="2:8 1552:1555" x14ac:dyDescent="0.35">
      <c r="B5" s="264"/>
      <c r="C5" s="265"/>
      <c r="D5" s="265"/>
      <c r="E5" s="265"/>
      <c r="F5" s="265"/>
      <c r="G5" s="265"/>
      <c r="H5" s="13"/>
      <c r="BGR5" s="263"/>
      <c r="BGS5" s="262"/>
      <c r="BGT5" s="262"/>
      <c r="BGU5" s="262"/>
    </row>
    <row r="6" spans="2:8 1552:1555" x14ac:dyDescent="0.35">
      <c r="B6" s="265"/>
      <c r="C6" s="265"/>
      <c r="D6" s="265"/>
      <c r="E6" s="265"/>
      <c r="F6" s="265"/>
      <c r="G6" s="265"/>
      <c r="H6" s="265"/>
      <c r="BGR6" s="262"/>
      <c r="BGS6" s="262"/>
      <c r="BGT6" s="262"/>
      <c r="BGU6" s="262"/>
    </row>
    <row r="7" spans="2:8 1552:1555" x14ac:dyDescent="0.35">
      <c r="B7" s="725"/>
      <c r="C7" s="725"/>
      <c r="D7" s="725"/>
      <c r="E7" s="725"/>
      <c r="F7" s="725"/>
      <c r="G7" s="725"/>
      <c r="BGR7" s="262"/>
      <c r="BGS7" s="262"/>
      <c r="BGT7" s="262"/>
      <c r="BGU7" s="262"/>
    </row>
    <row r="8" spans="2:8 1552:1555" x14ac:dyDescent="0.35">
      <c r="BGR8" s="262"/>
      <c r="BGS8" s="262"/>
      <c r="BGT8" s="262"/>
      <c r="BGU8" s="262"/>
    </row>
    <row r="9" spans="2:8 1552:1555" x14ac:dyDescent="0.35">
      <c r="B9" s="726" t="s">
        <v>445</v>
      </c>
      <c r="C9" s="726"/>
      <c r="D9" s="697"/>
      <c r="E9" s="697"/>
      <c r="F9" s="697"/>
      <c r="G9" s="697"/>
      <c r="H9" s="697"/>
      <c r="BGR9" s="262"/>
      <c r="BGS9" s="262"/>
      <c r="BGT9" s="262"/>
      <c r="BGU9" s="262"/>
    </row>
    <row r="10" spans="2:8 1552:1555" x14ac:dyDescent="0.35">
      <c r="B10" s="697"/>
      <c r="C10" s="697"/>
      <c r="D10" s="697"/>
      <c r="E10" s="697"/>
      <c r="F10" s="697"/>
      <c r="G10" s="697"/>
      <c r="H10" s="697"/>
      <c r="BGR10" s="262"/>
      <c r="BGS10" s="262"/>
      <c r="BGT10" s="262"/>
      <c r="BGU10" s="262"/>
    </row>
    <row r="11" spans="2:8 1552:1555" ht="15" thickBot="1" x14ac:dyDescent="0.4">
      <c r="B11" s="698" t="s">
        <v>446</v>
      </c>
      <c r="C11" s="699"/>
      <c r="D11" s="698" t="s">
        <v>447</v>
      </c>
      <c r="E11" s="699"/>
      <c r="F11" s="698" t="s">
        <v>448</v>
      </c>
      <c r="G11" s="699"/>
      <c r="H11" s="698" t="s">
        <v>449</v>
      </c>
      <c r="BGR11" s="262"/>
      <c r="BGS11" s="262"/>
      <c r="BGT11" s="262"/>
      <c r="BGU11" s="262"/>
    </row>
    <row r="12" spans="2:8 1552:1555" ht="15" thickTop="1" x14ac:dyDescent="0.35">
      <c r="B12" s="700" t="s">
        <v>483</v>
      </c>
      <c r="C12" s="699"/>
      <c r="D12" s="701" t="s">
        <v>450</v>
      </c>
      <c r="E12" s="699"/>
      <c r="F12" s="701" t="s">
        <v>487</v>
      </c>
      <c r="G12" s="702"/>
      <c r="H12" s="701" t="s">
        <v>487</v>
      </c>
      <c r="BGR12" s="262"/>
      <c r="BGS12" s="262"/>
      <c r="BGT12" s="262"/>
      <c r="BGU12" s="262"/>
    </row>
    <row r="13" spans="2:8 1552:1555" x14ac:dyDescent="0.35">
      <c r="B13" s="339" t="s">
        <v>760</v>
      </c>
      <c r="C13" s="699"/>
      <c r="D13" s="701" t="s">
        <v>759</v>
      </c>
      <c r="E13" s="699"/>
      <c r="F13" s="701" t="s">
        <v>488</v>
      </c>
      <c r="G13" s="702"/>
      <c r="H13" s="701" t="s">
        <v>488</v>
      </c>
      <c r="BGR13" s="262"/>
      <c r="BGS13" s="262"/>
      <c r="BGT13" s="262"/>
      <c r="BGU13" s="262"/>
    </row>
    <row r="14" spans="2:8 1552:1555" ht="7.5" customHeight="1" x14ac:dyDescent="0.35">
      <c r="B14" s="339"/>
      <c r="C14" s="699"/>
      <c r="D14" s="701"/>
      <c r="E14" s="699"/>
      <c r="F14" s="701"/>
      <c r="G14" s="702"/>
      <c r="H14" s="701"/>
      <c r="BGR14" s="262"/>
      <c r="BGS14" s="262"/>
      <c r="BGT14" s="262"/>
      <c r="BGU14" s="262"/>
    </row>
    <row r="15" spans="2:8 1552:1555" x14ac:dyDescent="0.35">
      <c r="B15" s="339" t="s">
        <v>484</v>
      </c>
      <c r="C15" s="699"/>
      <c r="D15" s="701" t="s">
        <v>485</v>
      </c>
      <c r="E15" s="699"/>
      <c r="F15" s="703"/>
      <c r="G15" s="703"/>
      <c r="H15" s="703"/>
      <c r="BGR15" s="262"/>
      <c r="BGS15" s="262"/>
      <c r="BGT15" s="262"/>
      <c r="BGU15" s="262"/>
    </row>
    <row r="16" spans="2:8 1552:1555" ht="15" thickBot="1" x14ac:dyDescent="0.4">
      <c r="B16" s="704" t="s">
        <v>760</v>
      </c>
      <c r="C16" s="699"/>
      <c r="D16" s="704" t="s">
        <v>759</v>
      </c>
      <c r="E16" s="699"/>
      <c r="F16" s="704"/>
      <c r="G16" s="699"/>
      <c r="H16" s="704"/>
      <c r="BGR16" s="262"/>
      <c r="BGS16" s="262"/>
      <c r="BGT16" s="262"/>
      <c r="BGU16" s="262"/>
    </row>
    <row r="17" spans="2:8 1550:1555" x14ac:dyDescent="0.35">
      <c r="B17" s="339"/>
      <c r="C17" s="699"/>
      <c r="D17" s="339"/>
      <c r="E17" s="699"/>
      <c r="F17" s="339"/>
      <c r="G17" s="699"/>
      <c r="H17" s="339"/>
      <c r="BGR17" s="262"/>
      <c r="BGS17" s="262"/>
      <c r="BGT17" s="262"/>
      <c r="BGU17" s="262"/>
    </row>
    <row r="18" spans="2:8 1550:1555" x14ac:dyDescent="0.35">
      <c r="B18" s="705"/>
      <c r="C18" s="705"/>
      <c r="D18" s="697"/>
      <c r="E18" s="697"/>
      <c r="F18" s="697"/>
      <c r="G18" s="697"/>
      <c r="H18" s="697"/>
      <c r="BGR18" s="262"/>
      <c r="BGS18" s="262"/>
      <c r="BGT18" s="262"/>
      <c r="BGU18" s="262"/>
    </row>
    <row r="19" spans="2:8 1550:1555" x14ac:dyDescent="0.35">
      <c r="B19" s="726" t="s">
        <v>451</v>
      </c>
      <c r="C19" s="726"/>
      <c r="D19" s="697"/>
      <c r="E19" s="697"/>
      <c r="F19" s="697"/>
      <c r="G19" s="697"/>
      <c r="H19" s="697"/>
      <c r="BGR19" s="262"/>
      <c r="BGS19" s="262"/>
      <c r="BGT19" s="262"/>
      <c r="BGU19" s="262"/>
    </row>
    <row r="20" spans="2:8 1550:1555" x14ac:dyDescent="0.35">
      <c r="B20" s="696"/>
      <c r="C20" s="696"/>
      <c r="D20" s="697"/>
      <c r="E20" s="697"/>
      <c r="F20" s="697"/>
      <c r="G20" s="697"/>
      <c r="H20" s="697"/>
      <c r="BGR20" s="262"/>
      <c r="BGS20" s="262"/>
      <c r="BGT20" s="262"/>
      <c r="BGU20" s="262"/>
    </row>
    <row r="21" spans="2:8 1550:1555" x14ac:dyDescent="0.35">
      <c r="B21" s="699" t="s">
        <v>452</v>
      </c>
      <c r="C21" s="699" t="s">
        <v>453</v>
      </c>
      <c r="D21" s="699" t="s">
        <v>454</v>
      </c>
      <c r="E21" s="699" t="s">
        <v>455</v>
      </c>
      <c r="F21" s="722" t="s">
        <v>456</v>
      </c>
      <c r="G21" s="722"/>
      <c r="H21" s="699" t="s">
        <v>457</v>
      </c>
      <c r="BGP21" s="262"/>
      <c r="BGQ21" s="262"/>
      <c r="BGR21" s="262"/>
      <c r="BGS21" s="262"/>
    </row>
    <row r="22" spans="2:8 1550:1555" ht="28" x14ac:dyDescent="0.35">
      <c r="B22" s="706">
        <v>1</v>
      </c>
      <c r="C22" s="707" t="s">
        <v>761</v>
      </c>
      <c r="D22" s="707" t="s">
        <v>489</v>
      </c>
      <c r="E22" s="707" t="s">
        <v>486</v>
      </c>
      <c r="F22" s="707" t="s">
        <v>487</v>
      </c>
      <c r="G22" s="707"/>
      <c r="H22" s="707" t="s">
        <v>488</v>
      </c>
      <c r="BGP22" s="262"/>
      <c r="BGQ22" s="262"/>
      <c r="BGR22" s="262"/>
      <c r="BGS22" s="262"/>
    </row>
    <row r="23" spans="2:8 1550:1555" ht="28" x14ac:dyDescent="0.35">
      <c r="B23" s="706">
        <v>2</v>
      </c>
      <c r="C23" s="707" t="s">
        <v>767</v>
      </c>
      <c r="D23" s="707" t="s">
        <v>768</v>
      </c>
      <c r="E23" s="707" t="s">
        <v>486</v>
      </c>
      <c r="F23" s="707" t="s">
        <v>487</v>
      </c>
      <c r="G23" s="707"/>
      <c r="H23" s="707" t="s">
        <v>488</v>
      </c>
    </row>
    <row r="24" spans="2:8 1550:1555" x14ac:dyDescent="0.35">
      <c r="B24" s="706"/>
      <c r="C24" s="707"/>
      <c r="D24" s="707"/>
      <c r="E24" s="707"/>
      <c r="F24" s="707"/>
      <c r="G24" s="707"/>
      <c r="H24" s="708"/>
    </row>
    <row r="25" spans="2:8 1550:1555" x14ac:dyDescent="0.35">
      <c r="B25" s="709"/>
      <c r="C25" s="709"/>
      <c r="D25" s="709"/>
      <c r="E25" s="709"/>
      <c r="F25" s="709"/>
      <c r="G25" s="709"/>
      <c r="H25" s="709"/>
    </row>
    <row r="26" spans="2:8 1550:1555" x14ac:dyDescent="0.35">
      <c r="B26" s="697"/>
      <c r="C26" s="697"/>
      <c r="D26" s="697"/>
      <c r="E26" s="697"/>
      <c r="F26" s="697"/>
      <c r="G26" s="697"/>
      <c r="H26" s="697"/>
    </row>
    <row r="27" spans="2:8 1550:1555" x14ac:dyDescent="0.35">
      <c r="B27" s="697"/>
      <c r="C27" s="697"/>
      <c r="D27" s="697"/>
      <c r="E27" s="697"/>
      <c r="F27" s="697"/>
      <c r="G27" s="697"/>
      <c r="H27" s="697"/>
    </row>
    <row r="28" spans="2:8 1550:1555" x14ac:dyDescent="0.35">
      <c r="B28" s="697"/>
      <c r="C28" s="697"/>
      <c r="D28" s="697"/>
      <c r="E28" s="697"/>
      <c r="F28" s="697"/>
      <c r="G28" s="697"/>
      <c r="H28" s="697"/>
    </row>
    <row r="29" spans="2:8 1550:1555" x14ac:dyDescent="0.35">
      <c r="B29" s="723" t="s">
        <v>458</v>
      </c>
      <c r="C29" s="723"/>
      <c r="D29" s="723"/>
      <c r="E29" s="723"/>
      <c r="F29" s="723"/>
      <c r="G29" s="723"/>
      <c r="H29" s="723"/>
    </row>
    <row r="30" spans="2:8 1550:1555" ht="90" customHeight="1" x14ac:dyDescent="0.35">
      <c r="B30" s="724" t="s">
        <v>460</v>
      </c>
      <c r="C30" s="724"/>
      <c r="D30" s="724"/>
      <c r="E30" s="724"/>
      <c r="F30" s="724"/>
      <c r="G30" s="724"/>
      <c r="H30" s="724"/>
    </row>
    <row r="233" spans="10:10" x14ac:dyDescent="0.35">
      <c r="J233" s="12" t="s">
        <v>459</v>
      </c>
    </row>
  </sheetData>
  <mergeCells count="6">
    <mergeCell ref="F21:G21"/>
    <mergeCell ref="B29:H29"/>
    <mergeCell ref="B30:H30"/>
    <mergeCell ref="B7:G7"/>
    <mergeCell ref="B9:C9"/>
    <mergeCell ref="B19:C19"/>
  </mergeCells>
  <phoneticPr fontId="37"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2623-6B5F-474B-9BEC-199F0CA36B8E}">
  <dimension ref="B2:G31"/>
  <sheetViews>
    <sheetView showGridLines="0" zoomScale="80" zoomScaleNormal="80" workbookViewId="0">
      <selection activeCell="B30" sqref="B30"/>
    </sheetView>
  </sheetViews>
  <sheetFormatPr defaultColWidth="9.1796875" defaultRowHeight="14" x14ac:dyDescent="0.3"/>
  <cols>
    <col min="1" max="1" width="9.1796875" style="118"/>
    <col min="2" max="2" width="42.1796875" style="610" customWidth="1"/>
    <col min="3" max="3" width="70.26953125" style="118" customWidth="1"/>
    <col min="4" max="16384" width="9.1796875" style="118"/>
  </cols>
  <sheetData>
    <row r="2" spans="2:7" s="135" customFormat="1" ht="27" customHeight="1" x14ac:dyDescent="0.35">
      <c r="B2" s="607" t="s">
        <v>491</v>
      </c>
      <c r="C2" s="58"/>
      <c r="D2" s="58"/>
      <c r="E2" s="58"/>
      <c r="F2" s="134"/>
      <c r="G2" s="134"/>
    </row>
    <row r="4" spans="2:7" x14ac:dyDescent="0.3">
      <c r="B4" s="609" t="s">
        <v>500</v>
      </c>
    </row>
    <row r="5" spans="2:7" x14ac:dyDescent="0.3">
      <c r="B5" s="610" t="s">
        <v>501</v>
      </c>
    </row>
    <row r="6" spans="2:7" ht="1" customHeight="1" x14ac:dyDescent="0.3"/>
    <row r="7" spans="2:7" ht="14.5" thickBot="1" x14ac:dyDescent="0.35"/>
    <row r="8" spans="2:7" x14ac:dyDescent="0.3">
      <c r="B8" s="608" t="s">
        <v>492</v>
      </c>
      <c r="C8" s="276" t="s">
        <v>439</v>
      </c>
    </row>
    <row r="9" spans="2:7" ht="33.65" customHeight="1" x14ac:dyDescent="0.3">
      <c r="B9" s="611" t="s">
        <v>493</v>
      </c>
      <c r="C9" s="605" t="s">
        <v>440</v>
      </c>
    </row>
    <row r="10" spans="2:7" ht="77.25" customHeight="1" x14ac:dyDescent="0.3">
      <c r="B10" s="612" t="s">
        <v>494</v>
      </c>
      <c r="C10" s="605" t="s">
        <v>502</v>
      </c>
    </row>
    <row r="11" spans="2:7" ht="92.25" customHeight="1" x14ac:dyDescent="0.3">
      <c r="B11" s="612" t="s">
        <v>495</v>
      </c>
      <c r="C11" s="605" t="s">
        <v>503</v>
      </c>
    </row>
    <row r="12" spans="2:7" ht="100.5" customHeight="1" x14ac:dyDescent="0.3">
      <c r="B12" s="612" t="s">
        <v>496</v>
      </c>
      <c r="C12" s="605" t="s">
        <v>504</v>
      </c>
    </row>
    <row r="13" spans="2:7" ht="86.15" customHeight="1" x14ac:dyDescent="0.3">
      <c r="B13" s="612" t="s">
        <v>497</v>
      </c>
      <c r="C13" s="605" t="s">
        <v>735</v>
      </c>
    </row>
    <row r="14" spans="2:7" ht="42.65" customHeight="1" x14ac:dyDescent="0.3">
      <c r="B14" s="612" t="s">
        <v>498</v>
      </c>
      <c r="C14" s="605" t="s">
        <v>505</v>
      </c>
    </row>
    <row r="15" spans="2:7" ht="43.5" customHeight="1" x14ac:dyDescent="0.3">
      <c r="B15" s="613" t="s">
        <v>499</v>
      </c>
      <c r="C15" s="605" t="s">
        <v>736</v>
      </c>
    </row>
    <row r="16" spans="2:7" ht="21" customHeight="1" x14ac:dyDescent="0.3">
      <c r="B16" s="613" t="s">
        <v>737</v>
      </c>
      <c r="C16" s="727" t="s">
        <v>506</v>
      </c>
    </row>
    <row r="17" spans="2:3" x14ac:dyDescent="0.3">
      <c r="B17" s="613" t="s">
        <v>465</v>
      </c>
      <c r="C17" s="727"/>
    </row>
    <row r="18" spans="2:3" ht="24.65" customHeight="1" x14ac:dyDescent="0.3">
      <c r="B18" s="613" t="s">
        <v>466</v>
      </c>
      <c r="C18" s="727"/>
    </row>
    <row r="19" spans="2:3" x14ac:dyDescent="0.3">
      <c r="B19" s="613" t="s">
        <v>467</v>
      </c>
      <c r="C19" s="727"/>
    </row>
    <row r="20" spans="2:3" x14ac:dyDescent="0.3">
      <c r="B20" s="613" t="s">
        <v>468</v>
      </c>
      <c r="C20" s="727"/>
    </row>
    <row r="21" spans="2:3" x14ac:dyDescent="0.3">
      <c r="B21" s="613" t="s">
        <v>469</v>
      </c>
      <c r="C21" s="727"/>
    </row>
    <row r="22" spans="2:3" x14ac:dyDescent="0.3">
      <c r="B22" s="613" t="s">
        <v>470</v>
      </c>
      <c r="C22" s="727"/>
    </row>
    <row r="23" spans="2:3" x14ac:dyDescent="0.3">
      <c r="B23" s="613" t="s">
        <v>471</v>
      </c>
      <c r="C23" s="727"/>
    </row>
    <row r="24" spans="2:3" x14ac:dyDescent="0.3">
      <c r="B24" s="613" t="s">
        <v>472</v>
      </c>
      <c r="C24" s="727"/>
    </row>
    <row r="25" spans="2:3" x14ac:dyDescent="0.3">
      <c r="B25" s="613" t="s">
        <v>474</v>
      </c>
      <c r="C25" s="727"/>
    </row>
    <row r="26" spans="2:3" x14ac:dyDescent="0.3">
      <c r="B26" s="613" t="s">
        <v>473</v>
      </c>
      <c r="C26" s="727"/>
    </row>
    <row r="27" spans="2:3" x14ac:dyDescent="0.3">
      <c r="B27" s="613" t="s">
        <v>476</v>
      </c>
      <c r="C27" s="727"/>
    </row>
    <row r="28" spans="2:3" x14ac:dyDescent="0.3">
      <c r="B28" s="613" t="s">
        <v>477</v>
      </c>
      <c r="C28" s="727"/>
    </row>
    <row r="29" spans="2:3" x14ac:dyDescent="0.3">
      <c r="B29" s="613" t="s">
        <v>478</v>
      </c>
      <c r="C29" s="727"/>
    </row>
    <row r="30" spans="2:3" ht="28" x14ac:dyDescent="0.3">
      <c r="B30" s="614" t="s">
        <v>621</v>
      </c>
      <c r="C30" s="605" t="s">
        <v>622</v>
      </c>
    </row>
    <row r="31" spans="2:3" ht="28.5" thickBot="1" x14ac:dyDescent="0.35">
      <c r="B31" s="615" t="s">
        <v>744</v>
      </c>
      <c r="C31" s="606" t="s">
        <v>746</v>
      </c>
    </row>
  </sheetData>
  <mergeCells count="1">
    <mergeCell ref="C16:C29"/>
  </mergeCells>
  <hyperlinks>
    <hyperlink ref="B9" location="'Benchmark summary'!A1" display="Benchmark summary" xr:uid="{8FB8186E-A774-48C1-9845-E945992C76D8}"/>
    <hyperlink ref="B10" location="'Task 1 - Emission summary'!A1" display="Task 1 - Emission summary" xr:uid="{A39C10FE-0450-48C2-8F76-6CA0B7246F46}"/>
    <hyperlink ref="B11" location="'Task 2 - Series summary'!A1" display="Task 2 - Series summary" xr:uid="{0D3D8F35-C7A5-42B1-8A9F-B6D44569EE0F}"/>
    <hyperlink ref="B12" location="'Task 2 - Asset lvl analysis'!A1" display="Task 2 - Asset lvl analysis" xr:uid="{9C626831-2744-4FD0-BF4C-3980247F5E9F}"/>
    <hyperlink ref="B13" location="'Task 3 - Material summary'!A1" display="Task 3 - Material summary" xr:uid="{82FF47C4-E5B7-43DE-A3D7-5DDEEC46016B}"/>
    <hyperlink ref="B14" location="'Task 4 - Maintenance summary'!A1" display="Task 4 - Maintenance summary" xr:uid="{2689BAB8-A0B3-4A31-95E5-BC5C024676B1}"/>
    <hyperlink ref="B15" location="'Other structures'!A1" display="Other structures" xr:uid="{FDAA9C00-E6FE-469A-A4C1-B0797C0F68D4}"/>
    <hyperlink ref="B16" location="AOB!A1" display="AOB" xr:uid="{870B869F-DF1C-49E2-8B2D-97662FA27BB1}"/>
    <hyperlink ref="B17" location="AUB!A1" display="AUB" xr:uid="{E0769DE4-9525-49B2-BF32-5B4D8EAD779C}"/>
    <hyperlink ref="B18" location="CAUB!A1" display="CAUB" xr:uid="{CCF2FC1F-D103-490E-AAC3-620AE73A770D}"/>
    <hyperlink ref="B19" location="CUB!A1" display="CUB" xr:uid="{B96155EE-35B1-4726-BAC4-86D684649FEE}"/>
    <hyperlink ref="B20" location="JUB!A1" display="JUB" xr:uid="{280F0443-A9C9-40CF-B7EE-FB8975D9E2C6}"/>
    <hyperlink ref="B21" location="OB!A1" display="OB" xr:uid="{48A1A2CC-BC62-4DAC-89BE-20697218CA3F}"/>
    <hyperlink ref="B22" location="PUP!A1" display="PUP" xr:uid="{D11B4094-ABD9-4B03-AC2C-CCFAC4DCC905}"/>
    <hyperlink ref="B23" location="RB!A1" display="RB" xr:uid="{51C5FD62-33D5-469F-9F34-56DADBD81964}"/>
    <hyperlink ref="B24" location="UB!A1" display="UB" xr:uid="{08A81B22-0BA6-4F47-BCF5-7A98B4A44B23}"/>
    <hyperlink ref="B25" location="M!A1" display="M" xr:uid="{DD726B6A-5FCF-40FC-A138-4542CD4CB76C}"/>
    <hyperlink ref="B26" location="J!A1" display="JUB" xr:uid="{2C887B35-970C-44E2-A59D-641CC59A60AE}"/>
    <hyperlink ref="B27" location="SR!A1" display="SR" xr:uid="{D6545414-6720-49E2-9BE3-F698048A8A91}"/>
    <hyperlink ref="B28" location="'C'!A1" display="C" xr:uid="{8F5B7169-A538-42F6-AB44-27F5B88C5DEE}"/>
    <hyperlink ref="B29" location="'M (no EW)'!A1" display="M (no EW)" xr:uid="{2A7A1DD7-3A3E-462E-AA68-BEB6DF25E228}"/>
    <hyperlink ref="B30" location="'Structure dimensions'!A1" display="Structure Dimensions" xr:uid="{1843310D-62AD-4748-8A87-7F1C3A2768DA}"/>
    <hyperlink ref="B31" location="'Operational Energy'!A1" display="Operational Energy" xr:uid="{750A4FFB-2D11-4CB9-B042-FF1F6D8883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1BDE-5E61-4E7B-A4FC-CB65DEEABE0D}">
  <sheetPr>
    <tabColor rgb="FFC4DED5"/>
  </sheetPr>
  <dimension ref="B1:O77"/>
  <sheetViews>
    <sheetView showGridLines="0" topLeftCell="A18" zoomScale="40" zoomScaleNormal="40" workbookViewId="0">
      <selection activeCell="B34" sqref="B34:J40"/>
    </sheetView>
  </sheetViews>
  <sheetFormatPr defaultRowHeight="14.5" x14ac:dyDescent="0.35"/>
  <cols>
    <col min="1" max="1" width="2.453125" customWidth="1"/>
    <col min="2" max="2" width="35.1796875" customWidth="1"/>
    <col min="3" max="3" width="16.7265625" customWidth="1"/>
    <col min="4" max="4" width="17" customWidth="1"/>
    <col min="5" max="5" width="15.81640625" customWidth="1"/>
    <col min="6" max="6" width="19.54296875" style="9" customWidth="1"/>
    <col min="7" max="7" width="17.26953125" style="9" customWidth="1"/>
    <col min="8" max="8" width="20.7265625" style="5" customWidth="1"/>
    <col min="9" max="9" width="15.54296875" style="5" customWidth="1"/>
    <col min="10" max="11" width="15.453125" style="5" customWidth="1"/>
    <col min="12" max="12" width="48" customWidth="1"/>
    <col min="13" max="16" width="19.26953125" customWidth="1"/>
    <col min="20" max="20" width="15.1796875" customWidth="1"/>
  </cols>
  <sheetData>
    <row r="1" spans="2:15" ht="8.25" customHeight="1" x14ac:dyDescent="0.35"/>
    <row r="2" spans="2:15" s="1" customFormat="1" ht="27" customHeight="1" x14ac:dyDescent="0.35">
      <c r="B2" s="267" t="s">
        <v>89</v>
      </c>
      <c r="C2" s="4"/>
      <c r="D2" s="4"/>
      <c r="E2" s="4"/>
      <c r="F2" s="8"/>
      <c r="G2" s="8"/>
    </row>
    <row r="3" spans="2:15" s="1" customFormat="1" ht="27" customHeight="1" x14ac:dyDescent="0.35">
      <c r="B3" s="259" t="s">
        <v>441</v>
      </c>
      <c r="C3" s="4"/>
      <c r="D3" s="4"/>
      <c r="E3" s="4"/>
      <c r="F3" s="8"/>
      <c r="G3" s="8"/>
    </row>
    <row r="4" spans="2:15" ht="12.75" customHeight="1" x14ac:dyDescent="0.35">
      <c r="B4" s="6"/>
      <c r="C4" s="6"/>
      <c r="D4" s="6"/>
      <c r="E4" s="6"/>
    </row>
    <row r="5" spans="2:15" ht="12.75" customHeight="1" x14ac:dyDescent="0.35">
      <c r="B5" s="6"/>
      <c r="C5" s="6"/>
      <c r="D5" s="6"/>
      <c r="E5" s="6"/>
    </row>
    <row r="6" spans="2:15" ht="12.75" customHeight="1" x14ac:dyDescent="0.35">
      <c r="B6" s="6"/>
      <c r="C6" s="6"/>
      <c r="D6" s="6"/>
      <c r="E6" s="6"/>
    </row>
    <row r="7" spans="2:15" ht="12.75" customHeight="1" thickBot="1" x14ac:dyDescent="0.4">
      <c r="B7" s="45" t="s">
        <v>733</v>
      </c>
      <c r="C7" s="6"/>
      <c r="D7" s="6"/>
      <c r="E7" s="6"/>
      <c r="L7" s="45" t="s">
        <v>93</v>
      </c>
      <c r="M7" s="6"/>
      <c r="N7" s="658"/>
    </row>
    <row r="8" spans="2:15" ht="25.5" customHeight="1" x14ac:dyDescent="0.35">
      <c r="B8" s="46" t="s">
        <v>722</v>
      </c>
      <c r="C8" s="75" t="s">
        <v>2</v>
      </c>
      <c r="D8" s="62" t="s">
        <v>83</v>
      </c>
      <c r="E8" s="6"/>
      <c r="K8" s="653"/>
      <c r="L8" s="46" t="s">
        <v>0</v>
      </c>
      <c r="M8" s="75" t="s">
        <v>2</v>
      </c>
      <c r="N8" s="659" t="s">
        <v>83</v>
      </c>
      <c r="O8" s="660"/>
    </row>
    <row r="9" spans="2:15" ht="15.75" customHeight="1" x14ac:dyDescent="0.35">
      <c r="B9" s="3" t="s">
        <v>3</v>
      </c>
      <c r="C9" s="48">
        <f>AOB!J7+AUB!J10+CAUB!J9+CUB!J8+JUB!J8+OB!J10+PUP!J8+RB!J10+UB!J9+M!H7+J!J11+SR!H7+'C'!J7</f>
        <v>80239.500687128588</v>
      </c>
      <c r="D9" s="76">
        <f>C9/C13</f>
        <v>0.58185197540422906</v>
      </c>
      <c r="E9" s="6"/>
      <c r="K9" s="653"/>
      <c r="L9" s="654" t="s">
        <v>3</v>
      </c>
      <c r="M9" s="48">
        <f>M!H7+SR!H7+J!J11</f>
        <v>34166.071000000004</v>
      </c>
      <c r="N9" s="661">
        <f>M9/$M$13</f>
        <v>0.3910012079538705</v>
      </c>
      <c r="O9" s="660"/>
    </row>
    <row r="10" spans="2:15" ht="15.75" customHeight="1" x14ac:dyDescent="0.35">
      <c r="B10" s="3" t="s">
        <v>4</v>
      </c>
      <c r="C10" s="48">
        <f>AOB!L7+AUB!L10+CAUB!L9+CUB!L8+JUB!L8+OB!L10+PUP!L8+RB!L10+UB!L9+M!M7+J!L11+SR!J7+'C'!L7</f>
        <v>37028.6</v>
      </c>
      <c r="D10" s="76">
        <f>C10/C13</f>
        <v>0.26851069450771325</v>
      </c>
      <c r="E10" s="6"/>
      <c r="K10" s="653"/>
      <c r="L10" s="654" t="s">
        <v>4</v>
      </c>
      <c r="M10" s="48">
        <f>M!M7+SR!J7+J!L11</f>
        <v>34246.400000000001</v>
      </c>
      <c r="N10" s="661">
        <f t="shared" ref="N10:N12" si="0">M10/$M$13</f>
        <v>0.39192050406004925</v>
      </c>
      <c r="O10" s="660"/>
    </row>
    <row r="11" spans="2:15" ht="15.75" customHeight="1" x14ac:dyDescent="0.35">
      <c r="B11" s="438" t="s">
        <v>627</v>
      </c>
      <c r="C11" s="48">
        <f>AOB!N7+CAUB!N9+AUB!N10+CUB!N8+JUB!N8+OB!N10+PUP!N8+SR!L7+RB!N10+UB!N9+M!O7+J!N11+'C'!N7</f>
        <v>18908.241299999998</v>
      </c>
      <c r="D11" s="76">
        <f>C11/C13</f>
        <v>0.13711198920246584</v>
      </c>
      <c r="E11" s="6"/>
      <c r="K11" s="653"/>
      <c r="L11" s="655" t="s">
        <v>627</v>
      </c>
      <c r="M11" s="48">
        <f>SR!L7+M!O7+J!N11</f>
        <v>18904.604799999994</v>
      </c>
      <c r="N11" s="593">
        <f t="shared" si="0"/>
        <v>0.21634689317043612</v>
      </c>
      <c r="O11" s="660"/>
    </row>
    <row r="12" spans="2:15" ht="15.75" customHeight="1" thickBot="1" x14ac:dyDescent="0.4">
      <c r="B12" s="438" t="s">
        <v>744</v>
      </c>
      <c r="C12" s="48">
        <f>M!Q7+J!P11</f>
        <v>1727.29</v>
      </c>
      <c r="D12" s="76">
        <f>C12/C13</f>
        <v>1.2525340885591896E-2</v>
      </c>
      <c r="E12" s="6"/>
      <c r="L12" s="438" t="s">
        <v>744</v>
      </c>
      <c r="M12" s="48">
        <f>M!Q7</f>
        <v>63.91</v>
      </c>
      <c r="N12" s="662">
        <f t="shared" si="0"/>
        <v>7.3139481564420616E-4</v>
      </c>
    </row>
    <row r="13" spans="2:15" ht="15.75" customHeight="1" thickBot="1" x14ac:dyDescent="0.4">
      <c r="B13" s="77" t="s">
        <v>5</v>
      </c>
      <c r="C13" s="78">
        <f>SUM(C9:C12)</f>
        <v>137903.63198712858</v>
      </c>
      <c r="D13" s="73"/>
      <c r="E13" s="6"/>
      <c r="K13" s="653"/>
      <c r="L13" s="656" t="s">
        <v>82</v>
      </c>
      <c r="M13" s="663">
        <f>SUM(M9:M12)</f>
        <v>87380.985799999995</v>
      </c>
      <c r="N13" s="664"/>
    </row>
    <row r="14" spans="2:15" ht="12.75" customHeight="1" x14ac:dyDescent="0.35">
      <c r="B14" s="728" t="s">
        <v>92</v>
      </c>
      <c r="C14" s="728"/>
      <c r="D14" s="728"/>
      <c r="E14" s="6"/>
      <c r="K14" s="653"/>
      <c r="L14" s="657" t="s">
        <v>723</v>
      </c>
      <c r="M14" s="663">
        <f>M!D13</f>
        <v>3672.7137027027029</v>
      </c>
      <c r="N14" s="660"/>
    </row>
    <row r="15" spans="2:15" ht="15" thickBot="1" x14ac:dyDescent="0.4">
      <c r="B15" s="729"/>
      <c r="C15" s="729"/>
      <c r="D15" s="729"/>
      <c r="E15" s="6"/>
      <c r="K15" s="653"/>
      <c r="L15" s="50" t="s">
        <v>724</v>
      </c>
      <c r="M15" s="665">
        <f>M!D15</f>
        <v>918.17842567567573</v>
      </c>
      <c r="N15" s="660"/>
    </row>
    <row r="16" spans="2:15" x14ac:dyDescent="0.35">
      <c r="E16" s="6"/>
      <c r="M16" s="588"/>
    </row>
    <row r="17" spans="2:15" ht="46.5" customHeight="1" thickBot="1" x14ac:dyDescent="0.4">
      <c r="B17" s="45" t="s">
        <v>95</v>
      </c>
      <c r="E17" s="6"/>
      <c r="L17" s="45" t="s">
        <v>94</v>
      </c>
      <c r="M17" s="6"/>
      <c r="N17" s="658"/>
    </row>
    <row r="18" spans="2:15" ht="33" customHeight="1" x14ac:dyDescent="0.35">
      <c r="B18" s="46" t="s">
        <v>0</v>
      </c>
      <c r="C18" s="75" t="s">
        <v>2</v>
      </c>
      <c r="D18" s="47" t="s">
        <v>83</v>
      </c>
      <c r="E18" s="6"/>
      <c r="L18" s="46" t="s">
        <v>0</v>
      </c>
      <c r="M18" s="75" t="s">
        <v>2</v>
      </c>
      <c r="N18" s="659" t="s">
        <v>83</v>
      </c>
      <c r="O18" s="660"/>
    </row>
    <row r="19" spans="2:15" ht="15.75" customHeight="1" x14ac:dyDescent="0.35">
      <c r="B19" s="3" t="s">
        <v>3</v>
      </c>
      <c r="C19" s="48">
        <f>AOB!J7+AUB!J10+CAUB!J9+CUB!J8+JUB!J8+OB!J10+PUP!J8+RB!J10+UB!J9+'C'!J7</f>
        <v>46073.42968712857</v>
      </c>
      <c r="D19" s="593">
        <f>C19/$C$23</f>
        <v>0.94298243266015536</v>
      </c>
      <c r="E19" s="6"/>
      <c r="L19" s="3" t="s">
        <v>3</v>
      </c>
      <c r="M19" s="48">
        <f>'M (no EW)'!H7+SR!H7+J!J11</f>
        <v>34166.071000000004</v>
      </c>
      <c r="N19" s="661">
        <f>M19/$M$23</f>
        <v>0.50663923641395792</v>
      </c>
      <c r="O19" s="660"/>
    </row>
    <row r="20" spans="2:15" ht="15.75" customHeight="1" x14ac:dyDescent="0.35">
      <c r="B20" s="3" t="s">
        <v>4</v>
      </c>
      <c r="C20" s="48">
        <f>AOB!L7+AUB!L10+CAUB!L9+CUB!L8+JUB!L8+OB!L10+PUP!L8+RB!L10+UB!L9+'C'!L7</f>
        <v>2782.2000000000003</v>
      </c>
      <c r="D20" s="593">
        <f t="shared" ref="D20:D22" si="1">C20/$C$23</f>
        <v>5.6943139287935929E-2</v>
      </c>
      <c r="E20" s="6"/>
      <c r="L20" s="3" t="s">
        <v>4</v>
      </c>
      <c r="M20" s="48">
        <f>'M (no EW)'!M7+SR!J7+J!L11</f>
        <v>14302.1</v>
      </c>
      <c r="N20" s="661">
        <f t="shared" ref="N20:N21" si="2">M20/$M$23</f>
        <v>0.21208189326528259</v>
      </c>
      <c r="O20" s="660"/>
    </row>
    <row r="21" spans="2:15" ht="15.75" customHeight="1" x14ac:dyDescent="0.35">
      <c r="B21" s="438" t="s">
        <v>627</v>
      </c>
      <c r="C21" s="48">
        <f>AOB!N7+CAUB!N9+AUB!N10+CUB!N8+JUB!N8+OB!N10+PUP!N8+RB!N10+UB!N9+'C'!N7</f>
        <v>3.6364999999999998</v>
      </c>
      <c r="D21" s="593">
        <f t="shared" si="1"/>
        <v>7.4428051908769668E-5</v>
      </c>
      <c r="E21" s="6"/>
      <c r="K21" s="653"/>
      <c r="L21" s="655" t="s">
        <v>627</v>
      </c>
      <c r="M21" s="48">
        <f>'M (no EW)'!O7+J!N11+SR!L7</f>
        <v>18904.604799999997</v>
      </c>
      <c r="N21" s="661">
        <f t="shared" si="2"/>
        <v>0.28033116657105939</v>
      </c>
      <c r="O21" s="660"/>
    </row>
    <row r="22" spans="2:15" ht="15.75" customHeight="1" thickBot="1" x14ac:dyDescent="0.4">
      <c r="B22" s="438" t="s">
        <v>744</v>
      </c>
      <c r="C22" s="48">
        <v>0</v>
      </c>
      <c r="D22" s="593">
        <f t="shared" si="1"/>
        <v>0</v>
      </c>
      <c r="E22" s="6"/>
      <c r="L22" s="438" t="s">
        <v>744</v>
      </c>
      <c r="M22" s="48">
        <f>'M (no EW)'!Q7</f>
        <v>63.91</v>
      </c>
      <c r="N22" s="668">
        <f>M22/$M$23</f>
        <v>9.4770374969998887E-4</v>
      </c>
    </row>
    <row r="23" spans="2:15" ht="15.75" customHeight="1" thickBot="1" x14ac:dyDescent="0.4">
      <c r="B23" s="50" t="s">
        <v>734</v>
      </c>
      <c r="C23" s="111">
        <f>SUM(C19:C22)</f>
        <v>48859.266187128567</v>
      </c>
      <c r="D23" s="112"/>
      <c r="E23" s="6"/>
      <c r="L23" s="49" t="s">
        <v>82</v>
      </c>
      <c r="M23" s="663">
        <f>SUM(M19:M22)</f>
        <v>67436.685800000007</v>
      </c>
      <c r="N23" s="664"/>
    </row>
    <row r="24" spans="2:15" ht="15.75" customHeight="1" x14ac:dyDescent="0.35">
      <c r="B24" s="51"/>
      <c r="C24" s="52"/>
      <c r="D24" s="53"/>
      <c r="E24" s="6"/>
      <c r="L24" s="666" t="s">
        <v>723</v>
      </c>
      <c r="M24" s="663">
        <f>'M (no EW)'!D13</f>
        <v>2007.9036936936941</v>
      </c>
      <c r="N24" s="660"/>
    </row>
    <row r="25" spans="2:15" ht="15.75" customHeight="1" thickBot="1" x14ac:dyDescent="0.4">
      <c r="B25" s="51"/>
      <c r="C25" s="52"/>
      <c r="D25" s="53"/>
      <c r="E25" s="6"/>
      <c r="L25" s="50" t="s">
        <v>724</v>
      </c>
      <c r="M25" s="667">
        <f>'M (no EW)'!D15</f>
        <v>501.97592342342352</v>
      </c>
      <c r="N25" s="660"/>
    </row>
    <row r="26" spans="2:15" ht="15.75" customHeight="1" x14ac:dyDescent="0.35">
      <c r="B26" s="51"/>
      <c r="C26" s="52"/>
      <c r="D26" s="53"/>
      <c r="E26" s="6"/>
    </row>
    <row r="27" spans="2:15" ht="24" customHeight="1" x14ac:dyDescent="0.35">
      <c r="B27" s="51"/>
      <c r="C27" s="52"/>
      <c r="D27" s="53"/>
      <c r="E27" s="6"/>
    </row>
    <row r="28" spans="2:15" ht="27.75" customHeight="1" thickBot="1" x14ac:dyDescent="0.4">
      <c r="B28" s="45" t="s">
        <v>88</v>
      </c>
      <c r="C28" s="6"/>
      <c r="D28" s="6"/>
      <c r="E28" s="6"/>
    </row>
    <row r="29" spans="2:15" ht="17.25" customHeight="1" x14ac:dyDescent="0.35">
      <c r="B29" s="733" t="s">
        <v>7</v>
      </c>
      <c r="C29" s="734"/>
      <c r="D29" s="734"/>
      <c r="E29" s="734" t="s">
        <v>8</v>
      </c>
      <c r="F29" s="734"/>
      <c r="G29" s="734"/>
      <c r="H29" s="734"/>
      <c r="I29" s="734"/>
      <c r="J29" s="736"/>
    </row>
    <row r="30" spans="2:15" ht="61" customHeight="1" x14ac:dyDescent="0.35">
      <c r="B30" s="2" t="s">
        <v>0</v>
      </c>
      <c r="C30" s="7" t="s">
        <v>1</v>
      </c>
      <c r="D30" s="7" t="s">
        <v>9</v>
      </c>
      <c r="E30" s="7" t="s">
        <v>713</v>
      </c>
      <c r="F30" s="7" t="s">
        <v>139</v>
      </c>
      <c r="G30" s="7" t="s">
        <v>715</v>
      </c>
      <c r="H30" s="7" t="s">
        <v>702</v>
      </c>
      <c r="I30" s="7" t="s">
        <v>703</v>
      </c>
      <c r="J30" s="350" t="s">
        <v>699</v>
      </c>
    </row>
    <row r="31" spans="2:15" ht="15" customHeight="1" x14ac:dyDescent="0.35">
      <c r="B31" s="3" t="s">
        <v>11</v>
      </c>
      <c r="C31" s="277" t="s">
        <v>12</v>
      </c>
      <c r="D31" s="91">
        <v>1</v>
      </c>
      <c r="E31" s="89">
        <f>AOB!E6</f>
        <v>593.24729999999988</v>
      </c>
      <c r="F31" s="89">
        <f>AOB!D11</f>
        <v>593.13259999999991</v>
      </c>
      <c r="G31" s="556">
        <f>AOB!D12</f>
        <v>593.24729999999988</v>
      </c>
      <c r="H31" s="641">
        <f>AOB!D13</f>
        <v>0.79963950117964266</v>
      </c>
      <c r="I31" s="641">
        <f>AOB!D14</f>
        <v>0.79979413549039413</v>
      </c>
      <c r="J31" s="168" t="s">
        <v>700</v>
      </c>
      <c r="K31" s="10"/>
    </row>
    <row r="32" spans="2:15" ht="15" customHeight="1" x14ac:dyDescent="0.35">
      <c r="B32" s="3" t="s">
        <v>13</v>
      </c>
      <c r="C32" s="277" t="s">
        <v>14</v>
      </c>
      <c r="D32" s="91">
        <v>4</v>
      </c>
      <c r="E32" s="89">
        <f>AUB!E10</f>
        <v>997.05050000000006</v>
      </c>
      <c r="F32" s="89">
        <f>AUB!D14</f>
        <v>249.15172500000003</v>
      </c>
      <c r="G32" s="556">
        <f>AUB!D15</f>
        <v>249.26262500000001</v>
      </c>
      <c r="H32" s="641">
        <f>AUB!D16</f>
        <v>1.8639860637632273</v>
      </c>
      <c r="I32" s="641">
        <f>AUB!D17</f>
        <v>1.8648154184714496</v>
      </c>
      <c r="J32" s="168" t="s">
        <v>700</v>
      </c>
      <c r="K32" s="551"/>
    </row>
    <row r="33" spans="2:14" ht="15" customHeight="1" x14ac:dyDescent="0.35">
      <c r="B33" s="3" t="s">
        <v>15</v>
      </c>
      <c r="C33" s="90" t="s">
        <v>16</v>
      </c>
      <c r="D33" s="91">
        <v>3</v>
      </c>
      <c r="E33" s="89">
        <f>CAUB!E9</f>
        <v>1992.4636999999998</v>
      </c>
      <c r="F33" s="89">
        <f>CAUB!D13</f>
        <v>664.07190000000003</v>
      </c>
      <c r="G33" s="556">
        <f>CAUB!D14</f>
        <v>664.1545666666666</v>
      </c>
      <c r="H33" s="641">
        <f>CAUB!D15</f>
        <v>3.1457787424309771</v>
      </c>
      <c r="I33" s="641">
        <f>CAUB!D16</f>
        <v>3.1461805219316701</v>
      </c>
      <c r="J33" s="168" t="s">
        <v>700</v>
      </c>
      <c r="K33" s="551"/>
    </row>
    <row r="34" spans="2:14" ht="15" customHeight="1" x14ac:dyDescent="0.35">
      <c r="B34" s="3" t="s">
        <v>17</v>
      </c>
      <c r="C34" s="710" t="s">
        <v>18</v>
      </c>
      <c r="D34" s="711">
        <v>2</v>
      </c>
      <c r="E34" s="712">
        <f>CUB!E8</f>
        <v>2341.1127000000006</v>
      </c>
      <c r="F34" s="712">
        <f>CUB!D12</f>
        <v>1170.4831500000003</v>
      </c>
      <c r="G34" s="556">
        <f>CUB!D13</f>
        <v>1170.5563500000003</v>
      </c>
      <c r="H34" s="713">
        <f>CUB!D14</f>
        <v>3.8557822596684095</v>
      </c>
      <c r="I34" s="713">
        <f>CUB!D15</f>
        <v>3.8560264988519064</v>
      </c>
      <c r="J34" s="714" t="s">
        <v>700</v>
      </c>
      <c r="K34" s="551"/>
    </row>
    <row r="35" spans="2:14" ht="15" customHeight="1" x14ac:dyDescent="0.35">
      <c r="B35" s="715" t="s">
        <v>19</v>
      </c>
      <c r="C35" s="710" t="s">
        <v>20</v>
      </c>
      <c r="D35" s="711">
        <v>2</v>
      </c>
      <c r="E35" s="712">
        <f>JUB!E8</f>
        <v>5016.2392999999975</v>
      </c>
      <c r="F35" s="712">
        <f>JUB!D12</f>
        <v>2508.0189999999993</v>
      </c>
      <c r="G35" s="556">
        <f>JUB!D13</f>
        <v>2508.1196499999987</v>
      </c>
      <c r="H35" s="713">
        <f>JUB!D14</f>
        <v>6.7791837690855248</v>
      </c>
      <c r="I35" s="713">
        <f>JUB!D15</f>
        <v>6.7794561143312313</v>
      </c>
      <c r="J35" s="714" t="s">
        <v>700</v>
      </c>
      <c r="K35" s="551"/>
    </row>
    <row r="36" spans="2:14" ht="15" customHeight="1" x14ac:dyDescent="0.35">
      <c r="B36" s="3" t="s">
        <v>21</v>
      </c>
      <c r="C36" s="716" t="s">
        <v>22</v>
      </c>
      <c r="D36" s="711">
        <v>4</v>
      </c>
      <c r="E36" s="712">
        <f>OB!E10</f>
        <v>5752.9177</v>
      </c>
      <c r="F36" s="712">
        <f>OB!D14</f>
        <v>1438.09665</v>
      </c>
      <c r="G36" s="556">
        <f>OB!D15</f>
        <v>1438.229425</v>
      </c>
      <c r="H36" s="713">
        <f>OB!D16</f>
        <v>3.061629119259099</v>
      </c>
      <c r="I36" s="713">
        <f>OB!D17</f>
        <v>3.0619034974683377</v>
      </c>
      <c r="J36" s="714" t="s">
        <v>700</v>
      </c>
      <c r="K36" s="551"/>
    </row>
    <row r="37" spans="2:14" ht="15" customHeight="1" x14ac:dyDescent="0.35">
      <c r="B37" s="3" t="s">
        <v>23</v>
      </c>
      <c r="C37" s="716" t="s">
        <v>24</v>
      </c>
      <c r="D37" s="711">
        <v>2</v>
      </c>
      <c r="E37" s="712">
        <f>PUP!E8</f>
        <v>443.70489999999995</v>
      </c>
      <c r="F37" s="712">
        <f>PUP!D12</f>
        <v>221.76874999999998</v>
      </c>
      <c r="G37" s="556">
        <f>PUP!D13</f>
        <v>221.85244999999998</v>
      </c>
      <c r="H37" s="713">
        <f>PUP!D14</f>
        <v>2.705872971446742</v>
      </c>
      <c r="I37" s="713">
        <f>PUP!D15</f>
        <v>2.7068318090335648</v>
      </c>
      <c r="J37" s="714" t="s">
        <v>700</v>
      </c>
      <c r="K37" s="551"/>
    </row>
    <row r="38" spans="2:14" ht="15" customHeight="1" x14ac:dyDescent="0.35">
      <c r="B38" s="3" t="s">
        <v>26</v>
      </c>
      <c r="C38" s="710" t="s">
        <v>27</v>
      </c>
      <c r="D38" s="711">
        <v>4</v>
      </c>
      <c r="E38" s="712">
        <f>RB!E10</f>
        <v>19246.307099999998</v>
      </c>
      <c r="F38" s="712">
        <f>RB!D14</f>
        <v>4811.3369499999999</v>
      </c>
      <c r="G38" s="556">
        <f>RB!D15</f>
        <v>4811.5767749999995</v>
      </c>
      <c r="H38" s="713">
        <f>RB!D16</f>
        <v>3.2226978235720343</v>
      </c>
      <c r="I38" s="713">
        <f>RB!D17</f>
        <v>3.2228951005766189</v>
      </c>
      <c r="J38" s="714" t="s">
        <v>700</v>
      </c>
      <c r="K38" s="551"/>
    </row>
    <row r="39" spans="2:14" ht="15" customHeight="1" x14ac:dyDescent="0.35">
      <c r="B39" s="3" t="s">
        <v>28</v>
      </c>
      <c r="C39" s="710" t="s">
        <v>29</v>
      </c>
      <c r="D39" s="711">
        <v>3</v>
      </c>
      <c r="E39" s="712">
        <f>UB!E9</f>
        <v>10137.321100000001</v>
      </c>
      <c r="F39" s="712">
        <f>UB!D13</f>
        <v>3378.9415333333332</v>
      </c>
      <c r="G39" s="556">
        <f>UB!D14</f>
        <v>3379.1070333333337</v>
      </c>
      <c r="H39" s="713">
        <f>UB!D15</f>
        <v>4.1959556462733136</v>
      </c>
      <c r="I39" s="713">
        <f>UB!D16</f>
        <v>4.1963111515627665</v>
      </c>
      <c r="J39" s="714" t="s">
        <v>700</v>
      </c>
      <c r="K39" s="551"/>
    </row>
    <row r="40" spans="2:14" ht="15" customHeight="1" x14ac:dyDescent="0.35">
      <c r="B40" s="3" t="s">
        <v>30</v>
      </c>
      <c r="C40" s="710" t="s">
        <v>31</v>
      </c>
      <c r="D40" s="711" t="s">
        <v>90</v>
      </c>
      <c r="E40" s="712">
        <f>'C'!E7</f>
        <v>2338.9657871285708</v>
      </c>
      <c r="F40" s="717">
        <f>'C'!D7</f>
        <v>2338.5736871285708</v>
      </c>
      <c r="G40" s="556">
        <f>'C'!D13</f>
        <v>2338.9657871285708</v>
      </c>
      <c r="H40" s="713">
        <f>'C'!D14</f>
        <v>2.2789784019184043</v>
      </c>
      <c r="I40" s="713">
        <f>'C'!D15</f>
        <v>2.2793605097973693</v>
      </c>
      <c r="J40" s="714" t="s">
        <v>701</v>
      </c>
      <c r="K40" s="551"/>
    </row>
    <row r="41" spans="2:14" ht="15" customHeight="1" x14ac:dyDescent="0.35">
      <c r="B41" s="3" t="s">
        <v>32</v>
      </c>
      <c r="C41" s="90" t="s">
        <v>33</v>
      </c>
      <c r="D41" s="91" t="s">
        <v>90</v>
      </c>
      <c r="E41" s="89">
        <f>SR!E7</f>
        <v>2362.8717999999999</v>
      </c>
      <c r="F41" s="89">
        <f>SR!D6</f>
        <v>1605.4286999999999</v>
      </c>
      <c r="G41" s="556">
        <f>SR!E6</f>
        <v>2362.8717999999999</v>
      </c>
      <c r="H41" s="641">
        <f>SR!D12</f>
        <v>0.42697571808510637</v>
      </c>
      <c r="I41" s="641">
        <f>SR!D13</f>
        <v>0.62842335106382974</v>
      </c>
      <c r="J41" s="168" t="s">
        <v>701</v>
      </c>
      <c r="K41" s="551"/>
    </row>
    <row r="42" spans="2:14" ht="15" customHeight="1" x14ac:dyDescent="0.35">
      <c r="B42" s="3" t="s">
        <v>34</v>
      </c>
      <c r="C42" s="90" t="s">
        <v>35</v>
      </c>
      <c r="D42" s="91">
        <v>5</v>
      </c>
      <c r="E42" s="89">
        <f>J!E11</f>
        <v>5147.2497999999996</v>
      </c>
      <c r="F42" s="89">
        <f>J!D15</f>
        <v>457.45605999999998</v>
      </c>
      <c r="G42" s="556">
        <f>J!D16</f>
        <v>1029.4499599999999</v>
      </c>
      <c r="H42" s="641">
        <f>J!D17</f>
        <v>0.48710355034259145</v>
      </c>
      <c r="I42" s="641">
        <f>J!D18</f>
        <v>1.0979275217767062</v>
      </c>
      <c r="J42" s="168" t="s">
        <v>701</v>
      </c>
      <c r="K42" s="551"/>
    </row>
    <row r="43" spans="2:14" ht="15" customHeight="1" x14ac:dyDescent="0.35">
      <c r="B43" s="96" t="s">
        <v>5</v>
      </c>
      <c r="C43" s="92"/>
      <c r="D43" s="640">
        <f>SUM(D31:D42)</f>
        <v>30</v>
      </c>
      <c r="E43" s="93">
        <f>SUM(E31:E42)</f>
        <v>56369.451687128574</v>
      </c>
      <c r="F43" s="94"/>
      <c r="G43" s="94"/>
      <c r="H43" s="95"/>
      <c r="I43" s="95"/>
      <c r="J43" s="97"/>
      <c r="K43" s="12"/>
    </row>
    <row r="44" spans="2:14" ht="15" thickBot="1" x14ac:dyDescent="0.4">
      <c r="B44" s="98"/>
      <c r="C44" s="55"/>
      <c r="D44" s="55"/>
      <c r="E44" s="55"/>
      <c r="F44" s="99"/>
      <c r="G44" s="56"/>
      <c r="H44" s="56"/>
      <c r="I44" s="558"/>
      <c r="J44" s="57"/>
      <c r="K44" s="12"/>
      <c r="L44" s="13"/>
      <c r="M44" s="13"/>
      <c r="N44" s="13"/>
    </row>
    <row r="45" spans="2:14" ht="18" customHeight="1" x14ac:dyDescent="0.35">
      <c r="B45" s="45"/>
      <c r="C45" s="54"/>
      <c r="D45" s="54"/>
      <c r="E45" s="54"/>
      <c r="F45" s="54"/>
      <c r="G45" s="54"/>
      <c r="H45" s="54"/>
      <c r="J45" s="54"/>
      <c r="K45" s="54"/>
      <c r="L45" s="54"/>
      <c r="M45" s="13"/>
      <c r="N45" s="13"/>
    </row>
    <row r="46" spans="2:14" ht="18" customHeight="1" x14ac:dyDescent="0.35">
      <c r="B46" s="45" t="s">
        <v>36</v>
      </c>
      <c r="C46" s="54"/>
      <c r="D46" s="54"/>
      <c r="E46" s="54"/>
      <c r="F46" s="557"/>
      <c r="G46" s="54"/>
      <c r="H46" s="54"/>
      <c r="J46" s="54"/>
      <c r="K46" s="54"/>
      <c r="L46" s="54"/>
      <c r="M46" s="13"/>
      <c r="N46" s="13"/>
    </row>
    <row r="47" spans="2:14" x14ac:dyDescent="0.35">
      <c r="B47" s="59" t="s">
        <v>91</v>
      </c>
      <c r="C47" s="60"/>
      <c r="D47" s="60"/>
      <c r="E47" s="60"/>
      <c r="F47" s="60"/>
      <c r="G47" s="14"/>
      <c r="H47" s="15"/>
      <c r="I47" s="15"/>
      <c r="J47" s="15"/>
      <c r="K47" s="15"/>
      <c r="L47" s="16"/>
      <c r="M47" s="13"/>
      <c r="N47" s="13"/>
    </row>
    <row r="48" spans="2:14" x14ac:dyDescent="0.35">
      <c r="B48" s="17" t="s">
        <v>766</v>
      </c>
      <c r="C48" s="17"/>
      <c r="D48" s="17"/>
      <c r="E48" s="17"/>
      <c r="F48" s="18"/>
      <c r="G48" s="19"/>
      <c r="H48" s="20"/>
      <c r="I48" s="20"/>
      <c r="J48" s="20"/>
      <c r="K48" s="20"/>
      <c r="L48" s="13"/>
      <c r="M48" s="13"/>
      <c r="N48" s="13"/>
    </row>
    <row r="49" spans="2:14" x14ac:dyDescent="0.35">
      <c r="B49" s="17"/>
      <c r="C49" s="17"/>
      <c r="D49" s="17"/>
      <c r="E49" s="17"/>
      <c r="F49" s="18"/>
      <c r="G49" s="21"/>
      <c r="H49" s="22"/>
      <c r="I49" s="22"/>
      <c r="J49" s="22"/>
      <c r="K49" s="22"/>
      <c r="L49" s="13"/>
      <c r="M49" s="13"/>
      <c r="N49" s="13"/>
    </row>
    <row r="50" spans="2:14" x14ac:dyDescent="0.35">
      <c r="B50" s="17"/>
      <c r="C50" s="17"/>
      <c r="D50" s="17"/>
      <c r="E50" s="17"/>
      <c r="F50" s="18"/>
      <c r="G50" s="23"/>
      <c r="H50" s="24"/>
      <c r="I50" s="24"/>
      <c r="J50" s="24"/>
      <c r="K50" s="24"/>
      <c r="L50" s="13"/>
      <c r="M50" s="13"/>
      <c r="N50" s="13"/>
    </row>
    <row r="51" spans="2:14" x14ac:dyDescent="0.35">
      <c r="B51" s="17"/>
      <c r="C51" s="17"/>
      <c r="D51" s="25"/>
      <c r="E51" s="25"/>
      <c r="F51" s="26"/>
      <c r="G51" s="27"/>
      <c r="H51" s="28"/>
      <c r="I51" s="28"/>
      <c r="J51" s="28"/>
      <c r="K51" s="28"/>
      <c r="L51" s="13"/>
      <c r="M51" s="13"/>
      <c r="N51" s="13"/>
    </row>
    <row r="52" spans="2:14" x14ac:dyDescent="0.35">
      <c r="B52" s="17"/>
      <c r="C52" s="17"/>
      <c r="D52" s="13"/>
      <c r="E52" s="13"/>
      <c r="F52" s="11"/>
      <c r="G52" s="11"/>
      <c r="H52" s="12"/>
      <c r="I52" s="12"/>
      <c r="J52" s="12"/>
      <c r="K52" s="12"/>
      <c r="L52" s="13"/>
      <c r="M52" s="13"/>
      <c r="N52" s="13"/>
    </row>
    <row r="53" spans="2:14" ht="27" customHeight="1" x14ac:dyDescent="0.35">
      <c r="B53" s="731"/>
      <c r="C53" s="731"/>
      <c r="D53" s="731"/>
      <c r="E53" s="731"/>
      <c r="F53" s="731"/>
      <c r="G53" s="731"/>
      <c r="H53" s="731"/>
      <c r="I53" s="731"/>
      <c r="J53" s="731"/>
      <c r="K53" s="731"/>
      <c r="L53" s="731"/>
      <c r="M53" s="13"/>
      <c r="N53" s="13"/>
    </row>
    <row r="54" spans="2:14" x14ac:dyDescent="0.35">
      <c r="B54" s="732"/>
      <c r="C54" s="732"/>
      <c r="D54" s="732"/>
      <c r="E54" s="732"/>
      <c r="F54" s="732"/>
      <c r="G54" s="14"/>
      <c r="H54" s="15"/>
      <c r="I54" s="15"/>
      <c r="J54" s="15"/>
      <c r="K54" s="15"/>
      <c r="L54" s="16"/>
      <c r="M54" s="13"/>
      <c r="N54" s="13"/>
    </row>
    <row r="55" spans="2:14" x14ac:dyDescent="0.35">
      <c r="B55" s="29"/>
      <c r="C55" s="29"/>
      <c r="D55" s="29"/>
      <c r="E55" s="29"/>
      <c r="F55" s="18"/>
      <c r="G55" s="19"/>
      <c r="H55" s="20"/>
      <c r="I55" s="20"/>
      <c r="J55" s="20"/>
      <c r="K55" s="20"/>
      <c r="L55" s="13"/>
      <c r="M55" s="13"/>
      <c r="N55" s="13"/>
    </row>
    <row r="56" spans="2:14" x14ac:dyDescent="0.35">
      <c r="B56" s="29"/>
      <c r="C56" s="29"/>
      <c r="D56" s="29"/>
      <c r="E56" s="29"/>
      <c r="F56" s="18"/>
      <c r="G56" s="19"/>
      <c r="H56" s="20"/>
      <c r="I56" s="20"/>
      <c r="J56" s="20"/>
      <c r="K56" s="20"/>
      <c r="L56" s="13"/>
      <c r="M56" s="13"/>
      <c r="N56" s="13"/>
    </row>
    <row r="57" spans="2:14" x14ac:dyDescent="0.35">
      <c r="B57" s="29"/>
      <c r="C57" s="29"/>
      <c r="D57" s="29"/>
      <c r="E57" s="29"/>
      <c r="F57" s="18"/>
      <c r="G57" s="19"/>
      <c r="H57" s="20"/>
      <c r="I57" s="20"/>
      <c r="J57" s="20"/>
      <c r="K57" s="20"/>
      <c r="L57" s="13"/>
      <c r="M57" s="13"/>
      <c r="N57" s="13"/>
    </row>
    <row r="58" spans="2:14" x14ac:dyDescent="0.35">
      <c r="B58" s="732"/>
      <c r="C58" s="732"/>
      <c r="D58" s="732"/>
      <c r="E58" s="732"/>
      <c r="F58" s="732"/>
      <c r="G58" s="14"/>
      <c r="H58" s="15"/>
      <c r="I58" s="15"/>
      <c r="J58" s="15"/>
      <c r="K58" s="15"/>
      <c r="L58" s="16"/>
      <c r="M58" s="13"/>
      <c r="N58" s="13"/>
    </row>
    <row r="59" spans="2:14" x14ac:dyDescent="0.35">
      <c r="B59" s="29"/>
      <c r="C59" s="29"/>
      <c r="D59" s="29"/>
      <c r="E59" s="29"/>
      <c r="F59" s="18"/>
      <c r="G59" s="21"/>
      <c r="H59" s="22"/>
      <c r="I59" s="22"/>
      <c r="J59" s="22"/>
      <c r="K59" s="22"/>
      <c r="L59" s="13"/>
      <c r="M59" s="13"/>
      <c r="N59" s="13"/>
    </row>
    <row r="60" spans="2:14" x14ac:dyDescent="0.35">
      <c r="B60" s="29"/>
      <c r="C60" s="29"/>
      <c r="D60" s="29"/>
      <c r="E60" s="29"/>
      <c r="F60" s="18"/>
      <c r="G60" s="21"/>
      <c r="H60" s="22"/>
      <c r="I60" s="22"/>
      <c r="J60" s="22"/>
      <c r="K60" s="22"/>
      <c r="L60" s="13"/>
      <c r="M60" s="13"/>
      <c r="N60" s="13"/>
    </row>
    <row r="61" spans="2:14" x14ac:dyDescent="0.35">
      <c r="B61" s="29"/>
      <c r="C61" s="29"/>
      <c r="D61" s="29"/>
      <c r="E61" s="29"/>
      <c r="F61" s="18"/>
      <c r="G61" s="21"/>
      <c r="H61" s="22"/>
      <c r="I61" s="22"/>
      <c r="J61" s="22"/>
      <c r="K61" s="22"/>
      <c r="L61" s="13"/>
      <c r="M61" s="13"/>
      <c r="N61" s="13"/>
    </row>
    <row r="62" spans="2:14" x14ac:dyDescent="0.35">
      <c r="B62" s="29"/>
      <c r="C62" s="29"/>
      <c r="D62" s="29"/>
      <c r="E62" s="29"/>
      <c r="F62" s="18"/>
      <c r="G62" s="21"/>
      <c r="H62" s="22"/>
      <c r="I62" s="22"/>
      <c r="J62" s="22"/>
      <c r="K62" s="22"/>
      <c r="L62" s="13"/>
      <c r="M62" s="13"/>
      <c r="N62" s="13"/>
    </row>
    <row r="63" spans="2:14" x14ac:dyDescent="0.35">
      <c r="B63" s="29"/>
      <c r="C63" s="29"/>
      <c r="D63" s="29"/>
      <c r="E63" s="29"/>
      <c r="F63" s="18"/>
      <c r="G63" s="21"/>
      <c r="H63" s="22"/>
      <c r="I63" s="22"/>
      <c r="J63" s="22"/>
      <c r="K63" s="22"/>
      <c r="L63" s="13"/>
      <c r="M63" s="13"/>
      <c r="N63" s="13"/>
    </row>
    <row r="64" spans="2:14" x14ac:dyDescent="0.35">
      <c r="B64" s="732"/>
      <c r="C64" s="732"/>
      <c r="D64" s="732"/>
      <c r="E64" s="732"/>
      <c r="F64" s="732"/>
      <c r="G64" s="14"/>
      <c r="H64" s="15"/>
      <c r="I64" s="15"/>
      <c r="J64" s="15"/>
      <c r="K64" s="15"/>
      <c r="L64" s="16"/>
      <c r="M64" s="13"/>
      <c r="N64" s="13"/>
    </row>
    <row r="65" spans="2:14" x14ac:dyDescent="0.35">
      <c r="B65" s="29"/>
      <c r="C65" s="29"/>
      <c r="D65" s="29"/>
      <c r="E65" s="29"/>
      <c r="F65" s="18"/>
      <c r="G65" s="23"/>
      <c r="H65" s="24"/>
      <c r="I65" s="24"/>
      <c r="J65" s="24"/>
      <c r="K65" s="24"/>
      <c r="L65" s="13"/>
      <c r="M65" s="13"/>
      <c r="N65" s="13"/>
    </row>
    <row r="66" spans="2:14" x14ac:dyDescent="0.35">
      <c r="B66" s="29"/>
      <c r="C66" s="29"/>
      <c r="D66" s="29"/>
      <c r="E66" s="29"/>
      <c r="F66" s="18"/>
      <c r="G66" s="23"/>
      <c r="H66" s="24"/>
      <c r="I66" s="24"/>
      <c r="J66" s="24"/>
      <c r="K66" s="24"/>
      <c r="L66" s="13"/>
      <c r="M66" s="13"/>
      <c r="N66" s="13"/>
    </row>
    <row r="67" spans="2:14" x14ac:dyDescent="0.35">
      <c r="B67" s="29"/>
      <c r="C67" s="29"/>
      <c r="D67" s="29"/>
      <c r="E67" s="29"/>
      <c r="F67" s="18"/>
      <c r="G67" s="23"/>
      <c r="H67" s="24"/>
      <c r="I67" s="24"/>
      <c r="J67" s="24"/>
      <c r="K67" s="24"/>
      <c r="L67" s="13"/>
      <c r="M67" s="13"/>
      <c r="N67" s="13"/>
    </row>
    <row r="68" spans="2:14" x14ac:dyDescent="0.35">
      <c r="B68" s="17"/>
      <c r="C68" s="17"/>
      <c r="D68" s="17"/>
      <c r="E68" s="17"/>
      <c r="F68" s="18"/>
      <c r="G68" s="19"/>
      <c r="H68" s="20"/>
      <c r="I68" s="20"/>
      <c r="J68" s="20"/>
      <c r="K68" s="20"/>
      <c r="L68" s="13"/>
      <c r="M68" s="13"/>
      <c r="N68" s="13"/>
    </row>
    <row r="69" spans="2:14" x14ac:dyDescent="0.35">
      <c r="B69" s="13"/>
      <c r="C69" s="13"/>
      <c r="D69" s="13"/>
      <c r="E69" s="13"/>
      <c r="F69" s="11"/>
      <c r="G69" s="11"/>
      <c r="H69" s="12"/>
      <c r="I69" s="12"/>
      <c r="J69" s="12"/>
      <c r="K69" s="12"/>
      <c r="L69" s="13"/>
      <c r="M69" s="13"/>
      <c r="N69" s="13"/>
    </row>
    <row r="70" spans="2:14" ht="27" customHeight="1" x14ac:dyDescent="0.35">
      <c r="B70" s="731"/>
      <c r="C70" s="731"/>
      <c r="D70" s="731"/>
      <c r="E70" s="731"/>
      <c r="F70" s="731"/>
      <c r="G70" s="731"/>
      <c r="H70" s="731"/>
      <c r="I70" s="731"/>
      <c r="J70" s="731"/>
      <c r="K70" s="731"/>
      <c r="L70" s="731"/>
      <c r="M70" s="13"/>
      <c r="N70" s="13"/>
    </row>
    <row r="71" spans="2:14" x14ac:dyDescent="0.35">
      <c r="B71" s="30"/>
      <c r="C71" s="30"/>
      <c r="D71" s="30"/>
      <c r="E71" s="30"/>
      <c r="F71" s="15"/>
      <c r="G71" s="14"/>
      <c r="H71" s="15"/>
      <c r="I71" s="15"/>
      <c r="J71" s="15"/>
      <c r="K71" s="15"/>
      <c r="L71" s="16"/>
      <c r="M71" s="13"/>
      <c r="N71" s="13"/>
    </row>
    <row r="72" spans="2:14" x14ac:dyDescent="0.35">
      <c r="B72" s="735"/>
      <c r="C72" s="735"/>
      <c r="D72" s="735"/>
      <c r="E72" s="735"/>
      <c r="F72" s="735"/>
      <c r="G72" s="31"/>
      <c r="H72" s="32"/>
      <c r="I72" s="32"/>
      <c r="J72" s="32"/>
      <c r="K72" s="32"/>
      <c r="L72" s="13"/>
      <c r="M72" s="13"/>
      <c r="N72" s="13"/>
    </row>
    <row r="73" spans="2:14" x14ac:dyDescent="0.35">
      <c r="B73" s="735"/>
      <c r="C73" s="735"/>
      <c r="D73" s="735"/>
      <c r="E73" s="735"/>
      <c r="F73" s="735"/>
      <c r="G73" s="33"/>
      <c r="H73" s="32"/>
      <c r="I73" s="32"/>
      <c r="J73" s="32"/>
      <c r="K73" s="32"/>
      <c r="L73" s="13"/>
      <c r="M73" s="13"/>
      <c r="N73" s="13"/>
    </row>
    <row r="74" spans="2:14" x14ac:dyDescent="0.35">
      <c r="B74" s="13"/>
      <c r="C74" s="13"/>
      <c r="D74" s="13"/>
      <c r="E74" s="13"/>
      <c r="F74" s="11"/>
      <c r="G74" s="11"/>
      <c r="H74" s="12"/>
      <c r="I74" s="12"/>
      <c r="J74" s="12"/>
      <c r="K74" s="12"/>
      <c r="L74" s="13"/>
      <c r="M74" s="13"/>
      <c r="N74" s="13"/>
    </row>
    <row r="75" spans="2:14" x14ac:dyDescent="0.35">
      <c r="B75" s="13"/>
      <c r="C75" s="13"/>
      <c r="D75" s="13"/>
      <c r="E75" s="13"/>
      <c r="F75" s="11"/>
      <c r="G75" s="11"/>
      <c r="H75" s="12"/>
      <c r="I75" s="12"/>
      <c r="J75" s="12"/>
      <c r="K75" s="12"/>
      <c r="L75" s="13"/>
      <c r="M75" s="13"/>
      <c r="N75" s="13"/>
    </row>
    <row r="76" spans="2:14" ht="27" customHeight="1" x14ac:dyDescent="0.35">
      <c r="B76" s="730"/>
      <c r="C76" s="730"/>
      <c r="D76" s="730"/>
      <c r="E76" s="730"/>
      <c r="F76" s="730"/>
      <c r="G76" s="34"/>
      <c r="H76" s="12"/>
      <c r="I76" s="12"/>
      <c r="J76" s="12"/>
      <c r="K76" s="12"/>
      <c r="L76" s="13"/>
      <c r="M76" s="13"/>
      <c r="N76" s="13"/>
    </row>
    <row r="77" spans="2:14" x14ac:dyDescent="0.35">
      <c r="B77" s="13"/>
      <c r="C77" s="13"/>
      <c r="D77" s="13"/>
      <c r="E77" s="13"/>
      <c r="F77" s="11"/>
      <c r="G77" s="11"/>
      <c r="H77" s="12"/>
      <c r="I77" s="12"/>
      <c r="J77" s="12"/>
      <c r="K77" s="12"/>
      <c r="L77" s="13"/>
      <c r="M77" s="13"/>
      <c r="N77" s="13"/>
    </row>
  </sheetData>
  <mergeCells count="11">
    <mergeCell ref="B14:D15"/>
    <mergeCell ref="B76:F76"/>
    <mergeCell ref="B53:L53"/>
    <mergeCell ref="B70:L70"/>
    <mergeCell ref="B54:F54"/>
    <mergeCell ref="B58:F58"/>
    <mergeCell ref="B29:D29"/>
    <mergeCell ref="B64:F64"/>
    <mergeCell ref="B72:F72"/>
    <mergeCell ref="B73:F73"/>
    <mergeCell ref="E29:J29"/>
  </mergeCells>
  <phoneticPr fontId="37" type="noConversion"/>
  <hyperlinks>
    <hyperlink ref="C31" location="AOB!A1" display="AOB" xr:uid="{48B762FC-835C-4819-9228-6DF3A773A944}"/>
    <hyperlink ref="C32" location="AUB!A1" display="AUB" xr:uid="{0040BF59-23FD-4413-AE22-4541F023A58C}"/>
    <hyperlink ref="C33" location="CAUB!A1" display="CAUB" xr:uid="{1CEA7CC4-A9BF-4128-B13F-54001BAB71A3}"/>
    <hyperlink ref="C34" location="CUB!A1" display="CUB" xr:uid="{4F26197D-D939-48D3-B097-4634DAAB1490}"/>
    <hyperlink ref="C35" location="JUB!A1" display="JUB" xr:uid="{24EAB780-7242-4581-8D2A-816BBA5C4E64}"/>
    <hyperlink ref="C36" location="OB!A1" display="OB" xr:uid="{2A940EAD-2CD7-4F28-8FDC-34D0DD59408B}"/>
    <hyperlink ref="C37" location="PUP!A1" display="PUP" xr:uid="{F55A9C7A-E231-48E6-ADB0-19B8ADAFFD31}"/>
    <hyperlink ref="C38" location="RB!A1" display="RB" xr:uid="{64CDF25E-D12F-4560-8944-733D905D4DA6}"/>
    <hyperlink ref="C39" location="UB!A1" display="UB" xr:uid="{CC4CF9D1-3106-44C1-AA56-C718EFB08931}"/>
    <hyperlink ref="C40" location="'C'!A1" display="C" xr:uid="{32673D81-8B3A-4544-B150-25C3B500531E}"/>
    <hyperlink ref="C41" location="SR!A1" display="SR" xr:uid="{720CC62E-C114-4FB5-9916-F26A4624A1D4}"/>
    <hyperlink ref="C42" location="J!A1" display="J" xr:uid="{01429277-5818-4785-B78C-3ADA126B980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3083-E633-410F-A5EF-A4A756D927C5}">
  <sheetPr>
    <tabColor rgb="FF008768"/>
  </sheetPr>
  <dimension ref="B2:M21"/>
  <sheetViews>
    <sheetView showGridLines="0" zoomScale="70" zoomScaleNormal="70" workbookViewId="0">
      <selection activeCell="M13" sqref="M13"/>
    </sheetView>
  </sheetViews>
  <sheetFormatPr defaultRowHeight="14.5" x14ac:dyDescent="0.35"/>
  <cols>
    <col min="1" max="1" width="1.81640625" customWidth="1"/>
    <col min="2" max="2" width="28.1796875" customWidth="1"/>
    <col min="3" max="3" width="15.81640625" customWidth="1"/>
    <col min="4" max="4" width="19.453125" customWidth="1"/>
  </cols>
  <sheetData>
    <row r="2" spans="2:13" s="1" customFormat="1" ht="27" customHeight="1" x14ac:dyDescent="0.35">
      <c r="B2" s="267" t="s">
        <v>264</v>
      </c>
      <c r="C2" s="4"/>
      <c r="D2" s="4"/>
      <c r="E2" s="4"/>
      <c r="F2" s="8"/>
      <c r="G2" s="8"/>
    </row>
    <row r="3" spans="2:13" s="1" customFormat="1" ht="20.149999999999999" customHeight="1" x14ac:dyDescent="0.35">
      <c r="B3" s="737" t="s">
        <v>482</v>
      </c>
      <c r="C3" s="737"/>
      <c r="D3" s="737"/>
      <c r="E3" s="737"/>
      <c r="F3" s="737"/>
      <c r="G3" s="737"/>
      <c r="H3" s="737"/>
      <c r="I3" s="737"/>
      <c r="J3" s="737"/>
      <c r="K3" s="737"/>
      <c r="L3" s="737"/>
      <c r="M3" s="737"/>
    </row>
    <row r="4" spans="2:13" s="1" customFormat="1" ht="16" customHeight="1" x14ac:dyDescent="0.35">
      <c r="B4" s="737"/>
      <c r="C4" s="737"/>
      <c r="D4" s="737"/>
      <c r="E4" s="737"/>
      <c r="F4" s="737"/>
      <c r="G4" s="737"/>
      <c r="H4" s="737"/>
      <c r="I4" s="737"/>
      <c r="J4" s="737"/>
      <c r="K4" s="737"/>
      <c r="L4" s="737"/>
      <c r="M4" s="737"/>
    </row>
    <row r="5" spans="2:13" x14ac:dyDescent="0.35">
      <c r="B5" s="257"/>
      <c r="C5" s="258"/>
      <c r="D5" s="258"/>
      <c r="E5" s="258"/>
      <c r="F5" s="258"/>
      <c r="G5" s="258"/>
      <c r="H5" s="258"/>
    </row>
    <row r="6" spans="2:13" ht="15" thickBot="1" x14ac:dyDescent="0.4">
      <c r="B6" s="45" t="s">
        <v>142</v>
      </c>
      <c r="C6" s="6"/>
      <c r="D6" s="6"/>
    </row>
    <row r="7" spans="2:13" ht="26" x14ac:dyDescent="0.35">
      <c r="B7" s="46" t="s">
        <v>143</v>
      </c>
      <c r="C7" s="75" t="s">
        <v>2</v>
      </c>
      <c r="D7" s="62" t="s">
        <v>83</v>
      </c>
    </row>
    <row r="8" spans="2:13" x14ac:dyDescent="0.35">
      <c r="B8" s="3" t="s">
        <v>145</v>
      </c>
      <c r="C8" s="48">
        <f>AOB!J7+AUB!J10+CAUB!J9+CUB!J8+JUB!J8+OB!J10+PUP!J8+RB!J10+UB!J9+M!H7+J!J11+SR!H7+'C'!J7+'Other structures'!H26</f>
        <v>89008.482342661257</v>
      </c>
      <c r="D8" s="76">
        <f>C8/C12</f>
        <v>0.60424391568897484</v>
      </c>
    </row>
    <row r="9" spans="2:13" x14ac:dyDescent="0.35">
      <c r="B9" s="3" t="s">
        <v>144</v>
      </c>
      <c r="C9" s="48">
        <f>AOB!L7+AUB!L10+CAUB!L9+CUB!L8+JUB!L8+OB!L10+PUP!L8+RB!L10+UB!L9+M!M7+J!L11+SR!J7+'C'!L7+'Other structures'!I26</f>
        <v>37558.815122209802</v>
      </c>
      <c r="D9" s="76">
        <f>C9/C12</f>
        <v>0.2549721658067739</v>
      </c>
    </row>
    <row r="10" spans="2:13" x14ac:dyDescent="0.35">
      <c r="B10" s="3" t="s">
        <v>438</v>
      </c>
      <c r="C10" s="48">
        <f>'Task 4 - Maintenance summary'!M23</f>
        <v>18909.782548274616</v>
      </c>
      <c r="D10" s="76">
        <f>C10/C12</f>
        <v>0.12837114790710255</v>
      </c>
    </row>
    <row r="11" spans="2:13" x14ac:dyDescent="0.35">
      <c r="B11" s="438" t="s">
        <v>692</v>
      </c>
      <c r="C11" s="48">
        <f>M!Q7+J!P11+'Operational Energy'!J10</f>
        <v>1828.47</v>
      </c>
      <c r="D11" s="76">
        <f>C11/C12</f>
        <v>1.2412770597148756E-2</v>
      </c>
    </row>
    <row r="12" spans="2:13" x14ac:dyDescent="0.35">
      <c r="B12" s="107" t="s">
        <v>5</v>
      </c>
      <c r="C12" s="106">
        <f>SUM(C8:C11)</f>
        <v>147305.55001314566</v>
      </c>
      <c r="D12" s="108" t="s">
        <v>90</v>
      </c>
    </row>
    <row r="13" spans="2:13" ht="26" x14ac:dyDescent="0.35">
      <c r="B13" s="109" t="s">
        <v>273</v>
      </c>
      <c r="C13" s="106">
        <f>C12/C16</f>
        <v>6635.3851357272824</v>
      </c>
      <c r="D13" s="108" t="s">
        <v>90</v>
      </c>
    </row>
    <row r="14" spans="2:13" ht="26.5" thickBot="1" x14ac:dyDescent="0.4">
      <c r="B14" s="110" t="s">
        <v>274</v>
      </c>
      <c r="C14" s="111">
        <f>C13/C17</f>
        <v>1658.8462839318206</v>
      </c>
      <c r="D14" s="112" t="s">
        <v>90</v>
      </c>
    </row>
    <row r="15" spans="2:13" ht="15" thickBot="1" x14ac:dyDescent="0.4"/>
    <row r="16" spans="2:13" x14ac:dyDescent="0.35">
      <c r="B16" s="40" t="s">
        <v>62</v>
      </c>
      <c r="C16" s="44">
        <f>'Structure dimensions'!C70</f>
        <v>22.2</v>
      </c>
    </row>
    <row r="17" spans="2:3" ht="15" thickBot="1" x14ac:dyDescent="0.4">
      <c r="B17" s="42" t="s">
        <v>63</v>
      </c>
      <c r="C17" s="43">
        <v>4</v>
      </c>
    </row>
    <row r="20" spans="2:3" x14ac:dyDescent="0.35">
      <c r="C20" s="292"/>
    </row>
    <row r="21" spans="2:3" x14ac:dyDescent="0.35">
      <c r="B21" s="636"/>
    </row>
  </sheetData>
  <mergeCells count="1">
    <mergeCell ref="B3:M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DFFCB-A37B-4A3F-B389-6BE4B306E758}">
  <sheetPr>
    <tabColor rgb="FF008768"/>
  </sheetPr>
  <dimension ref="B2:V50"/>
  <sheetViews>
    <sheetView showGridLines="0" tabSelected="1" topLeftCell="A3" zoomScale="40" zoomScaleNormal="40" workbookViewId="0">
      <selection activeCell="AG42" sqref="AG42"/>
    </sheetView>
  </sheetViews>
  <sheetFormatPr defaultColWidth="8.7265625" defaultRowHeight="14" x14ac:dyDescent="0.3"/>
  <cols>
    <col min="1" max="1" width="8.7265625" style="118"/>
    <col min="2" max="2" width="69.7265625" style="118" customWidth="1"/>
    <col min="3" max="3" width="22.453125" style="118" customWidth="1"/>
    <col min="4" max="4" width="18.1796875" style="118" customWidth="1"/>
    <col min="5" max="5" width="17.1796875" style="118" customWidth="1"/>
    <col min="6" max="6" width="17.54296875" style="118" customWidth="1"/>
    <col min="7" max="7" width="13.54296875" style="118" customWidth="1"/>
    <col min="8" max="8" width="15.54296875" style="118" customWidth="1"/>
    <col min="9" max="14" width="13.54296875" style="118" customWidth="1"/>
    <col min="15" max="15" width="17.1796875" style="118" customWidth="1"/>
    <col min="16" max="16" width="16.7265625" style="118" customWidth="1"/>
    <col min="17" max="17" width="13.54296875" style="118" customWidth="1"/>
    <col min="18" max="18" width="16.453125" style="118" customWidth="1"/>
    <col min="19" max="20" width="13.54296875" style="118" customWidth="1"/>
    <col min="21" max="21" width="16.54296875" style="118" customWidth="1"/>
    <col min="22" max="22" width="14.453125" style="118" customWidth="1"/>
    <col min="23" max="16384" width="8.7265625" style="118"/>
  </cols>
  <sheetData>
    <row r="2" spans="2:21" s="135" customFormat="1" ht="27" customHeight="1" x14ac:dyDescent="0.35">
      <c r="B2" s="267" t="s">
        <v>304</v>
      </c>
      <c r="C2" s="58"/>
      <c r="D2" s="58"/>
      <c r="E2" s="58"/>
      <c r="F2" s="134"/>
      <c r="G2" s="134"/>
    </row>
    <row r="3" spans="2:21" s="1" customFormat="1" ht="18" customHeight="1" x14ac:dyDescent="0.35">
      <c r="B3" s="737" t="s">
        <v>481</v>
      </c>
      <c r="C3" s="738"/>
      <c r="D3" s="738"/>
      <c r="E3" s="738"/>
      <c r="F3" s="738"/>
      <c r="G3" s="738"/>
      <c r="H3" s="738"/>
      <c r="I3" s="738"/>
      <c r="J3" s="738"/>
      <c r="K3" s="738"/>
      <c r="L3" s="738"/>
      <c r="M3" s="738"/>
      <c r="N3" s="738"/>
      <c r="O3" s="738"/>
      <c r="P3" s="738"/>
      <c r="Q3" s="738"/>
      <c r="R3" s="738"/>
      <c r="S3" s="738"/>
      <c r="T3" s="738"/>
      <c r="U3" s="738"/>
    </row>
    <row r="4" spans="2:21" s="1" customFormat="1" ht="18" customHeight="1" x14ac:dyDescent="0.35">
      <c r="B4" s="738"/>
      <c r="C4" s="738"/>
      <c r="D4" s="738"/>
      <c r="E4" s="738"/>
      <c r="F4" s="738"/>
      <c r="G4" s="738"/>
      <c r="H4" s="738"/>
      <c r="I4" s="738"/>
      <c r="J4" s="738"/>
      <c r="K4" s="738"/>
      <c r="L4" s="738"/>
      <c r="M4" s="738"/>
      <c r="N4" s="738"/>
      <c r="O4" s="738"/>
      <c r="P4" s="738"/>
      <c r="Q4" s="738"/>
      <c r="R4" s="738"/>
      <c r="S4" s="738"/>
      <c r="T4" s="738"/>
      <c r="U4" s="738"/>
    </row>
    <row r="5" spans="2:21" ht="38.25" customHeight="1" thickBot="1" x14ac:dyDescent="0.35">
      <c r="B5" s="251" t="s">
        <v>436</v>
      </c>
      <c r="C5" s="136"/>
      <c r="D5" s="136"/>
    </row>
    <row r="6" spans="2:21" ht="31" x14ac:dyDescent="0.3">
      <c r="B6" s="133" t="s">
        <v>319</v>
      </c>
      <c r="C6" s="142" t="s">
        <v>419</v>
      </c>
      <c r="D6" s="148" t="s">
        <v>83</v>
      </c>
    </row>
    <row r="7" spans="2:21" ht="17.149999999999999" customHeight="1" x14ac:dyDescent="0.3">
      <c r="B7" s="131" t="s">
        <v>146</v>
      </c>
      <c r="C7" s="48">
        <f>_xlfn.XLOOKUP(B7,'Task 2 - Asset lvl analysis'!G$14,'Task 2 - Asset lvl analysis'!G$65)</f>
        <v>828.71332510742513</v>
      </c>
      <c r="D7" s="559">
        <f>C7/$C$24</f>
        <v>9.4338302883931902E-3</v>
      </c>
    </row>
    <row r="8" spans="2:21" ht="17.149999999999999" customHeight="1" x14ac:dyDescent="0.3">
      <c r="B8" s="131" t="s">
        <v>147</v>
      </c>
      <c r="C8" s="48">
        <f>_xlfn.XLOOKUP(B8,'Task 2 - Asset lvl analysis'!H$14,'Task 2 - Asset lvl analysis'!H$65)</f>
        <v>5001.4551048926423</v>
      </c>
      <c r="D8" s="559">
        <f t="shared" ref="D8:D23" si="0">C8/$C$24</f>
        <v>5.6935103159417265E-2</v>
      </c>
    </row>
    <row r="9" spans="2:21" ht="17.149999999999999" customHeight="1" x14ac:dyDescent="0.3">
      <c r="B9" s="131" t="s">
        <v>148</v>
      </c>
      <c r="C9" s="48">
        <f>_xlfn.XLOOKUP(B9,'Task 2 - Asset lvl analysis'!I$14,'Task 2 - Asset lvl analysis'!I$65)</f>
        <v>6088.166825293124</v>
      </c>
      <c r="D9" s="559">
        <f t="shared" si="0"/>
        <v>6.930591177569842E-2</v>
      </c>
    </row>
    <row r="10" spans="2:21" ht="17.149999999999999" customHeight="1" x14ac:dyDescent="0.3">
      <c r="B10" s="131" t="s">
        <v>149</v>
      </c>
      <c r="C10" s="48">
        <f>_xlfn.XLOOKUP(B10,'Task 2 - Asset lvl analysis'!J$14,'Task 2 - Asset lvl analysis'!J$65)</f>
        <v>809.40624334127392</v>
      </c>
      <c r="D10" s="559">
        <f t="shared" si="0"/>
        <v>9.2140441123685791E-3</v>
      </c>
    </row>
    <row r="11" spans="2:21" ht="33" customHeight="1" x14ac:dyDescent="0.3">
      <c r="B11" s="131" t="s">
        <v>150</v>
      </c>
      <c r="C11" s="48">
        <f>_xlfn.XLOOKUP(B11,'Task 2 - Asset lvl analysis'!K$14,'Task 2 - Asset lvl analysis'!K$65)</f>
        <v>10304.867099999998</v>
      </c>
      <c r="D11" s="559">
        <f t="shared" si="0"/>
        <v>0.1173075953053424</v>
      </c>
    </row>
    <row r="12" spans="2:21" ht="17.149999999999999" customHeight="1" x14ac:dyDescent="0.3">
      <c r="B12" s="132" t="s">
        <v>151</v>
      </c>
      <c r="C12" s="48">
        <f>_xlfn.XLOOKUP(B12,'Task 2 - Asset lvl analysis'!L$14,'Task 2 - Asset lvl analysis'!L$65)</f>
        <v>8330.3282093626276</v>
      </c>
      <c r="D12" s="559">
        <f t="shared" si="0"/>
        <v>9.4830021664674247E-2</v>
      </c>
    </row>
    <row r="13" spans="2:21" ht="17.149999999999999" customHeight="1" x14ac:dyDescent="0.3">
      <c r="B13" s="131" t="s">
        <v>152</v>
      </c>
      <c r="C13" s="48">
        <f>_xlfn.XLOOKUP(B13,'Task 2 - Asset lvl analysis'!M$14,'Task 2 - Asset lvl analysis'!M$65)</f>
        <v>33.115502943083577</v>
      </c>
      <c r="D13" s="559">
        <f t="shared" si="0"/>
        <v>3.7697720697243384E-4</v>
      </c>
    </row>
    <row r="14" spans="2:21" ht="17.149999999999999" customHeight="1" x14ac:dyDescent="0.3">
      <c r="B14" s="131" t="s">
        <v>153</v>
      </c>
      <c r="C14" s="48">
        <f>_xlfn.XLOOKUP(B14,'Task 2 - Asset lvl analysis'!N$14,'Task 2 - Asset lvl analysis'!N$65)</f>
        <v>0</v>
      </c>
      <c r="D14" s="559">
        <f t="shared" si="0"/>
        <v>0</v>
      </c>
    </row>
    <row r="15" spans="2:21" ht="17.149999999999999" customHeight="1" x14ac:dyDescent="0.3">
      <c r="B15" s="131" t="s">
        <v>154</v>
      </c>
      <c r="C15" s="48">
        <f>_xlfn.XLOOKUP(B15,'Task 2 - Asset lvl analysis'!O$14,'Task 2 - Asset lvl analysis'!O$65)</f>
        <v>198.33859999999999</v>
      </c>
      <c r="D15" s="559">
        <f t="shared" si="0"/>
        <v>2.2578286547944113E-3</v>
      </c>
    </row>
    <row r="16" spans="2:21" ht="17.149999999999999" customHeight="1" x14ac:dyDescent="0.3">
      <c r="B16" s="131" t="s">
        <v>155</v>
      </c>
      <c r="C16" s="48">
        <f>_xlfn.XLOOKUP(B16,'Task 2 - Asset lvl analysis'!P$14,'Task 2 - Asset lvl analysis'!P$65)</f>
        <v>1790.1380305726027</v>
      </c>
      <c r="D16" s="559">
        <f t="shared" si="0"/>
        <v>2.0378408143770586E-2</v>
      </c>
    </row>
    <row r="17" spans="2:22" ht="17.149999999999999" customHeight="1" x14ac:dyDescent="0.3">
      <c r="B17" s="131" t="s">
        <v>156</v>
      </c>
      <c r="C17" s="48">
        <f>_xlfn.XLOOKUP(B17,'Task 2 - Asset lvl analysis'!Q$14,'Task 2 - Asset lvl analysis'!Q$65)</f>
        <v>612.99349999999993</v>
      </c>
      <c r="D17" s="559">
        <f t="shared" si="0"/>
        <v>6.9781388469149124E-3</v>
      </c>
    </row>
    <row r="18" spans="2:22" ht="17.149999999999999" customHeight="1" x14ac:dyDescent="0.3">
      <c r="B18" s="131" t="s">
        <v>157</v>
      </c>
      <c r="C18" s="48">
        <f>_xlfn.XLOOKUP(B18,'Task 2 - Asset lvl analysis'!R$14,'Task 2 - Asset lvl analysis'!R$65)</f>
        <v>52195.660369401579</v>
      </c>
      <c r="D18" s="559">
        <f t="shared" si="0"/>
        <v>0.5941801426346256</v>
      </c>
    </row>
    <row r="19" spans="2:22" ht="17.149999999999999" customHeight="1" x14ac:dyDescent="0.3">
      <c r="B19" s="131" t="s">
        <v>158</v>
      </c>
      <c r="C19" s="48">
        <f>_xlfn.XLOOKUP(B19,'Task 2 - Asset lvl analysis'!S$14,'Task 2 - Asset lvl analysis'!S$65)</f>
        <v>1049.2394999999999</v>
      </c>
      <c r="D19" s="559">
        <f t="shared" si="0"/>
        <v>1.1944235811093558E-2</v>
      </c>
    </row>
    <row r="20" spans="2:22" ht="17.149999999999999" customHeight="1" x14ac:dyDescent="0.3">
      <c r="B20" s="131" t="s">
        <v>159</v>
      </c>
      <c r="C20" s="48">
        <f>_xlfn.XLOOKUP(B20,'Task 2 - Asset lvl analysis'!T$14,'Task 2 - Asset lvl analysis'!T$65)</f>
        <v>541.08534915912014</v>
      </c>
      <c r="D20" s="559">
        <f t="shared" si="0"/>
        <v>6.1595574740413656E-3</v>
      </c>
    </row>
    <row r="21" spans="2:22" ht="17.149999999999999" customHeight="1" x14ac:dyDescent="0.3">
      <c r="B21" s="131" t="s">
        <v>160</v>
      </c>
      <c r="C21" s="48">
        <f>_xlfn.XLOOKUP(B21,'Task 2 - Asset lvl analysis'!U$14,'Task 2 - Asset lvl analysis'!U$65)</f>
        <v>0</v>
      </c>
      <c r="D21" s="559">
        <f t="shared" si="0"/>
        <v>0</v>
      </c>
    </row>
    <row r="22" spans="2:22" ht="17.149999999999999" customHeight="1" x14ac:dyDescent="0.3">
      <c r="B22" s="131" t="s">
        <v>161</v>
      </c>
      <c r="C22" s="48">
        <f>_xlfn.XLOOKUP(B22,'Task 2 - Asset lvl analysis'!V$14,'Task 2 - Asset lvl analysis'!V$65)</f>
        <v>61.333700600941462</v>
      </c>
      <c r="D22" s="559">
        <f t="shared" si="0"/>
        <v>6.9820492189310028E-4</v>
      </c>
    </row>
    <row r="23" spans="2:22" ht="17.149999999999999" customHeight="1" x14ac:dyDescent="0.3">
      <c r="B23" s="131" t="s">
        <v>162</v>
      </c>
      <c r="C23" s="48">
        <f>_xlfn.XLOOKUP(B23,'Task 2 - Asset lvl analysis'!W$14,'Task 2 - Asset lvl analysis'!W$65)</f>
        <v>0</v>
      </c>
      <c r="D23" s="559">
        <f t="shared" si="0"/>
        <v>0</v>
      </c>
    </row>
    <row r="24" spans="2:22" ht="17.149999999999999" customHeight="1" thickBot="1" x14ac:dyDescent="0.35">
      <c r="B24" s="137" t="s">
        <v>5</v>
      </c>
      <c r="C24" s="138">
        <f>SUM(C7:C23)</f>
        <v>87844.841360674414</v>
      </c>
      <c r="D24" s="629">
        <f>SUM(D7:D23)</f>
        <v>1.0000000000000002</v>
      </c>
      <c r="Q24" s="560"/>
    </row>
    <row r="27" spans="2:22" ht="29" thickBot="1" x14ac:dyDescent="0.35">
      <c r="B27" s="251" t="s">
        <v>435</v>
      </c>
    </row>
    <row r="28" spans="2:22" ht="62" x14ac:dyDescent="0.3">
      <c r="B28" s="133" t="s">
        <v>714</v>
      </c>
      <c r="C28" s="139" t="s">
        <v>738</v>
      </c>
      <c r="D28" s="142" t="s">
        <v>305</v>
      </c>
      <c r="E28" s="142" t="s">
        <v>306</v>
      </c>
      <c r="F28" s="142" t="s">
        <v>307</v>
      </c>
      <c r="G28" s="142" t="s">
        <v>308</v>
      </c>
      <c r="H28" s="142" t="s">
        <v>316</v>
      </c>
      <c r="I28" s="143" t="s">
        <v>317</v>
      </c>
      <c r="J28" s="142" t="s">
        <v>318</v>
      </c>
      <c r="K28" s="142" t="s">
        <v>309</v>
      </c>
      <c r="L28" s="142" t="s">
        <v>310</v>
      </c>
      <c r="M28" s="142" t="s">
        <v>311</v>
      </c>
      <c r="N28" s="142" t="s">
        <v>312</v>
      </c>
      <c r="O28" s="142" t="s">
        <v>313</v>
      </c>
      <c r="P28" s="142" t="s">
        <v>314</v>
      </c>
      <c r="Q28" s="142" t="s">
        <v>315</v>
      </c>
      <c r="R28" s="142" t="s">
        <v>160</v>
      </c>
      <c r="S28" s="142" t="s">
        <v>161</v>
      </c>
      <c r="T28" s="142" t="s">
        <v>162</v>
      </c>
      <c r="U28" s="75" t="s">
        <v>418</v>
      </c>
      <c r="V28" s="62" t="s">
        <v>437</v>
      </c>
    </row>
    <row r="29" spans="2:22" x14ac:dyDescent="0.3">
      <c r="B29" s="131" t="s">
        <v>11</v>
      </c>
      <c r="C29" s="130" t="s">
        <v>12</v>
      </c>
      <c r="D29" s="561">
        <f>SUMIF('Task 2 - Asset lvl analysis'!$E$15:$E$64,C29,'Task 2 - Asset lvl analysis'!$G$15:$G$64)</f>
        <v>0</v>
      </c>
      <c r="E29" s="561">
        <f>SUMIF('Task 2 - Asset lvl analysis'!$E$15:$E$64,C29,'Task 2 - Asset lvl analysis'!$H$15:$H$64)</f>
        <v>9.4125999999999994</v>
      </c>
      <c r="F29" s="561">
        <f>SUMIF('Task 2 - Asset lvl analysis'!$E$15:$E$64,C29,'Task 2 - Asset lvl analysis'!$I$15:$I$64)</f>
        <v>21.250499999999999</v>
      </c>
      <c r="G29" s="561">
        <f>SUMIF('Task 2 - Asset lvl analysis'!$E$15:$E$64,C29,'Task 2 - Asset lvl analysis'!$J$15:$J$64)</f>
        <v>2.0343</v>
      </c>
      <c r="H29" s="561">
        <f>SUMIF('Task 2 - Asset lvl analysis'!$E$15:$E$64,C29,'Task 2 - Asset lvl analysis'!$K$15:$K$64)</f>
        <v>0</v>
      </c>
      <c r="I29" s="561">
        <f>SUMIF('Task 2 - Asset lvl analysis'!$E$15:$E$64,C29,'Task 2 - Asset lvl analysis'!$L$15:$L$64)</f>
        <v>0.2298</v>
      </c>
      <c r="J29" s="561">
        <f>SUMIF('Task 2 - Asset lvl analysis'!$E$15:$E$64,C29,'Task 2 - Asset lvl analysis'!$M$15:$M$64)</f>
        <v>0.79039999999999999</v>
      </c>
      <c r="K29" s="561">
        <f>SUMIF('Task 2 - Asset lvl analysis'!$E$15:$E$64,C29,'Task 2 - Asset lvl analysis'!$N$15:$N$64)</f>
        <v>0</v>
      </c>
      <c r="L29" s="561">
        <f>SUMIF('Task 2 - Asset lvl analysis'!$E$15:$E$64,C29,'Task 2 - Asset lvl analysis'!$O$15:$O$64)</f>
        <v>0</v>
      </c>
      <c r="M29" s="561">
        <f>SUMIF('Task 2 - Asset lvl analysis'!$E$15:$E$64,C29,'Task 2 - Asset lvl analysis'!$P$15:$P$64)</f>
        <v>3.3687</v>
      </c>
      <c r="N29" s="561">
        <f>SUMIF('Task 2 - Asset lvl analysis'!$E$15:$E$64,C29,'Task 2 - Asset lvl analysis'!$Q$15:$Q$64)</f>
        <v>0</v>
      </c>
      <c r="O29" s="561">
        <f>SUMIF('Task 2 - Asset lvl analysis'!$E$15:$E$64,C29,'Task 2 - Asset lvl analysis'!$R$15:$R$64)</f>
        <v>432.5351</v>
      </c>
      <c r="P29" s="561">
        <f>SUMIF('Task 2 - Asset lvl analysis'!$E$15:$E$64,C29,'Task 2 - Asset lvl analysis'!$S$15:$S$64)</f>
        <v>0</v>
      </c>
      <c r="Q29" s="561">
        <f>SUMIF('Task 2 - Asset lvl analysis'!$E$15:$E$64,C29,'Task 2 - Asset lvl analysis'!$T$15:$T$64)</f>
        <v>0</v>
      </c>
      <c r="R29" s="561">
        <f>SUMIF('Task 2 - Asset lvl analysis'!$E$15:$E$64,C29,'Task 2 - Asset lvl analysis'!$U$15:$U$64)</f>
        <v>0</v>
      </c>
      <c r="S29" s="561">
        <f>SUMIF('Task 2 - Asset lvl analysis'!$E$15:$E$64,C29,'Task 2 - Asset lvl analysis'!$V$15:$V$64)</f>
        <v>1.3111999999999999</v>
      </c>
      <c r="T29" s="561">
        <f>SUMIF('Task 2 - Asset lvl analysis'!$E$15:$E$64,C29,'Task 2 - Asset lvl analysis'!$W$15:$W$64)</f>
        <v>0</v>
      </c>
      <c r="U29" s="561">
        <f>SUM(D29:T29)</f>
        <v>470.93259999999998</v>
      </c>
      <c r="V29" s="623">
        <f>U29/$U$42</f>
        <v>5.3609590808689515E-3</v>
      </c>
    </row>
    <row r="30" spans="2:22" x14ac:dyDescent="0.3">
      <c r="B30" s="131" t="s">
        <v>13</v>
      </c>
      <c r="C30" s="130" t="s">
        <v>14</v>
      </c>
      <c r="D30" s="561">
        <f>SUMIF('Task 2 - Asset lvl analysis'!$E$15:$E$64,C30,'Task 2 - Asset lvl analysis'!$G$15:$G$64)</f>
        <v>5.0973251074251245</v>
      </c>
      <c r="E30" s="561">
        <f>SUMIF('Task 2 - Asset lvl analysis'!$E$15:$E$64,C30,'Task 2 - Asset lvl analysis'!$H$15:$H$64)</f>
        <v>0</v>
      </c>
      <c r="F30" s="561">
        <f>SUMIF('Task 2 - Asset lvl analysis'!$E$15:$E$64,C30,'Task 2 - Asset lvl analysis'!$I$15:$I$64)</f>
        <v>111.66464393840795</v>
      </c>
      <c r="G30" s="561">
        <f>SUMIF('Task 2 - Asset lvl analysis'!$E$15:$E$64,C30,'Task 2 - Asset lvl analysis'!$J$15:$J$64)</f>
        <v>155.43728028279094</v>
      </c>
      <c r="H30" s="561">
        <f>SUMIF('Task 2 - Asset lvl analysis'!$E$15:$E$64,C30,'Task 2 - Asset lvl analysis'!$K$15:$K$64)</f>
        <v>0</v>
      </c>
      <c r="I30" s="561">
        <f>SUMIF('Task 2 - Asset lvl analysis'!$E$15:$E$64,C30,'Task 2 - Asset lvl analysis'!$L$15:$L$64)</f>
        <v>2.2966777819174751</v>
      </c>
      <c r="J30" s="561">
        <f>SUMIF('Task 2 - Asset lvl analysis'!$E$15:$E$64,C30,'Task 2 - Asset lvl analysis'!$M$15:$M$64)</f>
        <v>5.5730599797320464</v>
      </c>
      <c r="K30" s="561">
        <f>SUMIF('Task 2 - Asset lvl analysis'!$E$15:$E$64,C30,'Task 2 - Asset lvl analysis'!$N$15:$N$64)</f>
        <v>0</v>
      </c>
      <c r="L30" s="561">
        <f>SUMIF('Task 2 - Asset lvl analysis'!$E$15:$E$64,C30,'Task 2 - Asset lvl analysis'!$O$15:$O$64)</f>
        <v>0</v>
      </c>
      <c r="M30" s="561">
        <f>SUMIF('Task 2 - Asset lvl analysis'!$E$15:$E$64,C30,'Task 2 - Asset lvl analysis'!$P$15:$P$64)</f>
        <v>0</v>
      </c>
      <c r="N30" s="561">
        <f>SUMIF('Task 2 - Asset lvl analysis'!$E$15:$E$64,C30,'Task 2 - Asset lvl analysis'!$Q$15:$Q$64)</f>
        <v>0</v>
      </c>
      <c r="O30" s="561">
        <f>SUMIF('Task 2 - Asset lvl analysis'!$E$15:$E$64,C30,'Task 2 - Asset lvl analysis'!$R$15:$R$64)</f>
        <v>2801.5082895936307</v>
      </c>
      <c r="P30" s="561">
        <f>SUMIF('Task 2 - Asset lvl analysis'!$E$15:$E$64,C30,'Task 2 - Asset lvl analysis'!$S$15:$S$64)</f>
        <v>0</v>
      </c>
      <c r="Q30" s="561">
        <f>SUMIF('Task 2 - Asset lvl analysis'!$E$15:$E$64,C30,'Task 2 - Asset lvl analysis'!$T$15:$T$64)</f>
        <v>0</v>
      </c>
      <c r="R30" s="561">
        <f>SUMIF('Task 2 - Asset lvl analysis'!$E$15:$E$64,C30,'Task 2 - Asset lvl analysis'!$U$15:$U$64)</f>
        <v>0</v>
      </c>
      <c r="S30" s="561">
        <f>SUMIF('Task 2 - Asset lvl analysis'!$E$15:$E$64,C30,'Task 2 - Asset lvl analysis'!$V$15:$V$64)</f>
        <v>19.621936212906245</v>
      </c>
      <c r="T30" s="561">
        <f>SUMIF('Task 2 - Asset lvl analysis'!$E$15:$E$64,C30,'Task 2 - Asset lvl analysis'!$W$15:$W$64)</f>
        <v>0</v>
      </c>
      <c r="U30" s="561">
        <f t="shared" ref="U30:U40" si="1">SUM(D30:T30)</f>
        <v>3101.1992128968104</v>
      </c>
      <c r="V30" s="623">
        <f t="shared" ref="V30:V40" si="2">U30/$U$42</f>
        <v>3.5303145464898378E-2</v>
      </c>
    </row>
    <row r="31" spans="2:22" x14ac:dyDescent="0.3">
      <c r="B31" s="131" t="s">
        <v>15</v>
      </c>
      <c r="C31" s="130" t="s">
        <v>16</v>
      </c>
      <c r="D31" s="561">
        <f>SUMIF('Task 2 - Asset lvl analysis'!$E$15:$E$64,C31,'Task 2 - Asset lvl analysis'!$G$15:$G$64)</f>
        <v>0</v>
      </c>
      <c r="E31" s="561">
        <f>SUMIF('Task 2 - Asset lvl analysis'!$E$15:$E$64,C31,'Task 2 - Asset lvl analysis'!$H$15:$H$64)</f>
        <v>6.5826999999999991</v>
      </c>
      <c r="F31" s="561">
        <f>SUMIF('Task 2 - Asset lvl analysis'!$E$15:$E$64,C31,'Task 2 - Asset lvl analysis'!$I$15:$I$64)</f>
        <v>46.147199999999998</v>
      </c>
      <c r="G31" s="561">
        <f>SUMIF('Task 2 - Asset lvl analysis'!$E$15:$E$64,C31,'Task 2 - Asset lvl analysis'!$J$15:$J$64)</f>
        <v>32.816900000000004</v>
      </c>
      <c r="H31" s="561">
        <f>SUMIF('Task 2 - Asset lvl analysis'!$E$15:$E$64,C31,'Task 2 - Asset lvl analysis'!$K$15:$K$64)</f>
        <v>0</v>
      </c>
      <c r="I31" s="561">
        <f>SUMIF('Task 2 - Asset lvl analysis'!$E$15:$E$64,C31,'Task 2 - Asset lvl analysis'!$L$15:$L$64)</f>
        <v>0.51619999999999999</v>
      </c>
      <c r="J31" s="561">
        <f>SUMIF('Task 2 - Asset lvl analysis'!$E$15:$E$64,C31,'Task 2 - Asset lvl analysis'!$M$15:$M$64)</f>
        <v>1.6507000000000001</v>
      </c>
      <c r="K31" s="561">
        <f>SUMIF('Task 2 - Asset lvl analysis'!$E$15:$E$64,C31,'Task 2 - Asset lvl analysis'!$N$15:$N$64)</f>
        <v>0</v>
      </c>
      <c r="L31" s="561">
        <f>SUMIF('Task 2 - Asset lvl analysis'!$E$15:$E$64,C31,'Task 2 - Asset lvl analysis'!$O$15:$O$64)</f>
        <v>0</v>
      </c>
      <c r="M31" s="561">
        <f>SUMIF('Task 2 - Asset lvl analysis'!$E$15:$E$64,C31,'Task 2 - Asset lvl analysis'!$P$15:$P$64)</f>
        <v>11.297599999999999</v>
      </c>
      <c r="N31" s="561">
        <f>SUMIF('Task 2 - Asset lvl analysis'!$E$15:$E$64,C31,'Task 2 - Asset lvl analysis'!$Q$15:$Q$64)</f>
        <v>0</v>
      </c>
      <c r="O31" s="561">
        <f>SUMIF('Task 2 - Asset lvl analysis'!$E$15:$E$64,C31,'Task 2 - Asset lvl analysis'!$R$15:$R$64)</f>
        <v>1652.2668000000001</v>
      </c>
      <c r="P31" s="561">
        <f>SUMIF('Task 2 - Asset lvl analysis'!$E$15:$E$64,C31,'Task 2 - Asset lvl analysis'!$S$15:$S$64)</f>
        <v>0</v>
      </c>
      <c r="Q31" s="561">
        <f>SUMIF('Task 2 - Asset lvl analysis'!$E$15:$E$64,C31,'Task 2 - Asset lvl analysis'!$T$15:$T$64)</f>
        <v>0</v>
      </c>
      <c r="R31" s="561">
        <f>SUMIF('Task 2 - Asset lvl analysis'!$E$15:$E$64,C31,'Task 2 - Asset lvl analysis'!$U$15:$U$64)</f>
        <v>0</v>
      </c>
      <c r="S31" s="561">
        <f>SUMIF('Task 2 - Asset lvl analysis'!$E$15:$E$64,C31,'Task 2 - Asset lvl analysis'!$V$15:$V$64)</f>
        <v>2.8376000000000001</v>
      </c>
      <c r="T31" s="561">
        <f>SUMIF('Task 2 - Asset lvl analysis'!$E$15:$E$64,C31,'Task 2 - Asset lvl analysis'!$W$15:$W$64)</f>
        <v>0</v>
      </c>
      <c r="U31" s="561">
        <f t="shared" si="1"/>
        <v>1754.1157000000001</v>
      </c>
      <c r="V31" s="623">
        <f t="shared" si="2"/>
        <v>1.9968340460630243E-2</v>
      </c>
    </row>
    <row r="32" spans="2:22" x14ac:dyDescent="0.3">
      <c r="B32" s="131" t="s">
        <v>17</v>
      </c>
      <c r="C32" s="130" t="s">
        <v>18</v>
      </c>
      <c r="D32" s="561">
        <f>SUMIF('Task 2 - Asset lvl analysis'!$E$15:$E$64,C32,'Task 2 - Asset lvl analysis'!$G$15:$G$64)</f>
        <v>0</v>
      </c>
      <c r="E32" s="561">
        <f>SUMIF('Task 2 - Asset lvl analysis'!$E$15:$E$64,C32,'Task 2 - Asset lvl analysis'!$H$15:$H$64)</f>
        <v>6.1520000000000001</v>
      </c>
      <c r="F32" s="561">
        <f>SUMIF('Task 2 - Asset lvl analysis'!$E$15:$E$64,C32,'Task 2 - Asset lvl analysis'!$I$15:$I$64)</f>
        <v>36.487099999999998</v>
      </c>
      <c r="G32" s="561">
        <f>SUMIF('Task 2 - Asset lvl analysis'!$E$15:$E$64,C32,'Task 2 - Asset lvl analysis'!$J$15:$J$64)</f>
        <v>35.965199999999996</v>
      </c>
      <c r="H32" s="561">
        <f>SUMIF('Task 2 - Asset lvl analysis'!$E$15:$E$64,C32,'Task 2 - Asset lvl analysis'!$K$15:$K$64)</f>
        <v>0</v>
      </c>
      <c r="I32" s="561">
        <f>SUMIF('Task 2 - Asset lvl analysis'!$E$15:$E$64,C32,'Task 2 - Asset lvl analysis'!$L$15:$L$64)</f>
        <v>0.48540000000000005</v>
      </c>
      <c r="J32" s="561">
        <f>SUMIF('Task 2 - Asset lvl analysis'!$E$15:$E$64,C32,'Task 2 - Asset lvl analysis'!$M$15:$M$64)</f>
        <v>1.1621000000000001</v>
      </c>
      <c r="K32" s="561">
        <f>SUMIF('Task 2 - Asset lvl analysis'!$E$15:$E$64,C32,'Task 2 - Asset lvl analysis'!$N$15:$N$64)</f>
        <v>0</v>
      </c>
      <c r="L32" s="561">
        <f>SUMIF('Task 2 - Asset lvl analysis'!$E$15:$E$64,C32,'Task 2 - Asset lvl analysis'!$O$15:$O$64)</f>
        <v>0</v>
      </c>
      <c r="M32" s="561">
        <f>SUMIF('Task 2 - Asset lvl analysis'!$E$15:$E$64,C32,'Task 2 - Asset lvl analysis'!$P$15:$P$64)</f>
        <v>13.7834</v>
      </c>
      <c r="N32" s="561">
        <f>SUMIF('Task 2 - Asset lvl analysis'!$E$15:$E$64,C32,'Task 2 - Asset lvl analysis'!$Q$15:$Q$64)</f>
        <v>0</v>
      </c>
      <c r="O32" s="561">
        <f>SUMIF('Task 2 - Asset lvl analysis'!$E$15:$E$64,C32,'Task 2 - Asset lvl analysis'!$R$15:$R$64)</f>
        <v>2064.1570000000002</v>
      </c>
      <c r="P32" s="561">
        <f>SUMIF('Task 2 - Asset lvl analysis'!$E$15:$E$64,C32,'Task 2 - Asset lvl analysis'!$S$15:$S$64)</f>
        <v>0</v>
      </c>
      <c r="Q32" s="561">
        <f>SUMIF('Task 2 - Asset lvl analysis'!$E$15:$E$64,C32,'Task 2 - Asset lvl analysis'!$T$15:$T$64)</f>
        <v>0</v>
      </c>
      <c r="R32" s="561">
        <f>SUMIF('Task 2 - Asset lvl analysis'!$E$15:$E$64,C32,'Task 2 - Asset lvl analysis'!$U$15:$U$64)</f>
        <v>0</v>
      </c>
      <c r="S32" s="561">
        <f>SUMIF('Task 2 - Asset lvl analysis'!$E$15:$E$64,C32,'Task 2 - Asset lvl analysis'!$V$15:$V$64)</f>
        <v>1.6741000000000001</v>
      </c>
      <c r="T32" s="561">
        <f>SUMIF('Task 2 - Asset lvl analysis'!$E$15:$E$64,C32,'Task 2 - Asset lvl analysis'!$W$15:$W$64)</f>
        <v>0</v>
      </c>
      <c r="U32" s="561">
        <f t="shared" si="1"/>
        <v>2159.8663000000001</v>
      </c>
      <c r="V32" s="623">
        <f t="shared" si="2"/>
        <v>2.4587286703973827E-2</v>
      </c>
    </row>
    <row r="33" spans="2:22" x14ac:dyDescent="0.3">
      <c r="B33" s="131" t="s">
        <v>19</v>
      </c>
      <c r="C33" s="130" t="s">
        <v>20</v>
      </c>
      <c r="D33" s="561">
        <f>SUMIF('Task 2 - Asset lvl analysis'!$E$15:$E$64,C33,'Task 2 - Asset lvl analysis'!$G$15:$G$64)</f>
        <v>0</v>
      </c>
      <c r="E33" s="561">
        <f>SUMIF('Task 2 - Asset lvl analysis'!$E$15:$E$64,C33,'Task 2 - Asset lvl analysis'!$H$15:$H$64)</f>
        <v>15.307375914634147</v>
      </c>
      <c r="F33" s="561">
        <f>SUMIF('Task 2 - Asset lvl analysis'!$E$15:$E$64,C33,'Task 2 - Asset lvl analysis'!$I$15:$I$64)</f>
        <v>69.372189634146338</v>
      </c>
      <c r="G33" s="561">
        <f>SUMIF('Task 2 - Asset lvl analysis'!$E$15:$E$64,C33,'Task 2 - Asset lvl analysis'!$J$15:$J$64)</f>
        <v>69.182440548780491</v>
      </c>
      <c r="H33" s="561">
        <f>SUMIF('Task 2 - Asset lvl analysis'!$E$15:$E$64,C33,'Task 2 - Asset lvl analysis'!$K$15:$K$64)</f>
        <v>0</v>
      </c>
      <c r="I33" s="561">
        <f>SUMIF('Task 2 - Asset lvl analysis'!$E$15:$E$64,C33,'Task 2 - Asset lvl analysis'!$L$15:$L$64)</f>
        <v>0.69536676829268296</v>
      </c>
      <c r="J33" s="561">
        <f>SUMIF('Task 2 - Asset lvl analysis'!$E$15:$E$64,C33,'Task 2 - Asset lvl analysis'!$M$15:$M$64)</f>
        <v>2.9738753048780486</v>
      </c>
      <c r="K33" s="561">
        <f>SUMIF('Task 2 - Asset lvl analysis'!$E$15:$E$64,C33,'Task 2 - Asset lvl analysis'!$N$15:$N$64)</f>
        <v>0</v>
      </c>
      <c r="L33" s="561">
        <f>SUMIF('Task 2 - Asset lvl analysis'!$E$15:$E$64,C33,'Task 2 - Asset lvl analysis'!$O$15:$O$64)</f>
        <v>0</v>
      </c>
      <c r="M33" s="561">
        <f>SUMIF('Task 2 - Asset lvl analysis'!$E$15:$E$64,C33,'Task 2 - Asset lvl analysis'!$P$15:$P$64)</f>
        <v>13.233621646341465</v>
      </c>
      <c r="N33" s="561">
        <f>SUMIF('Task 2 - Asset lvl analysis'!$E$15:$E$64,C33,'Task 2 - Asset lvl analysis'!$Q$15:$Q$64)</f>
        <v>0</v>
      </c>
      <c r="O33" s="561">
        <f>SUMIF('Task 2 - Asset lvl analysis'!$E$15:$E$64,C33,'Task 2 - Asset lvl analysis'!$R$15:$R$64)</f>
        <v>9008.1068618902445</v>
      </c>
      <c r="P33" s="561">
        <f>SUMIF('Task 2 - Asset lvl analysis'!$E$15:$E$64,C33,'Task 2 - Asset lvl analysis'!$S$15:$S$64)</f>
        <v>0</v>
      </c>
      <c r="Q33" s="561">
        <f>SUMIF('Task 2 - Asset lvl analysis'!$E$15:$E$64,C33,'Task 2 - Asset lvl analysis'!$T$15:$T$64)</f>
        <v>0</v>
      </c>
      <c r="R33" s="561">
        <f>SUMIF('Task 2 - Asset lvl analysis'!$E$15:$E$64,C33,'Task 2 - Asset lvl analysis'!$U$15:$U$64)</f>
        <v>0</v>
      </c>
      <c r="S33" s="561">
        <f>SUMIF('Task 2 - Asset lvl analysis'!$E$15:$E$64,C33,'Task 2 - Asset lvl analysis'!$V$15:$V$64)</f>
        <v>4.3723963414634142</v>
      </c>
      <c r="T33" s="561">
        <f>SUMIF('Task 2 - Asset lvl analysis'!$E$15:$E$64,C33,'Task 2 - Asset lvl analysis'!$W$15:$W$64)</f>
        <v>0</v>
      </c>
      <c r="U33" s="561">
        <f t="shared" si="1"/>
        <v>9183.2441280487801</v>
      </c>
      <c r="V33" s="623">
        <f t="shared" si="2"/>
        <v>0.10453936720477534</v>
      </c>
    </row>
    <row r="34" spans="2:22" x14ac:dyDescent="0.3">
      <c r="B34" s="131" t="s">
        <v>21</v>
      </c>
      <c r="C34" s="130" t="s">
        <v>22</v>
      </c>
      <c r="D34" s="561">
        <f>SUMIF('Task 2 - Asset lvl analysis'!$E$15:$E$64,C34,'Task 2 - Asset lvl analysis'!$G$15:$G$64)</f>
        <v>0</v>
      </c>
      <c r="E34" s="561">
        <f>SUMIF('Task 2 - Asset lvl analysis'!$E$15:$E$64,C34,'Task 2 - Asset lvl analysis'!$H$15:$H$64)</f>
        <v>32.113700000000001</v>
      </c>
      <c r="F34" s="561">
        <f>SUMIF('Task 2 - Asset lvl analysis'!$E$15:$E$64,C34,'Task 2 - Asset lvl analysis'!$I$15:$I$64)</f>
        <v>89.783600000000007</v>
      </c>
      <c r="G34" s="561">
        <f>SUMIF('Task 2 - Asset lvl analysis'!$E$15:$E$64,C34,'Task 2 - Asset lvl analysis'!$J$15:$J$64)</f>
        <v>16.309800000000003</v>
      </c>
      <c r="H34" s="561">
        <f>SUMIF('Task 2 - Asset lvl analysis'!$E$15:$E$64,C34,'Task 2 - Asset lvl analysis'!$K$15:$K$64)</f>
        <v>0</v>
      </c>
      <c r="I34" s="561">
        <f>SUMIF('Task 2 - Asset lvl analysis'!$E$15:$E$64,C34,'Task 2 - Asset lvl analysis'!$L$15:$L$64)</f>
        <v>1.2986</v>
      </c>
      <c r="J34" s="561">
        <f>SUMIF('Task 2 - Asset lvl analysis'!$E$15:$E$64,C34,'Task 2 - Asset lvl analysis'!$M$15:$M$64)</f>
        <v>2.4760999999999997</v>
      </c>
      <c r="K34" s="561">
        <f>SUMIF('Task 2 - Asset lvl analysis'!$E$15:$E$64,C34,'Task 2 - Asset lvl analysis'!$N$15:$N$64)</f>
        <v>0</v>
      </c>
      <c r="L34" s="561">
        <f>SUMIF('Task 2 - Asset lvl analysis'!$E$15:$E$64,C34,'Task 2 - Asset lvl analysis'!$O$15:$O$64)</f>
        <v>0</v>
      </c>
      <c r="M34" s="561">
        <f>SUMIF('Task 2 - Asset lvl analysis'!$E$15:$E$64,C34,'Task 2 - Asset lvl analysis'!$P$15:$P$64)</f>
        <v>19.072299999999998</v>
      </c>
      <c r="N34" s="561">
        <f>SUMIF('Task 2 - Asset lvl analysis'!$E$15:$E$64,C34,'Task 2 - Asset lvl analysis'!$Q$15:$Q$64)</f>
        <v>0</v>
      </c>
      <c r="O34" s="561">
        <f>SUMIF('Task 2 - Asset lvl analysis'!$E$15:$E$64,C34,'Task 2 - Asset lvl analysis'!$R$15:$R$64)</f>
        <v>5127.0581000000002</v>
      </c>
      <c r="P34" s="561">
        <f>SUMIF('Task 2 - Asset lvl analysis'!$E$15:$E$64,C34,'Task 2 - Asset lvl analysis'!$S$15:$S$64)</f>
        <v>0</v>
      </c>
      <c r="Q34" s="561">
        <f>SUMIF('Task 2 - Asset lvl analysis'!$E$15:$E$64,C34,'Task 2 - Asset lvl analysis'!$T$15:$T$64)</f>
        <v>0</v>
      </c>
      <c r="R34" s="561">
        <f>SUMIF('Task 2 - Asset lvl analysis'!$E$15:$E$64,C34,'Task 2 - Asset lvl analysis'!$U$15:$U$64)</f>
        <v>0</v>
      </c>
      <c r="S34" s="561">
        <f>SUMIF('Task 2 - Asset lvl analysis'!$E$15:$E$64,C34,'Task 2 - Asset lvl analysis'!$V$15:$V$64)</f>
        <v>6.0743999999999998</v>
      </c>
      <c r="T34" s="561">
        <f>SUMIF('Task 2 - Asset lvl analysis'!$E$15:$E$64,C34,'Task 2 - Asset lvl analysis'!$W$15:$W$64)</f>
        <v>0</v>
      </c>
      <c r="U34" s="561">
        <f t="shared" si="1"/>
        <v>5294.1866000000009</v>
      </c>
      <c r="V34" s="623">
        <f t="shared" si="2"/>
        <v>6.0267472944291238E-2</v>
      </c>
    </row>
    <row r="35" spans="2:22" x14ac:dyDescent="0.3">
      <c r="B35" s="131" t="s">
        <v>23</v>
      </c>
      <c r="C35" s="130" t="s">
        <v>24</v>
      </c>
      <c r="D35" s="561">
        <f>SUMIF('Task 2 - Asset lvl analysis'!$E$15:$E$64,C35,'Task 2 - Asset lvl analysis'!$G$15:$G$64)</f>
        <v>0.68530000000000002</v>
      </c>
      <c r="E35" s="561">
        <f>SUMIF('Task 2 - Asset lvl analysis'!$E$15:$E$64,C35,'Task 2 - Asset lvl analysis'!$H$15:$H$64)</f>
        <v>0</v>
      </c>
      <c r="F35" s="561">
        <f>SUMIF('Task 2 - Asset lvl analysis'!$E$15:$E$64,C35,'Task 2 - Asset lvl analysis'!$I$15:$I$64)</f>
        <v>25.022599999999997</v>
      </c>
      <c r="G35" s="561">
        <f>SUMIF('Task 2 - Asset lvl analysis'!$E$15:$E$64,C35,'Task 2 - Asset lvl analysis'!$J$15:$J$64)</f>
        <v>10.5387</v>
      </c>
      <c r="H35" s="561">
        <f>SUMIF('Task 2 - Asset lvl analysis'!$E$15:$E$64,C35,'Task 2 - Asset lvl analysis'!$K$15:$K$64)</f>
        <v>0</v>
      </c>
      <c r="I35" s="561">
        <f>SUMIF('Task 2 - Asset lvl analysis'!$E$15:$E$64,C35,'Task 2 - Asset lvl analysis'!$L$15:$L$64)</f>
        <v>0.1832</v>
      </c>
      <c r="J35" s="561">
        <f>SUMIF('Task 2 - Asset lvl analysis'!$E$15:$E$64,C35,'Task 2 - Asset lvl analysis'!$M$15:$M$64)</f>
        <v>0.49349999999999999</v>
      </c>
      <c r="K35" s="561">
        <f>SUMIF('Task 2 - Asset lvl analysis'!$E$15:$E$64,C35,'Task 2 - Asset lvl analysis'!$N$15:$N$64)</f>
        <v>0</v>
      </c>
      <c r="L35" s="561">
        <f>SUMIF('Task 2 - Asset lvl analysis'!$E$15:$E$64,C35,'Task 2 - Asset lvl analysis'!$O$15:$O$64)</f>
        <v>0</v>
      </c>
      <c r="M35" s="561">
        <f>SUMIF('Task 2 - Asset lvl analysis'!$E$15:$E$64,C35,'Task 2 - Asset lvl analysis'!$P$15:$P$64)</f>
        <v>0</v>
      </c>
      <c r="N35" s="561">
        <f>SUMIF('Task 2 - Asset lvl analysis'!$E$15:$E$64,C35,'Task 2 - Asset lvl analysis'!$Q$15:$Q$64)</f>
        <v>0</v>
      </c>
      <c r="O35" s="561">
        <f>SUMIF('Task 2 - Asset lvl analysis'!$E$15:$E$64,C35,'Task 2 - Asset lvl analysis'!$R$15:$R$64)</f>
        <v>327.77750000000003</v>
      </c>
      <c r="P35" s="561">
        <f>SUMIF('Task 2 - Asset lvl analysis'!$E$15:$E$64,C35,'Task 2 - Asset lvl analysis'!$S$15:$S$64)</f>
        <v>0</v>
      </c>
      <c r="Q35" s="561">
        <f>SUMIF('Task 2 - Asset lvl analysis'!$E$15:$E$64,C35,'Task 2 - Asset lvl analysis'!$T$15:$T$64)</f>
        <v>0</v>
      </c>
      <c r="R35" s="561">
        <f>SUMIF('Task 2 - Asset lvl analysis'!$E$15:$E$64,C35,'Task 2 - Asset lvl analysis'!$U$15:$U$64)</f>
        <v>0</v>
      </c>
      <c r="S35" s="561">
        <f>SUMIF('Task 2 - Asset lvl analysis'!$E$15:$E$64,C35,'Task 2 - Asset lvl analysis'!$V$15:$V$64)</f>
        <v>1.9367000000000001</v>
      </c>
      <c r="T35" s="561">
        <f>SUMIF('Task 2 - Asset lvl analysis'!$E$15:$E$64,C35,'Task 2 - Asset lvl analysis'!$W$15:$W$64)</f>
        <v>0</v>
      </c>
      <c r="U35" s="624">
        <f t="shared" si="1"/>
        <v>366.63749999999999</v>
      </c>
      <c r="V35" s="582">
        <f t="shared" si="2"/>
        <v>4.1736941443681966E-3</v>
      </c>
    </row>
    <row r="36" spans="2:22" x14ac:dyDescent="0.3">
      <c r="B36" s="131" t="s">
        <v>26</v>
      </c>
      <c r="C36" s="130" t="s">
        <v>27</v>
      </c>
      <c r="D36" s="561">
        <f>SUMIF('Task 2 - Asset lvl analysis'!$E$15:$E$64,C36,'Task 2 - Asset lvl analysis'!$G$15:$G$64)</f>
        <v>1.4550000000000001</v>
      </c>
      <c r="E36" s="561">
        <f>SUMIF('Task 2 - Asset lvl analysis'!$E$15:$E$64,C36,'Task 2 - Asset lvl analysis'!$H$15:$H$64)</f>
        <v>63.84259999999999</v>
      </c>
      <c r="F36" s="561">
        <f>SUMIF('Task 2 - Asset lvl analysis'!$E$15:$E$64,C36,'Task 2 - Asset lvl analysis'!$I$15:$I$64)</f>
        <v>89.834299999999999</v>
      </c>
      <c r="G36" s="561">
        <f>SUMIF('Task 2 - Asset lvl analysis'!$E$15:$E$64,C36,'Task 2 - Asset lvl analysis'!$J$15:$J$64)</f>
        <v>119.1611</v>
      </c>
      <c r="H36" s="561">
        <f>SUMIF('Task 2 - Asset lvl analysis'!$E$15:$E$64,C36,'Task 2 - Asset lvl analysis'!$K$15:$K$64)</f>
        <v>0</v>
      </c>
      <c r="I36" s="561">
        <f>SUMIF('Task 2 - Asset lvl analysis'!$E$15:$E$64,C36,'Task 2 - Asset lvl analysis'!$L$15:$L$64)</f>
        <v>2.6786999999999996</v>
      </c>
      <c r="J36" s="561">
        <f>SUMIF('Task 2 - Asset lvl analysis'!$E$15:$E$64,C36,'Task 2 - Asset lvl analysis'!$M$15:$M$64)</f>
        <v>6.5404999999999998</v>
      </c>
      <c r="K36" s="561">
        <f>SUMIF('Task 2 - Asset lvl analysis'!$E$15:$E$64,C36,'Task 2 - Asset lvl analysis'!$N$15:$N$64)</f>
        <v>0</v>
      </c>
      <c r="L36" s="561">
        <f>SUMIF('Task 2 - Asset lvl analysis'!$E$15:$E$64,C36,'Task 2 - Asset lvl analysis'!$O$15:$O$64)</f>
        <v>0</v>
      </c>
      <c r="M36" s="561">
        <f>SUMIF('Task 2 - Asset lvl analysis'!$E$15:$E$64,C36,'Task 2 - Asset lvl analysis'!$P$15:$P$64)</f>
        <v>40.878399999999999</v>
      </c>
      <c r="N36" s="561">
        <f>SUMIF('Task 2 - Asset lvl analysis'!$E$15:$E$64,C36,'Task 2 - Asset lvl analysis'!$Q$15:$Q$64)</f>
        <v>612.99349999999993</v>
      </c>
      <c r="O36" s="561">
        <f>SUMIF('Task 2 - Asset lvl analysis'!$E$15:$E$64,C36,'Task 2 - Asset lvl analysis'!$R$15:$R$64)</f>
        <v>15501.043700000002</v>
      </c>
      <c r="P36" s="561">
        <f>SUMIF('Task 2 - Asset lvl analysis'!$E$15:$E$64,C36,'Task 2 - Asset lvl analysis'!$S$15:$S$64)</f>
        <v>1049.2394999999999</v>
      </c>
      <c r="Q36" s="561">
        <f>SUMIF('Task 2 - Asset lvl analysis'!$E$15:$E$64,C36,'Task 2 - Asset lvl analysis'!$T$15:$T$64)</f>
        <v>484.11200000000002</v>
      </c>
      <c r="R36" s="561">
        <f>SUMIF('Task 2 - Asset lvl analysis'!$E$15:$E$64,C36,'Task 2 - Asset lvl analysis'!$U$15:$U$64)</f>
        <v>0</v>
      </c>
      <c r="S36" s="561">
        <f>SUMIF('Task 2 - Asset lvl analysis'!$E$15:$E$64,C36,'Task 2 - Asset lvl analysis'!$V$15:$V$64)</f>
        <v>10.968500000000002</v>
      </c>
      <c r="T36" s="561">
        <f>SUMIF('Task 2 - Asset lvl analysis'!$E$15:$E$64,C36,'Task 2 - Asset lvl analysis'!$W$15:$W$64)</f>
        <v>0</v>
      </c>
      <c r="U36" s="561">
        <f t="shared" si="1"/>
        <v>17982.747800000001</v>
      </c>
      <c r="V36" s="623">
        <f t="shared" si="2"/>
        <v>0.20471034521157841</v>
      </c>
    </row>
    <row r="37" spans="2:22" x14ac:dyDescent="0.3">
      <c r="B37" s="131" t="s">
        <v>28</v>
      </c>
      <c r="C37" s="130" t="s">
        <v>29</v>
      </c>
      <c r="D37" s="561">
        <f>SUMIF('Task 2 - Asset lvl analysis'!$E$15:$E$64,C37,'Task 2 - Asset lvl analysis'!$G$15:$G$64)</f>
        <v>0</v>
      </c>
      <c r="E37" s="561">
        <f>SUMIF('Task 2 - Asset lvl analysis'!$E$15:$E$64,C37,'Task 2 - Asset lvl analysis'!$H$15:$H$64)</f>
        <v>28.261628978007764</v>
      </c>
      <c r="F37" s="561">
        <f>SUMIF('Task 2 - Asset lvl analysis'!$E$15:$E$64,C37,'Task 2 - Asset lvl analysis'!$I$15:$I$64)</f>
        <v>80.137591720569205</v>
      </c>
      <c r="G37" s="561">
        <f>SUMIF('Task 2 - Asset lvl analysis'!$E$15:$E$64,C37,'Task 2 - Asset lvl analysis'!$J$15:$J$64)</f>
        <v>84.608222509702458</v>
      </c>
      <c r="H37" s="561">
        <f>SUMIF('Task 2 - Asset lvl analysis'!$E$15:$E$64,C37,'Task 2 - Asset lvl analysis'!$K$15:$K$64)</f>
        <v>0</v>
      </c>
      <c r="I37" s="561">
        <f>SUMIF('Task 2 - Asset lvl analysis'!$E$15:$E$64,C37,'Task 2 - Asset lvl analysis'!$L$15:$L$64)</f>
        <v>0.71516481241914609</v>
      </c>
      <c r="J37" s="561">
        <f>SUMIF('Task 2 - Asset lvl analysis'!$E$15:$E$64,C37,'Task 2 - Asset lvl analysis'!$M$15:$M$64)</f>
        <v>4.3353676584734799</v>
      </c>
      <c r="K37" s="561">
        <f>SUMIF('Task 2 - Asset lvl analysis'!$E$15:$E$64,C37,'Task 2 - Asset lvl analysis'!$N$15:$N$64)</f>
        <v>0</v>
      </c>
      <c r="L37" s="561">
        <f>SUMIF('Task 2 - Asset lvl analysis'!$E$15:$E$64,C37,'Task 2 - Asset lvl analysis'!$O$15:$O$64)</f>
        <v>0</v>
      </c>
      <c r="M37" s="561">
        <f>SUMIF('Task 2 - Asset lvl analysis'!$E$15:$E$64,C37,'Task 2 - Asset lvl analysis'!$P$15:$P$64)</f>
        <v>37.593508926261322</v>
      </c>
      <c r="N37" s="561">
        <f>SUMIF('Task 2 - Asset lvl analysis'!$E$15:$E$64,C37,'Task 2 - Asset lvl analysis'!$Q$15:$Q$64)</f>
        <v>0</v>
      </c>
      <c r="O37" s="561">
        <f>SUMIF('Task 2 - Asset lvl analysis'!$E$15:$E$64,C37,'Task 2 - Asset lvl analysis'!$R$15:$R$64)</f>
        <v>13382.685030789133</v>
      </c>
      <c r="P37" s="561">
        <f>SUMIF('Task 2 - Asset lvl analysis'!$E$15:$E$64,C37,'Task 2 - Asset lvl analysis'!$S$15:$S$64)</f>
        <v>0</v>
      </c>
      <c r="Q37" s="561">
        <f>SUMIF('Task 2 - Asset lvl analysis'!$E$15:$E$64,C37,'Task 2 - Asset lvl analysis'!$T$15:$T$64)</f>
        <v>22.178049159120309</v>
      </c>
      <c r="R37" s="561">
        <f>SUMIF('Task 2 - Asset lvl analysis'!$E$15:$E$64,C37,'Task 2 - Asset lvl analysis'!$U$15:$U$64)</f>
        <v>0</v>
      </c>
      <c r="S37" s="561">
        <f>SUMIF('Task 2 - Asset lvl analysis'!$E$15:$E$64,C37,'Task 2 - Asset lvl analysis'!$V$15:$V$64)</f>
        <v>8.0522680465717986</v>
      </c>
      <c r="T37" s="561">
        <f>SUMIF('Task 2 - Asset lvl analysis'!$E$15:$E$64,C37,'Task 2 - Asset lvl analysis'!$W$15:$W$64)</f>
        <v>0</v>
      </c>
      <c r="U37" s="561">
        <f t="shared" si="1"/>
        <v>13648.566832600258</v>
      </c>
      <c r="V37" s="623">
        <f t="shared" si="2"/>
        <v>0.15537129581191692</v>
      </c>
    </row>
    <row r="38" spans="2:22" x14ac:dyDescent="0.3">
      <c r="B38" s="131" t="s">
        <v>30</v>
      </c>
      <c r="C38" s="130" t="s">
        <v>31</v>
      </c>
      <c r="D38" s="561">
        <f>SUMIF('Task 2 - Asset lvl analysis'!$E$15:$E$64,C38,'Task 2 - Asset lvl analysis'!$G$15:$G$64)</f>
        <v>0</v>
      </c>
      <c r="E38" s="561">
        <f>SUMIF('Task 2 - Asset lvl analysis'!$E$15:$E$64,C38,'Task 2 - Asset lvl analysis'!$H$15:$H$64)</f>
        <v>0</v>
      </c>
      <c r="F38" s="561">
        <f>SUMIF('Task 2 - Asset lvl analysis'!$E$15:$E$64,C38,'Task 2 - Asset lvl analysis'!$I$15:$I$64)</f>
        <v>94.6721</v>
      </c>
      <c r="G38" s="561">
        <f>SUMIF('Task 2 - Asset lvl analysis'!$E$15:$E$64,C38,'Task 2 - Asset lvl analysis'!$J$15:$J$64)</f>
        <v>33.441099999999999</v>
      </c>
      <c r="H38" s="561">
        <f>SUMIF('Task 2 - Asset lvl analysis'!$E$15:$E$64,C38,'Task 2 - Asset lvl analysis'!$K$15:$K$64)</f>
        <v>0</v>
      </c>
      <c r="I38" s="561">
        <f>SUMIF('Task 2 - Asset lvl analysis'!$E$15:$E$64,C38,'Task 2 - Asset lvl analysis'!$L$15:$L$64)</f>
        <v>2.0007000000000001</v>
      </c>
      <c r="J38" s="561">
        <f>SUMIF('Task 2 - Asset lvl analysis'!$E$15:$E$64,C38,'Task 2 - Asset lvl analysis'!$M$15:$M$64)</f>
        <v>7.1199000000000003</v>
      </c>
      <c r="K38" s="561">
        <f>SUMIF('Task 2 - Asset lvl analysis'!$E$15:$E$64,C38,'Task 2 - Asset lvl analysis'!$N$15:$N$64)</f>
        <v>0</v>
      </c>
      <c r="L38" s="561">
        <f>SUMIF('Task 2 - Asset lvl analysis'!$E$15:$E$64,C38,'Task 2 - Asset lvl analysis'!$O$15:$O$64)</f>
        <v>0</v>
      </c>
      <c r="M38" s="561">
        <f>SUMIF('Task 2 - Asset lvl analysis'!$E$15:$E$64,C38,'Task 2 - Asset lvl analysis'!$P$15:$P$64)</f>
        <v>0</v>
      </c>
      <c r="N38" s="561">
        <f>SUMIF('Task 2 - Asset lvl analysis'!$E$15:$E$64,C38,'Task 2 - Asset lvl analysis'!$Q$15:$Q$64)</f>
        <v>0</v>
      </c>
      <c r="O38" s="561">
        <f>SUMIF('Task 2 - Asset lvl analysis'!$E$15:$E$64,C38,'Task 2 - Asset lvl analysis'!$R$15:$R$64)</f>
        <v>1550.0711871285707</v>
      </c>
      <c r="P38" s="561">
        <f>SUMIF('Task 2 - Asset lvl analysis'!$E$15:$E$64,C38,'Task 2 - Asset lvl analysis'!$S$15:$S$64)</f>
        <v>0</v>
      </c>
      <c r="Q38" s="561">
        <f>SUMIF('Task 2 - Asset lvl analysis'!$E$15:$E$64,C38,'Task 2 - Asset lvl analysis'!$T$15:$T$64)</f>
        <v>0.18410000000000001</v>
      </c>
      <c r="R38" s="561">
        <f>SUMIF('Task 2 - Asset lvl analysis'!$E$15:$E$64,C38,'Task 2 - Asset lvl analysis'!$U$15:$U$64)</f>
        <v>0</v>
      </c>
      <c r="S38" s="561">
        <f>SUMIF('Task 2 - Asset lvl analysis'!$E$15:$E$64,C38,'Task 2 - Asset lvl analysis'!$V$15:$V$64)</f>
        <v>4.4846000000000004</v>
      </c>
      <c r="T38" s="561">
        <f>SUMIF('Task 2 - Asset lvl analysis'!$E$15:$E$64,C38,'Task 2 - Asset lvl analysis'!$W$15:$W$64)</f>
        <v>0</v>
      </c>
      <c r="U38" s="561">
        <f t="shared" si="1"/>
        <v>1691.9736871285706</v>
      </c>
      <c r="V38" s="623">
        <f t="shared" si="2"/>
        <v>1.9260933948092005E-2</v>
      </c>
    </row>
    <row r="39" spans="2:22" x14ac:dyDescent="0.3">
      <c r="B39" s="131" t="s">
        <v>32</v>
      </c>
      <c r="C39" s="130" t="s">
        <v>33</v>
      </c>
      <c r="D39" s="561">
        <f>SUMIF('Task 2 - Asset lvl analysis'!$E$15:$E$64,C39,'Task 2 - Asset lvl analysis'!$G$15:$G$64)</f>
        <v>0</v>
      </c>
      <c r="E39" s="561">
        <f>SUMIF('Task 2 - Asset lvl analysis'!$E$15:$E$64,C39,'Task 2 - Asset lvl analysis'!$H$15:$H$64)</f>
        <v>0</v>
      </c>
      <c r="F39" s="561">
        <f>SUMIF('Task 2 - Asset lvl analysis'!$E$15:$E$64,C39,'Task 2 - Asset lvl analysis'!$I$15:$I$64)</f>
        <v>99.095200000000006</v>
      </c>
      <c r="G39" s="561">
        <f>SUMIF('Task 2 - Asset lvl analysis'!$E$15:$E$64,C39,'Task 2 - Asset lvl analysis'!$J$15:$J$64)</f>
        <v>5.7576999999999998</v>
      </c>
      <c r="H39" s="561">
        <f>SUMIF('Task 2 - Asset lvl analysis'!$E$15:$E$64,C39,'Task 2 - Asset lvl analysis'!$K$15:$K$64)</f>
        <v>57.215600000000002</v>
      </c>
      <c r="I39" s="561">
        <f>SUMIF('Task 2 - Asset lvl analysis'!$E$15:$E$64,C39,'Task 2 - Asset lvl analysis'!$L$15:$L$64)</f>
        <v>339.87850000000003</v>
      </c>
      <c r="J39" s="561">
        <f>SUMIF('Task 2 - Asset lvl analysis'!$E$15:$E$64,C39,'Task 2 - Asset lvl analysis'!$M$15:$M$64)</f>
        <v>0</v>
      </c>
      <c r="K39" s="561">
        <f>SUMIF('Task 2 - Asset lvl analysis'!$E$15:$E$64,C39,'Task 2 - Asset lvl analysis'!$N$15:$N$64)</f>
        <v>0</v>
      </c>
      <c r="L39" s="561">
        <f>SUMIF('Task 2 - Asset lvl analysis'!$E$15:$E$64,C39,'Task 2 - Asset lvl analysis'!$O$15:$O$64)</f>
        <v>2.1377999999999999</v>
      </c>
      <c r="M39" s="561">
        <f>SUMIF('Task 2 - Asset lvl analysis'!$E$15:$E$64,C39,'Task 2 - Asset lvl analysis'!$P$15:$P$64)</f>
        <v>2.4796999999999998</v>
      </c>
      <c r="N39" s="561">
        <f>SUMIF('Task 2 - Asset lvl analysis'!$E$15:$E$64,C39,'Task 2 - Asset lvl analysis'!$Q$15:$Q$64)</f>
        <v>0</v>
      </c>
      <c r="O39" s="561">
        <f>SUMIF('Task 2 - Asset lvl analysis'!$E$15:$E$64,C39,'Task 2 - Asset lvl analysis'!$R$15:$R$64)</f>
        <v>5.3735999999999997</v>
      </c>
      <c r="P39" s="561">
        <f>SUMIF('Task 2 - Asset lvl analysis'!$E$15:$E$64,C39,'Task 2 - Asset lvl analysis'!$S$15:$S$64)</f>
        <v>0</v>
      </c>
      <c r="Q39" s="561">
        <f>SUMIF('Task 2 - Asset lvl analysis'!$E$15:$E$64,C39,'Task 2 - Asset lvl analysis'!$T$15:$T$64)</f>
        <v>14.1906</v>
      </c>
      <c r="R39" s="561">
        <f>SUMIF('Task 2 - Asset lvl analysis'!$E$15:$E$64,C39,'Task 2 - Asset lvl analysis'!$U$15:$U$64)</f>
        <v>0</v>
      </c>
      <c r="S39" s="561">
        <f>SUMIF('Task 2 - Asset lvl analysis'!$E$15:$E$64,C39,'Task 2 - Asset lvl analysis'!$V$15:$V$64)</f>
        <v>0</v>
      </c>
      <c r="T39" s="561">
        <f>SUMIF('Task 2 - Asset lvl analysis'!$E$15:$E$64,C39,'Task 2 - Asset lvl analysis'!$W$15:$W$64)</f>
        <v>0</v>
      </c>
      <c r="U39" s="561">
        <f t="shared" si="1"/>
        <v>526.12869999999998</v>
      </c>
      <c r="V39" s="623">
        <f t="shared" si="2"/>
        <v>5.989295351332179E-3</v>
      </c>
    </row>
    <row r="40" spans="2:22" x14ac:dyDescent="0.3">
      <c r="B40" s="131" t="s">
        <v>34</v>
      </c>
      <c r="C40" s="130" t="s">
        <v>35</v>
      </c>
      <c r="D40" s="561">
        <f>SUMIF('Task 2 - Asset lvl analysis'!$E$15:$E$64,C40,'Task 2 - Asset lvl analysis'!$G$15:$G$64)</f>
        <v>0</v>
      </c>
      <c r="E40" s="561">
        <f>SUMIF('Task 2 - Asset lvl analysis'!$E$15:$E$64,C40,'Task 2 - Asset lvl analysis'!$H$15:$H$64)</f>
        <v>0</v>
      </c>
      <c r="F40" s="561">
        <f>SUMIF('Task 2 - Asset lvl analysis'!$E$15:$E$64,C40,'Task 2 - Asset lvl analysis'!$I$15:$I$64)</f>
        <v>154.50739999999999</v>
      </c>
      <c r="G40" s="561">
        <f>SUMIF('Task 2 - Asset lvl analysis'!$E$15:$E$64,C40,'Task 2 - Asset lvl analysis'!$J$15:$J$64)</f>
        <v>8.2865000000000002</v>
      </c>
      <c r="H40" s="561">
        <f>SUMIF('Task 2 - Asset lvl analysis'!$E$15:$E$64,C40,'Task 2 - Asset lvl analysis'!$K$15:$K$64)</f>
        <v>82.338200000000001</v>
      </c>
      <c r="I40" s="561">
        <f>SUMIF('Task 2 - Asset lvl analysis'!$E$15:$E$64,C40,'Task 2 - Asset lvl analysis'!$L$15:$L$64)</f>
        <v>541.35320000000002</v>
      </c>
      <c r="J40" s="561">
        <f>SUMIF('Task 2 - Asset lvl analysis'!$E$15:$E$64,C40,'Task 2 - Asset lvl analysis'!$M$15:$M$64)</f>
        <v>0</v>
      </c>
      <c r="K40" s="561">
        <f>SUMIF('Task 2 - Asset lvl analysis'!$E$15:$E$64,C40,'Task 2 - Asset lvl analysis'!$N$15:$N$64)</f>
        <v>0</v>
      </c>
      <c r="L40" s="561">
        <f>SUMIF('Task 2 - Asset lvl analysis'!$E$15:$E$64,C40,'Task 2 - Asset lvl analysis'!$O$15:$O$64)</f>
        <v>3.0763000000000003</v>
      </c>
      <c r="M40" s="561">
        <f>SUMIF('Task 2 - Asset lvl analysis'!$E$15:$E$64,C40,'Task 2 - Asset lvl analysis'!$P$15:$P$64)</f>
        <v>3.5682999999999998</v>
      </c>
      <c r="N40" s="561">
        <f>SUMIF('Task 2 - Asset lvl analysis'!$E$15:$E$64,C40,'Task 2 - Asset lvl analysis'!$Q$15:$Q$64)</f>
        <v>0</v>
      </c>
      <c r="O40" s="561">
        <f>SUMIF('Task 2 - Asset lvl analysis'!$E$15:$E$64,C40,'Task 2 - Asset lvl analysis'!$R$15:$R$64)</f>
        <v>7.9298000000000002</v>
      </c>
      <c r="P40" s="561">
        <f>SUMIF('Task 2 - Asset lvl analysis'!$E$15:$E$64,C40,'Task 2 - Asset lvl analysis'!$S$15:$S$64)</f>
        <v>0</v>
      </c>
      <c r="Q40" s="561">
        <f>SUMIF('Task 2 - Asset lvl analysis'!$E$15:$E$64,C40,'Task 2 - Asset lvl analysis'!$T$15:$T$64)</f>
        <v>20.4206</v>
      </c>
      <c r="R40" s="561">
        <f>SUMIF('Task 2 - Asset lvl analysis'!$E$15:$E$64,C40,'Task 2 - Asset lvl analysis'!$U$15:$U$64)</f>
        <v>0</v>
      </c>
      <c r="S40" s="561">
        <f>SUMIF('Task 2 - Asset lvl analysis'!$E$15:$E$64,C40,'Task 2 - Asset lvl analysis'!$V$15:$V$64)</f>
        <v>0</v>
      </c>
      <c r="T40" s="561">
        <f>SUMIF('Task 2 - Asset lvl analysis'!$E$15:$E$64,C40,'Task 2 - Asset lvl analysis'!$W$15:$W$64)</f>
        <v>0</v>
      </c>
      <c r="U40" s="561">
        <f t="shared" si="1"/>
        <v>821.48030000000006</v>
      </c>
      <c r="V40" s="623">
        <f t="shared" si="2"/>
        <v>9.3514916445367156E-3</v>
      </c>
    </row>
    <row r="41" spans="2:22" x14ac:dyDescent="0.3">
      <c r="B41" s="131" t="s">
        <v>166</v>
      </c>
      <c r="C41" s="130" t="s">
        <v>706</v>
      </c>
      <c r="D41" s="561">
        <f>SUMIF('Task 2 - Asset lvl analysis'!$E$15:$E$64,C41,'Task 2 - Asset lvl analysis'!$G$15:$G$64)</f>
        <v>821.47569999999996</v>
      </c>
      <c r="E41" s="561">
        <f>SUMIF('Task 2 - Asset lvl analysis'!$E$15:$E$64,C41,'Task 2 - Asset lvl analysis'!$H$15:$H$64)</f>
        <v>4839.7825000000003</v>
      </c>
      <c r="F41" s="561">
        <f>SUMIF('Task 2 - Asset lvl analysis'!$E$15:$E$64,C41,'Task 2 - Asset lvl analysis'!$I$15:$I$64)</f>
        <v>5170.1923999999999</v>
      </c>
      <c r="G41" s="561">
        <f>SUMIF('Task 2 - Asset lvl analysis'!$E$15:$E$64,C41,'Task 2 - Asset lvl analysis'!$J$15:$J$64)</f>
        <v>235.86699999999999</v>
      </c>
      <c r="H41" s="561">
        <f>SUMIF('Task 2 - Asset lvl analysis'!$E$15:$E$64,C41,'Task 2 - Asset lvl analysis'!$K$15:$K$64)</f>
        <v>10165.3133</v>
      </c>
      <c r="I41" s="561">
        <f>SUMIF('Task 2 - Asset lvl analysis'!$E$15:$E$64,C41,'Task 2 - Asset lvl analysis'!$L$15:$L$64)</f>
        <v>7437.9966999999997</v>
      </c>
      <c r="J41" s="561">
        <f>SUMIF('Task 2 - Asset lvl analysis'!$E$15:$E$64,C41,'Task 2 - Asset lvl analysis'!$M$15:$M$64)</f>
        <v>0</v>
      </c>
      <c r="K41" s="561">
        <f>SUMIF('Task 2 - Asset lvl analysis'!$E$15:$E$64,C41,'Task 2 - Asset lvl analysis'!$N$15:$N$64)</f>
        <v>0</v>
      </c>
      <c r="L41" s="561">
        <f>SUMIF('Task 2 - Asset lvl analysis'!$E$15:$E$64,C41,'Task 2 - Asset lvl analysis'!$O$15:$O$64)</f>
        <v>193.12449999999998</v>
      </c>
      <c r="M41" s="561">
        <f>SUMIF('Task 2 - Asset lvl analysis'!$E$15:$E$64,C41,'Task 2 - Asset lvl analysis'!$P$15:$P$64)</f>
        <v>1644.8625</v>
      </c>
      <c r="N41" s="561">
        <f>SUMIF('Task 2 - Asset lvl analysis'!$E$15:$E$64,C41,'Task 2 - Asset lvl analysis'!$Q$15:$Q$64)</f>
        <v>0</v>
      </c>
      <c r="O41" s="561">
        <f>SUMIF('Task 2 - Asset lvl analysis'!$E$15:$E$64,C41,'Task 2 - Asset lvl analysis'!$R$15:$R$64)</f>
        <v>335.1474</v>
      </c>
      <c r="P41" s="561">
        <f>SUMIF('Task 2 - Asset lvl analysis'!$E$15:$E$64,C41,'Task 2 - Asset lvl analysis'!$S$15:$S$64)</f>
        <v>0</v>
      </c>
      <c r="Q41" s="561">
        <f>SUMIF('Task 2 - Asset lvl analysis'!$E$15:$E$64,C41,'Task 2 - Asset lvl analysis'!$T$15:$T$64)</f>
        <v>0</v>
      </c>
      <c r="R41" s="561">
        <f>SUMIF('Task 2 - Asset lvl analysis'!$E$15:$E$64,C41,'Task 2 - Asset lvl analysis'!$U$15:$U$64)</f>
        <v>0</v>
      </c>
      <c r="S41" s="561">
        <f>SUMIF('Task 2 - Asset lvl analysis'!$E$15:$E$64,C41,'Task 2 - Asset lvl analysis'!$V$15:$V$64)</f>
        <v>0</v>
      </c>
      <c r="T41" s="561">
        <f>SUMIF('Task 2 - Asset lvl analysis'!$E$15:$E$64,C41,'Task 2 - Asset lvl analysis'!$W$15:$W$64)</f>
        <v>0</v>
      </c>
      <c r="U41" s="561">
        <f>SUM(D41:T41)</f>
        <v>30843.762000000002</v>
      </c>
      <c r="V41" s="623">
        <f>U41/$U$42</f>
        <v>0.35111637202873769</v>
      </c>
    </row>
    <row r="42" spans="2:22" ht="36.65" customHeight="1" thickBot="1" x14ac:dyDescent="0.35">
      <c r="B42" s="137" t="s">
        <v>420</v>
      </c>
      <c r="C42" s="140"/>
      <c r="D42" s="563">
        <f>SUM(D29:D41)</f>
        <v>828.71332510742513</v>
      </c>
      <c r="E42" s="563">
        <f>SUM(E29:E41)</f>
        <v>5001.4551048926423</v>
      </c>
      <c r="F42" s="563">
        <f>SUM(F29:F41)</f>
        <v>6088.1668252931231</v>
      </c>
      <c r="G42" s="563">
        <f t="shared" ref="G42:T42" si="3">SUM(G29:G41)</f>
        <v>809.40624334127392</v>
      </c>
      <c r="H42" s="563">
        <f t="shared" si="3"/>
        <v>10304.867099999999</v>
      </c>
      <c r="I42" s="563">
        <f t="shared" si="3"/>
        <v>8330.3282093626294</v>
      </c>
      <c r="J42" s="563">
        <f t="shared" si="3"/>
        <v>33.11550294308357</v>
      </c>
      <c r="K42" s="563">
        <f t="shared" si="3"/>
        <v>0</v>
      </c>
      <c r="L42" s="563">
        <f t="shared" si="3"/>
        <v>198.33859999999999</v>
      </c>
      <c r="M42" s="563">
        <f t="shared" si="3"/>
        <v>1790.1380305726027</v>
      </c>
      <c r="N42" s="563">
        <f t="shared" si="3"/>
        <v>612.99349999999993</v>
      </c>
      <c r="O42" s="563">
        <f>SUM(O29:O41)</f>
        <v>52195.660369401579</v>
      </c>
      <c r="P42" s="563">
        <f>SUM(P29:P41)</f>
        <v>1049.2394999999999</v>
      </c>
      <c r="Q42" s="563">
        <f t="shared" si="3"/>
        <v>541.08534915912037</v>
      </c>
      <c r="R42" s="563">
        <f t="shared" si="3"/>
        <v>0</v>
      </c>
      <c r="S42" s="563">
        <f t="shared" si="3"/>
        <v>61.333700600941455</v>
      </c>
      <c r="T42" s="563">
        <f t="shared" si="3"/>
        <v>0</v>
      </c>
      <c r="U42" s="563">
        <f>SUM(D42:T42)</f>
        <v>87844.841360674414</v>
      </c>
      <c r="V42" s="628">
        <f>SUM(V29:V41)</f>
        <v>1</v>
      </c>
    </row>
    <row r="43" spans="2:22" x14ac:dyDescent="0.3">
      <c r="V43" s="622"/>
    </row>
    <row r="44" spans="2:22" ht="14.5" thickBot="1" x14ac:dyDescent="0.35"/>
    <row r="45" spans="2:22" ht="41.25" customHeight="1" x14ac:dyDescent="0.3">
      <c r="B45" s="739" t="s">
        <v>749</v>
      </c>
      <c r="C45" s="620" t="s">
        <v>754</v>
      </c>
      <c r="D45" s="625" cm="1">
        <f t="array" ref="D45">SUM(O29:O37/O42)</f>
        <v>0.96362682311724268</v>
      </c>
    </row>
    <row r="46" spans="2:22" ht="41.25" customHeight="1" x14ac:dyDescent="0.3">
      <c r="B46" s="740"/>
      <c r="C46" s="130" t="s">
        <v>755</v>
      </c>
      <c r="D46" s="626">
        <f>(H41+I41+J41)/U41</f>
        <v>0.57072512749903848</v>
      </c>
    </row>
    <row r="47" spans="2:22" ht="41.25" customHeight="1" x14ac:dyDescent="0.3">
      <c r="B47" s="741"/>
      <c r="C47" s="130" t="s">
        <v>764</v>
      </c>
      <c r="D47" s="626">
        <f>F41/U41</f>
        <v>0.16762522029576027</v>
      </c>
    </row>
    <row r="48" spans="2:22" ht="41.25" customHeight="1" x14ac:dyDescent="0.3">
      <c r="B48" s="741"/>
      <c r="C48" s="130" t="s">
        <v>765</v>
      </c>
      <c r="D48" s="626">
        <f>E41/U41</f>
        <v>0.1569128467532592</v>
      </c>
    </row>
    <row r="49" spans="2:4" ht="41.25" customHeight="1" thickBot="1" x14ac:dyDescent="0.35">
      <c r="B49" s="741"/>
      <c r="C49" s="627" t="s">
        <v>756</v>
      </c>
      <c r="D49" s="626">
        <f>(I41+H41+J41)/SUM(H42:J42)</f>
        <v>0.94295140985098169</v>
      </c>
    </row>
    <row r="50" spans="2:4" x14ac:dyDescent="0.3">
      <c r="B50" s="622"/>
      <c r="C50" s="622"/>
      <c r="D50" s="622"/>
    </row>
  </sheetData>
  <mergeCells count="2">
    <mergeCell ref="B3:U4"/>
    <mergeCell ref="B45:B49"/>
  </mergeCells>
  <phoneticPr fontId="37" type="noConversion"/>
  <conditionalFormatting sqref="C7:C23">
    <cfRule type="colorScale" priority="1">
      <colorScale>
        <cfvo type="min"/>
        <cfvo type="percentile" val="50"/>
        <cfvo type="max"/>
        <color rgb="FF63BE7B"/>
        <color rgb="FFFFEB84"/>
        <color rgb="FFF8696B"/>
      </colorScale>
    </cfRule>
  </conditionalFormatting>
  <conditionalFormatting sqref="U29:U41">
    <cfRule type="dataBar" priority="3">
      <dataBar>
        <cfvo type="min"/>
        <cfvo type="max"/>
        <color rgb="FF63C384"/>
      </dataBar>
      <extLst>
        <ext xmlns:x14="http://schemas.microsoft.com/office/spreadsheetml/2009/9/main" uri="{B025F937-C7B1-47D3-B67F-A62EFF666E3E}">
          <x14:id>{0D0085BF-0345-4D4F-A804-59A63F24EED6}</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0D0085BF-0345-4D4F-A804-59A63F24EED6}">
            <x14:dataBar minLength="0" maxLength="100" border="1" negativeBarBorderColorSameAsPositive="0">
              <x14:cfvo type="autoMin"/>
              <x14:cfvo type="autoMax"/>
              <x14:borderColor rgb="FF63C384"/>
              <x14:negativeFillColor rgb="FFFF0000"/>
              <x14:negativeBorderColor rgb="FFFF0000"/>
              <x14:axisColor rgb="FF000000"/>
            </x14:dataBar>
          </x14:cfRule>
          <xm:sqref>U29:U41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DEC0-A2DD-4780-8827-FE4755B7CA15}">
  <sheetPr>
    <tabColor rgb="FF008768"/>
  </sheetPr>
  <dimension ref="B2:X138"/>
  <sheetViews>
    <sheetView showGridLines="0" zoomScale="40" zoomScaleNormal="40" workbookViewId="0">
      <selection activeCell="S12" sqref="S12"/>
    </sheetView>
  </sheetViews>
  <sheetFormatPr defaultRowHeight="14.5" x14ac:dyDescent="0.35"/>
  <cols>
    <col min="2" max="2" width="21.453125" customWidth="1"/>
    <col min="3" max="3" width="27.81640625" customWidth="1"/>
    <col min="4" max="4" width="28.54296875" customWidth="1"/>
    <col min="5" max="5" width="16.81640625" customWidth="1"/>
    <col min="6" max="6" width="14.453125" customWidth="1"/>
    <col min="7" max="7" width="17.81640625" customWidth="1"/>
    <col min="8" max="8" width="20.1796875" customWidth="1"/>
    <col min="9" max="9" width="17.1796875" customWidth="1"/>
    <col min="10" max="10" width="18.1796875" customWidth="1"/>
    <col min="11" max="11" width="16.54296875" customWidth="1"/>
    <col min="12" max="12" width="22" customWidth="1"/>
    <col min="13" max="13" width="20.81640625" customWidth="1"/>
    <col min="14" max="14" width="22" customWidth="1"/>
    <col min="15" max="16" width="18.54296875" customWidth="1"/>
    <col min="17" max="17" width="29.1796875" customWidth="1"/>
    <col min="18" max="18" width="18.453125" customWidth="1"/>
  </cols>
  <sheetData>
    <row r="2" spans="2:13" s="135" customFormat="1" ht="27" customHeight="1" x14ac:dyDescent="0.35">
      <c r="B2" s="267" t="s">
        <v>431</v>
      </c>
      <c r="C2" s="58"/>
      <c r="D2" s="58"/>
      <c r="E2" s="58"/>
      <c r="F2" s="134"/>
      <c r="G2" s="134"/>
    </row>
    <row r="3" spans="2:13" s="1" customFormat="1" ht="45" customHeight="1" x14ac:dyDescent="0.35">
      <c r="B3" s="737" t="s">
        <v>739</v>
      </c>
      <c r="C3" s="737"/>
      <c r="D3" s="737"/>
      <c r="E3" s="737"/>
      <c r="F3" s="737"/>
      <c r="G3" s="737"/>
      <c r="H3" s="737"/>
      <c r="I3" s="737"/>
      <c r="J3" s="737"/>
      <c r="K3" s="737"/>
      <c r="L3" s="737"/>
      <c r="M3" s="737"/>
    </row>
    <row r="4" spans="2:13" s="256" customFormat="1" ht="18" customHeight="1" x14ac:dyDescent="0.35">
      <c r="B4" s="260"/>
      <c r="C4" s="254"/>
      <c r="D4" s="254"/>
      <c r="E4" s="254"/>
      <c r="F4" s="255"/>
      <c r="G4" s="255"/>
    </row>
    <row r="5" spans="2:13" ht="36.75" customHeight="1" thickBot="1" x14ac:dyDescent="0.4">
      <c r="B5" s="251" t="s">
        <v>436</v>
      </c>
      <c r="C5" s="136"/>
      <c r="D5" s="136"/>
    </row>
    <row r="6" spans="2:13" ht="36.75" customHeight="1" x14ac:dyDescent="0.35">
      <c r="B6" s="616" t="s">
        <v>331</v>
      </c>
      <c r="C6" s="75" t="s">
        <v>2</v>
      </c>
      <c r="D6" s="62" t="s">
        <v>437</v>
      </c>
      <c r="F6" s="616" t="s">
        <v>748</v>
      </c>
      <c r="G6" s="75" t="s">
        <v>2</v>
      </c>
      <c r="H6" s="47" t="s">
        <v>437</v>
      </c>
    </row>
    <row r="7" spans="2:13" x14ac:dyDescent="0.35">
      <c r="B7" s="147" t="s">
        <v>328</v>
      </c>
      <c r="C7" s="564">
        <f>E40</f>
        <v>2715.031135092051</v>
      </c>
      <c r="D7" s="158">
        <f t="shared" ref="D7:D18" si="0">C7/$C$19</f>
        <v>2.1145799341359767E-2</v>
      </c>
      <c r="F7" s="147" t="s">
        <v>322</v>
      </c>
      <c r="G7" s="564">
        <f>SUM(C7:C14)</f>
        <v>85631.71735100873</v>
      </c>
      <c r="H7" s="158">
        <f>SUM(G7)/G9</f>
        <v>0.66693567118119756</v>
      </c>
    </row>
    <row r="8" spans="2:13" x14ac:dyDescent="0.35">
      <c r="B8" s="147" t="s">
        <v>329</v>
      </c>
      <c r="C8" s="564">
        <f>F40</f>
        <v>8221.4267</v>
      </c>
      <c r="D8" s="158">
        <f t="shared" si="0"/>
        <v>6.403191368632441E-2</v>
      </c>
      <c r="F8" s="147" t="s">
        <v>716</v>
      </c>
      <c r="G8" s="564">
        <f>SUM(C15:C18)</f>
        <v>42764.050113862293</v>
      </c>
      <c r="H8" s="158">
        <f>SUM(G8)/G9</f>
        <v>0.33306432881880238</v>
      </c>
    </row>
    <row r="9" spans="2:13" ht="15" thickBot="1" x14ac:dyDescent="0.4">
      <c r="B9" s="147" t="s">
        <v>330</v>
      </c>
      <c r="C9" s="564">
        <f>G40</f>
        <v>8737.7473917606876</v>
      </c>
      <c r="D9" s="158">
        <f t="shared" si="0"/>
        <v>6.8053235432011638E-2</v>
      </c>
      <c r="F9" s="137" t="s">
        <v>5</v>
      </c>
      <c r="G9" s="138">
        <f>SUM(G7:G8)</f>
        <v>128395.76746487102</v>
      </c>
      <c r="H9" s="617">
        <f>SUM(H7:H8)</f>
        <v>1</v>
      </c>
    </row>
    <row r="10" spans="2:13" x14ac:dyDescent="0.35">
      <c r="B10" s="147" t="s">
        <v>338</v>
      </c>
      <c r="C10" s="564">
        <f>H40</f>
        <v>60115.080274494103</v>
      </c>
      <c r="D10" s="158">
        <f t="shared" si="0"/>
        <v>0.468201417082861</v>
      </c>
    </row>
    <row r="11" spans="2:13" x14ac:dyDescent="0.35">
      <c r="B11" s="147" t="s">
        <v>337</v>
      </c>
      <c r="C11" s="564">
        <f>I40</f>
        <v>670.17709547714082</v>
      </c>
      <c r="D11" s="158">
        <f t="shared" si="0"/>
        <v>5.219619841911851E-3</v>
      </c>
    </row>
    <row r="12" spans="2:13" x14ac:dyDescent="0.35">
      <c r="B12" s="147" t="s">
        <v>341</v>
      </c>
      <c r="C12" s="564">
        <f>J40</f>
        <v>12.5367</v>
      </c>
      <c r="D12" s="158">
        <f t="shared" si="0"/>
        <v>9.764106907519387E-5</v>
      </c>
    </row>
    <row r="13" spans="2:13" x14ac:dyDescent="0.35">
      <c r="B13" s="147" t="s">
        <v>340</v>
      </c>
      <c r="C13" s="564">
        <f>K40</f>
        <v>34.914700000000003</v>
      </c>
      <c r="D13" s="158">
        <f t="shared" si="0"/>
        <v>2.7193030338443702E-4</v>
      </c>
    </row>
    <row r="14" spans="2:13" x14ac:dyDescent="0.35">
      <c r="B14" s="147" t="s">
        <v>339</v>
      </c>
      <c r="C14" s="564">
        <f>L40</f>
        <v>5124.8033541847644</v>
      </c>
      <c r="D14" s="158">
        <f t="shared" si="0"/>
        <v>3.991411442426953E-2</v>
      </c>
    </row>
    <row r="15" spans="2:13" x14ac:dyDescent="0.35">
      <c r="B15" s="240" t="s">
        <v>424</v>
      </c>
      <c r="C15" s="565">
        <f>M40</f>
        <v>3376.7649916524897</v>
      </c>
      <c r="D15" s="158">
        <f t="shared" si="0"/>
        <v>2.629965970316249E-2</v>
      </c>
    </row>
    <row r="16" spans="2:13" x14ac:dyDescent="0.35">
      <c r="B16" s="240" t="s">
        <v>423</v>
      </c>
      <c r="C16" s="565">
        <f>N40</f>
        <v>33873.096136547858</v>
      </c>
      <c r="D16" s="158">
        <f t="shared" si="0"/>
        <v>0.26381785634651478</v>
      </c>
    </row>
    <row r="17" spans="2:18" x14ac:dyDescent="0.35">
      <c r="B17" s="240" t="s">
        <v>425</v>
      </c>
      <c r="C17" s="565">
        <f>O40</f>
        <v>3685.7189856619407</v>
      </c>
      <c r="D17" s="158">
        <f t="shared" si="0"/>
        <v>2.87059227763902E-2</v>
      </c>
    </row>
    <row r="18" spans="2:18" x14ac:dyDescent="0.35">
      <c r="B18" s="240" t="s">
        <v>332</v>
      </c>
      <c r="C18" s="565">
        <f>P40</f>
        <v>1828.47</v>
      </c>
      <c r="D18" s="158">
        <f t="shared" si="0"/>
        <v>1.424088999273491E-2</v>
      </c>
    </row>
    <row r="19" spans="2:18" ht="15" thickBot="1" x14ac:dyDescent="0.4">
      <c r="B19" s="137" t="s">
        <v>5</v>
      </c>
      <c r="C19" s="138">
        <f>SUM(C7:C18)</f>
        <v>128395.76746487101</v>
      </c>
      <c r="D19" s="649">
        <f>SUM(D7:D18)</f>
        <v>1.0000000000000002</v>
      </c>
    </row>
    <row r="20" spans="2:18" ht="94.5" customHeight="1" x14ac:dyDescent="0.35"/>
    <row r="21" spans="2:18" ht="135" customHeight="1" x14ac:dyDescent="0.35"/>
    <row r="22" spans="2:18" s="118" customFormat="1" ht="61.5" customHeight="1" thickBot="1" x14ac:dyDescent="0.35">
      <c r="B22" s="251" t="s">
        <v>721</v>
      </c>
      <c r="R22" s="618"/>
    </row>
    <row r="23" spans="2:18" s="118" customFormat="1" ht="47.25" customHeight="1" thickBot="1" x14ac:dyDescent="0.35">
      <c r="B23" s="584"/>
      <c r="C23" s="139" t="s">
        <v>37</v>
      </c>
      <c r="D23" s="139" t="s">
        <v>738</v>
      </c>
      <c r="E23" s="142" t="s">
        <v>328</v>
      </c>
      <c r="F23" s="142" t="s">
        <v>329</v>
      </c>
      <c r="G23" s="142" t="s">
        <v>330</v>
      </c>
      <c r="H23" s="142" t="s">
        <v>338</v>
      </c>
      <c r="I23" s="142" t="s">
        <v>337</v>
      </c>
      <c r="J23" s="142" t="s">
        <v>341</v>
      </c>
      <c r="K23" s="142" t="s">
        <v>340</v>
      </c>
      <c r="L23" s="142" t="s">
        <v>339</v>
      </c>
      <c r="M23" s="142" t="s">
        <v>421</v>
      </c>
      <c r="N23" s="142" t="s">
        <v>423</v>
      </c>
      <c r="O23" s="142" t="s">
        <v>422</v>
      </c>
      <c r="P23" s="142" t="s">
        <v>332</v>
      </c>
      <c r="Q23" s="75" t="s">
        <v>333</v>
      </c>
      <c r="R23" s="47" t="s">
        <v>437</v>
      </c>
    </row>
    <row r="24" spans="2:18" s="118" customFormat="1" ht="14.15" customHeight="1" x14ac:dyDescent="0.3">
      <c r="B24" s="748" t="s">
        <v>693</v>
      </c>
      <c r="C24" s="130" t="s">
        <v>11</v>
      </c>
      <c r="D24" s="130" t="s">
        <v>12</v>
      </c>
      <c r="E24" s="561">
        <f>SUMIF(AOB!$B$43:$B$50,'Task 3 - Material summary'!E23,AOB!$C$43:$C$50)</f>
        <v>2.0343</v>
      </c>
      <c r="F24" s="561">
        <f>SUMIF(AOB!$B$43:$B$50,'Task 3 - Material summary'!F23,AOB!$C$43:$C$50)</f>
        <v>0</v>
      </c>
      <c r="G24" s="561">
        <f>SUMIF(AOB!$B$43:$B$50,'Task 3 - Material summary'!G23,AOB!$C$43:$C$50)</f>
        <v>108.57039999999999</v>
      </c>
      <c r="H24" s="561">
        <f>SUMIF(AOB!$B$43:$B$50,'Task 3 - Material summary'!H23,AOB!$C$43:$C$50)</f>
        <v>352.71530000000001</v>
      </c>
      <c r="I24" s="561">
        <f>SUMIF(AOB!$B$43:$B$50,'Task 3 - Material summary'!I23,AOB!$C$43:$C$50)</f>
        <v>1.3111999999999999</v>
      </c>
      <c r="J24" s="561">
        <f>SUMIF(AOB!$B$43:$B$50,'Task 3 - Material summary'!J23,AOB!$C$43:$C$50)</f>
        <v>0</v>
      </c>
      <c r="K24" s="561">
        <f>SUMIF(AOB!$B$43:$B$50,'Task 3 - Material summary'!K23,AOB!$C$43:$C$50)</f>
        <v>0</v>
      </c>
      <c r="L24" s="561">
        <f>SUMIF(AOB!$B$43:$B$50,'Task 3 - Material summary'!L23,AOB!$C$43:$C$50)</f>
        <v>6.3014000000000001</v>
      </c>
      <c r="M24" s="561">
        <f>AOB!J6</f>
        <v>23.1</v>
      </c>
      <c r="N24" s="561">
        <f>AOB!K6</f>
        <v>67.400000000000006</v>
      </c>
      <c r="O24" s="561">
        <f>AOB!L6</f>
        <v>31.7</v>
      </c>
      <c r="P24" s="561">
        <v>0</v>
      </c>
      <c r="Q24" s="561">
        <f>SUM(E24:P24)</f>
        <v>593.13260000000002</v>
      </c>
      <c r="R24" s="582">
        <f>Q24/$Q$40</f>
        <v>4.6195650503999723E-3</v>
      </c>
    </row>
    <row r="25" spans="2:18" s="118" customFormat="1" ht="14.15" customHeight="1" x14ac:dyDescent="0.3">
      <c r="B25" s="749"/>
      <c r="C25" s="130" t="s">
        <v>13</v>
      </c>
      <c r="D25" s="130" t="s">
        <v>14</v>
      </c>
      <c r="E25" s="561">
        <f>SUMIF(AUB!$B$55:$B$62,'Task 3 - Material summary'!E23,AUB!$C$55:$C$62)</f>
        <v>43.796400000000006</v>
      </c>
      <c r="F25" s="561">
        <f>SUMIF(AUB!$B$55:$B$62,'Task 3 - Material summary'!F23,AUB!$C$55:$C$62)</f>
        <v>0</v>
      </c>
      <c r="G25" s="561">
        <f>SUMIF(AUB!$B$55:$B$62,'Task 3 - Material summary'!G23,AUB!$C$55:$C$62)</f>
        <v>110.51089999999999</v>
      </c>
      <c r="H25" s="561">
        <f>SUMIF(AUB!$B$55:$B$62,'Task 3 - Material summary'!H23,AUB!$C$55:$C$62)</f>
        <v>636.13089999999988</v>
      </c>
      <c r="I25" s="561">
        <f>SUMIF(AUB!$B$55:$B$62,'Task 3 - Material summary'!I23,AUB!$C$55:$C$62)</f>
        <v>5.0731999999999999</v>
      </c>
      <c r="J25" s="561">
        <f>SUMIF(AUB!$B$55:$B$62,'Task 3 - Material summary'!J23,AUB!$C$55:$C$62)</f>
        <v>0</v>
      </c>
      <c r="K25" s="561">
        <f>SUMIF(AUB!$B$55:$B$62,'Task 3 - Material summary'!K23,AUB!$C$55:$C$62)</f>
        <v>0</v>
      </c>
      <c r="L25" s="561">
        <f>SUMIF(AUB!$B$55:$B$62,'Task 3 - Material summary'!L23,AUB!$C$55:$C$62)</f>
        <v>6.2954999999999997</v>
      </c>
      <c r="M25" s="561">
        <f>SUM(AUB!J6:J9)</f>
        <v>84.3</v>
      </c>
      <c r="N25" s="561">
        <f>SUM(AUB!K6:K9)</f>
        <v>84.7</v>
      </c>
      <c r="O25" s="561">
        <f>SUM(AUB!L6:L9)</f>
        <v>25.8</v>
      </c>
      <c r="P25" s="561">
        <v>0</v>
      </c>
      <c r="Q25" s="561">
        <f t="shared" ref="Q25:Q39" si="1">SUM(E25:P25)</f>
        <v>996.60689999999977</v>
      </c>
      <c r="R25" s="582">
        <f t="shared" ref="R25:R35" si="2">Q25/$Q$40</f>
        <v>7.7619918450401466E-3</v>
      </c>
    </row>
    <row r="26" spans="2:18" s="118" customFormat="1" ht="28" x14ac:dyDescent="0.3">
      <c r="B26" s="749"/>
      <c r="C26" s="130" t="s">
        <v>15</v>
      </c>
      <c r="D26" s="130" t="s">
        <v>16</v>
      </c>
      <c r="E26" s="561">
        <f>SUMIF(CAUB!$B$43:$B$50,'Task 3 - Material summary'!E23,CAUB!$C$43:$C$50)</f>
        <v>32.816900000000004</v>
      </c>
      <c r="F26" s="561">
        <f>SUMIF(CAUB!$B$43:$B$50,'Task 3 - Material summary'!F23,CAUB!$C$43:$C$50)</f>
        <v>0</v>
      </c>
      <c r="G26" s="561">
        <f>SUMIF(CAUB!$B$43:$B$50,'Task 3 - Material summary'!G23,CAUB!$C$43:$C$50)</f>
        <v>110.62910000000001</v>
      </c>
      <c r="H26" s="561">
        <f>SUMIF(CAUB!$B$43:$B$50,'Task 3 - Material summary'!H23,CAUB!$C$43:$C$50)</f>
        <v>1590.5868000000003</v>
      </c>
      <c r="I26" s="561">
        <f>SUMIF(CAUB!$B$43:$B$50,'Task 3 - Material summary'!I23,CAUB!$C$43:$C$50)</f>
        <v>2.8376000000000001</v>
      </c>
      <c r="J26" s="561">
        <f>SUMIF(CAUB!$B$43:$B$50,'Task 3 - Material summary'!J23,CAUB!$C$43:$C$50)</f>
        <v>0</v>
      </c>
      <c r="K26" s="561">
        <f>SUMIF(CAUB!$B$43:$B$50,'Task 3 - Material summary'!K23,CAUB!$C$43:$C$50)</f>
        <v>0</v>
      </c>
      <c r="L26" s="561">
        <f>SUMIF(CAUB!$B$43:$B$50,'Task 3 - Material summary'!L23,CAUB!$C$43:$C$50)</f>
        <v>17.2453</v>
      </c>
      <c r="M26" s="561">
        <f>SUM(CAUB!J6:J8)</f>
        <v>78.5</v>
      </c>
      <c r="N26" s="561">
        <f>SUM(CAUB!K6:K8)</f>
        <v>129.30000000000001</v>
      </c>
      <c r="O26" s="561">
        <f>SUM(CAUB!L6:L8)</f>
        <v>30.299999999999997</v>
      </c>
      <c r="P26" s="561">
        <v>0</v>
      </c>
      <c r="Q26" s="561">
        <f t="shared" si="1"/>
        <v>1992.2157000000004</v>
      </c>
      <c r="R26" s="582">
        <f t="shared" si="2"/>
        <v>1.5516210069347256E-2</v>
      </c>
    </row>
    <row r="27" spans="2:18" s="118" customFormat="1" ht="14.15" customHeight="1" x14ac:dyDescent="0.3">
      <c r="B27" s="749"/>
      <c r="C27" s="130" t="s">
        <v>17</v>
      </c>
      <c r="D27" s="130" t="s">
        <v>18</v>
      </c>
      <c r="E27" s="561">
        <f>SUMIF(CUB!$B$41:$B$48,'Task 3 - Material summary'!E23,CUB!$C$41:$C$48)</f>
        <v>35.965199999999996</v>
      </c>
      <c r="F27" s="561">
        <f>SUMIF(CUB!$B$41:$B$48,'Task 3 - Material summary'!F23,CUB!$C$41:$C$48)</f>
        <v>0</v>
      </c>
      <c r="G27" s="561">
        <f>SUMIF(CUB!$B$41:$B$48,'Task 3 - Material summary'!G23,CUB!$C$41:$C$48)</f>
        <v>61.095600000000012</v>
      </c>
      <c r="H27" s="561">
        <f>SUMIF(CUB!$B$41:$B$48,'Task 3 - Material summary'!H23,CUB!$C$41:$C$48)</f>
        <v>2042.5704000000003</v>
      </c>
      <c r="I27" s="561">
        <f>SUMIF(CUB!$B$41:$B$48,'Task 3 - Material summary'!I23,CUB!$C$41:$C$48)</f>
        <v>1.6740999999999999</v>
      </c>
      <c r="J27" s="561">
        <f>SUMIF(CUB!$B$41:$B$48,'Task 3 - Material summary'!J23,CUB!$C$41:$C$48)</f>
        <v>0</v>
      </c>
      <c r="K27" s="561">
        <f>SUMIF(CUB!$B$41:$B$48,'Task 3 - Material summary'!K23,CUB!$C$41:$C$48)</f>
        <v>0</v>
      </c>
      <c r="L27" s="561">
        <f>SUMIF(CUB!$B$41:$B$48,'Task 3 - Material summary'!L23,CUB!$C$41:$C$48)</f>
        <v>18.561</v>
      </c>
      <c r="M27" s="561">
        <f>SUM(CUB!J6:J7)</f>
        <v>67.099999999999994</v>
      </c>
      <c r="N27" s="561">
        <f>SUM(CUB!K6:K7)</f>
        <v>88.7</v>
      </c>
      <c r="O27" s="561">
        <f>SUM(CUB!L6:L7)</f>
        <v>25.3</v>
      </c>
      <c r="P27" s="561">
        <v>0</v>
      </c>
      <c r="Q27" s="561">
        <f t="shared" si="1"/>
        <v>2340.9663000000005</v>
      </c>
      <c r="R27" s="582">
        <f t="shared" si="2"/>
        <v>1.8232425774007598E-2</v>
      </c>
    </row>
    <row r="28" spans="2:18" s="118" customFormat="1" ht="14.15" customHeight="1" x14ac:dyDescent="0.3">
      <c r="B28" s="749"/>
      <c r="C28" s="130" t="s">
        <v>19</v>
      </c>
      <c r="D28" s="130" t="s">
        <v>20</v>
      </c>
      <c r="E28" s="561">
        <f>SUMIF(JUB!$B$53:$B$60,'Task 3 - Material summary'!E23,JUB!$C$53:$C$60)</f>
        <v>36.423499999999997</v>
      </c>
      <c r="F28" s="561">
        <f>SUMIF(JUB!$B$53:$B$60,'Task 3 - Material summary'!F23,JUB!$C$53:$C$60)</f>
        <v>0</v>
      </c>
      <c r="G28" s="561">
        <f>SUMIF(JUB!$B$53:$B$60,'Task 3 - Material summary'!G23,JUB!$C$53:$C$60)</f>
        <v>92.624299999999991</v>
      </c>
      <c r="H28" s="561">
        <f>SUMIF(JUB!$B$53:$B$60,'Task 3 - Material summary'!H23,JUB!$C$53:$C$60)</f>
        <v>4689.1874000000007</v>
      </c>
      <c r="I28" s="561">
        <f>SUMIF(JUB!$B$53:$B$60,'Task 3 - Material summary'!I23,JUB!$C$53:$C$60)</f>
        <v>2.302</v>
      </c>
      <c r="J28" s="561">
        <f>SUMIF(JUB!$B$53:$B$60,'Task 3 - Material summary'!J23,JUB!$C$53:$C$60)</f>
        <v>0</v>
      </c>
      <c r="K28" s="561">
        <f>SUMIF(JUB!$B$53:$B$60,'Task 3 - Material summary'!K23,JUB!$C$53:$C$60)</f>
        <v>0</v>
      </c>
      <c r="L28" s="561">
        <f>SUMIF(JUB!$B$53:$B$60,'Task 3 - Material summary'!L23,JUB!$C$53:$C$60)</f>
        <v>14.300799999999997</v>
      </c>
      <c r="M28" s="561">
        <f>SUM(JUB!J6:J7)</f>
        <v>57.5</v>
      </c>
      <c r="N28" s="561">
        <f>SUM(JUB!K6:K7)</f>
        <v>90</v>
      </c>
      <c r="O28" s="561">
        <f>SUM(JUB!L6:L7)</f>
        <v>33.700000000000003</v>
      </c>
      <c r="P28" s="561">
        <v>0</v>
      </c>
      <c r="Q28" s="561">
        <f t="shared" si="1"/>
        <v>5016.0380000000005</v>
      </c>
      <c r="R28" s="582">
        <f t="shared" si="2"/>
        <v>3.9067004302711032E-2</v>
      </c>
    </row>
    <row r="29" spans="2:18" s="118" customFormat="1" ht="14.15" customHeight="1" x14ac:dyDescent="0.3">
      <c r="B29" s="749"/>
      <c r="C29" s="130" t="s">
        <v>21</v>
      </c>
      <c r="D29" s="130" t="s">
        <v>22</v>
      </c>
      <c r="E29" s="561">
        <f>SUMIF(OB!$B$46:$B$53,'Task 3 - Material summary'!E23,OB!$C$46:$C$53)</f>
        <v>16.309800000000003</v>
      </c>
      <c r="F29" s="561">
        <f>SUMIF(OB!$B$46:$B$53,'Task 3 - Material summary'!F23,OB!$C$46:$C$53)</f>
        <v>0</v>
      </c>
      <c r="G29" s="561">
        <f>SUMIF(OB!$B$46:$B$53,'Task 3 - Material summary'!G23,OB!$C$46:$C$53)</f>
        <v>213.32989999999998</v>
      </c>
      <c r="H29" s="561">
        <f>SUMIF(OB!$B$46:$B$53,'Task 3 - Material summary'!H23,OB!$C$46:$C$53)</f>
        <v>5037.8120000000008</v>
      </c>
      <c r="I29" s="561">
        <f>SUMIF(OB!$B$46:$B$53,'Task 3 - Material summary'!I23,OB!$C$46:$C$53)</f>
        <v>6.0743999999999998</v>
      </c>
      <c r="J29" s="561">
        <f>SUMIF(OB!$B$46:$B$53,'Task 3 - Material summary'!J23,OB!$C$46:$C$53)</f>
        <v>0</v>
      </c>
      <c r="K29" s="561">
        <f>SUMIF(OB!$B$46:$B$53,'Task 3 - Material summary'!K23,OB!$C$46:$C$53)</f>
        <v>0</v>
      </c>
      <c r="L29" s="561">
        <f>SUMIF(OB!$B$46:$B$53,'Task 3 - Material summary'!L23,OB!$C$46:$C$53)</f>
        <v>20.660499999999995</v>
      </c>
      <c r="M29" s="561">
        <f>SUM(OB!J6:J9)</f>
        <v>70.5</v>
      </c>
      <c r="N29" s="561">
        <f>SUM(OB!K6:K9)</f>
        <v>310</v>
      </c>
      <c r="O29" s="561">
        <f>SUM(OB!L6:L9)</f>
        <v>77.7</v>
      </c>
      <c r="P29" s="561">
        <v>0</v>
      </c>
      <c r="Q29" s="561">
        <f t="shared" si="1"/>
        <v>5752.3866000000007</v>
      </c>
      <c r="R29" s="582">
        <f t="shared" si="2"/>
        <v>4.4801995529750227E-2</v>
      </c>
    </row>
    <row r="30" spans="2:18" s="118" customFormat="1" ht="14.15" customHeight="1" x14ac:dyDescent="0.3">
      <c r="B30" s="749"/>
      <c r="C30" s="130" t="s">
        <v>23</v>
      </c>
      <c r="D30" s="130" t="s">
        <v>24</v>
      </c>
      <c r="E30" s="561">
        <f>SUMIF(PUP!$B$44:$B$51,'Task 3 - Material summary'!E23,PUP!$C$44:$C$51)</f>
        <v>11.5212</v>
      </c>
      <c r="F30" s="561">
        <f>SUMIF(PUP!$B$44:$B$51,'Task 3 - Material summary'!F23,PUP!$C$44:$C$51)</f>
        <v>0</v>
      </c>
      <c r="G30" s="561">
        <f>SUMIF(PUP!$B$44:$B$51,'Task 3 - Material summary'!G23,PUP!$C$44:$C$51)</f>
        <v>44.121099999999998</v>
      </c>
      <c r="H30" s="561">
        <f>SUMIF(PUP!$B$44:$B$51,'Task 3 - Material summary'!H23,PUP!$C$44:$C$51)</f>
        <v>307.65789999999998</v>
      </c>
      <c r="I30" s="561">
        <f>SUMIF(PUP!$B$44:$B$51,'Task 3 - Material summary'!I23,PUP!$C$44:$C$51)</f>
        <v>1.9366999999999999</v>
      </c>
      <c r="J30" s="561">
        <f>SUMIF(PUP!$B$44:$B$51,'Task 3 - Material summary'!J23,PUP!$C$44:$C$51)</f>
        <v>0</v>
      </c>
      <c r="K30" s="561">
        <f>SUMIF(PUP!$B$44:$B$51,'Task 3 - Material summary'!K23,PUP!$C$44:$C$51)</f>
        <v>0</v>
      </c>
      <c r="L30" s="561">
        <f>SUMIF(PUP!$B$44:$B$51,'Task 3 - Material summary'!L23,PUP!$C$44:$C$51)</f>
        <v>1.4006000000000001</v>
      </c>
      <c r="M30" s="561">
        <f>SUM(PUP!J6:J7)</f>
        <v>19.5</v>
      </c>
      <c r="N30" s="561">
        <f>SUM(PUP!K6:K7)</f>
        <v>43.2</v>
      </c>
      <c r="O30" s="561">
        <f>SUM(PUP!L6:L7)</f>
        <v>14.2</v>
      </c>
      <c r="P30" s="561">
        <v>0</v>
      </c>
      <c r="Q30" s="561">
        <f t="shared" si="1"/>
        <v>443.53749999999991</v>
      </c>
      <c r="R30" s="582">
        <f t="shared" si="2"/>
        <v>3.4544557718489549E-3</v>
      </c>
    </row>
    <row r="31" spans="2:18" s="118" customFormat="1" ht="14.15" customHeight="1" x14ac:dyDescent="0.3">
      <c r="B31" s="749"/>
      <c r="C31" s="130" t="s">
        <v>26</v>
      </c>
      <c r="D31" s="130" t="s">
        <v>27</v>
      </c>
      <c r="E31" s="561">
        <f>SUMIF(RB!$B$45:$B$52,'Task 3 - Material summary'!E23,RB!$C$45:$C$52)</f>
        <v>604.75200000000007</v>
      </c>
      <c r="F31" s="561">
        <f>SUMIF(RB!$B$45:$B$52,'Task 3 - Material summary'!F23,RB!$C$45:$C$52)</f>
        <v>0</v>
      </c>
      <c r="G31" s="561">
        <f>SUMIF(RB!$B$45:$B$52,'Task 3 - Material summary'!G23,RB!$C$45:$C$52)</f>
        <v>2168.578</v>
      </c>
      <c r="H31" s="561">
        <f>SUMIF(RB!$B$45:$B$52,'Task 3 - Material summary'!H23,RB!$C$45:$C$52)</f>
        <v>15139.521700000007</v>
      </c>
      <c r="I31" s="561">
        <f>SUMIF(RB!$B$45:$B$52,'Task 3 - Material summary'!I23,RB!$C$45:$C$52)</f>
        <v>10.968500000000002</v>
      </c>
      <c r="J31" s="561">
        <f>SUMIF(RB!$B$45:$B$52,'Task 3 - Material summary'!J23,RB!$C$45:$C$52)</f>
        <v>0</v>
      </c>
      <c r="K31" s="561">
        <f>SUMIF(RB!$B$45:$B$52,'Task 3 - Material summary'!K23,RB!$C$45:$C$52)</f>
        <v>0</v>
      </c>
      <c r="L31" s="561">
        <f>SUMIF(RB!$B$45:$B$52,'Task 3 - Material summary'!L23,RB!$C$45:$C$52)</f>
        <v>58.927599999999998</v>
      </c>
      <c r="M31" s="561">
        <f>SUM(RB!J6:J9)</f>
        <v>431.3</v>
      </c>
      <c r="N31" s="561">
        <f>SUM(RB!K6:K9)</f>
        <v>595.5</v>
      </c>
      <c r="O31" s="561">
        <f>SUM(RB!L6:L9)</f>
        <v>235.79999999999998</v>
      </c>
      <c r="P31" s="561">
        <v>0</v>
      </c>
      <c r="Q31" s="561">
        <f t="shared" si="1"/>
        <v>19245.347800000003</v>
      </c>
      <c r="R31" s="582">
        <f t="shared" si="2"/>
        <v>0.14989082724448466</v>
      </c>
    </row>
    <row r="32" spans="2:18" s="118" customFormat="1" ht="14.15" customHeight="1" x14ac:dyDescent="0.3">
      <c r="B32" s="749"/>
      <c r="C32" s="130" t="s">
        <v>28</v>
      </c>
      <c r="D32" s="130" t="s">
        <v>29</v>
      </c>
      <c r="E32" s="561">
        <f>SUMIF(UB!$B$48:$B$55,'Task 3 - Material summary'!E23,UB!$C$48:$C$55)</f>
        <v>75.3155</v>
      </c>
      <c r="F32" s="561">
        <f>SUMIF(UB!$B$48:$B$55,'Task 3 - Material summary'!F23,UB!$C$48:$C$55)</f>
        <v>0</v>
      </c>
      <c r="G32" s="561">
        <f>SUMIF(UB!$B$48:$B$55,'Task 3 - Material summary'!G23,UB!$C$48:$C$55)</f>
        <v>286.91989999999998</v>
      </c>
      <c r="H32" s="561">
        <f>SUMIF(UB!$B$48:$B$55,'Task 3 - Material summary'!H23,UB!$C$48:$C$55)</f>
        <v>9221.9107999999997</v>
      </c>
      <c r="I32" s="561">
        <f>SUMIF(UB!$B$48:$B$55,'Task 3 - Material summary'!I23,UB!$C$48:$C$55)</f>
        <v>5.6791999999999998</v>
      </c>
      <c r="J32" s="561">
        <f>SUMIF(UB!$B$48:$B$55,'Task 3 - Material summary'!J23,UB!$C$48:$C$55)</f>
        <v>0</v>
      </c>
      <c r="K32" s="561">
        <f>SUMIF(UB!$B$48:$B$55,'Task 3 - Material summary'!K23,UB!$C$48:$C$55)</f>
        <v>0</v>
      </c>
      <c r="L32" s="561">
        <f>SUMIF(UB!$B$48:$B$55,'Task 3 - Material summary'!L23,UB!$C$48:$C$55)</f>
        <v>36.399199999999993</v>
      </c>
      <c r="M32" s="561">
        <f>SUM(UB!J6:J8)</f>
        <v>116.30000000000001</v>
      </c>
      <c r="N32" s="561">
        <f>SUM(UB!K6:K8)</f>
        <v>295.79999999999995</v>
      </c>
      <c r="O32" s="561">
        <f>SUM(UB!L6:L8)</f>
        <v>98.5</v>
      </c>
      <c r="P32" s="561">
        <f>'Operational Energy'!J10</f>
        <v>101.18</v>
      </c>
      <c r="Q32" s="561">
        <f t="shared" si="1"/>
        <v>10238.004599999998</v>
      </c>
      <c r="R32" s="582">
        <f t="shared" si="2"/>
        <v>7.973786677042223E-2</v>
      </c>
    </row>
    <row r="33" spans="2:18" s="118" customFormat="1" ht="14.15" customHeight="1" x14ac:dyDescent="0.3">
      <c r="B33" s="749"/>
      <c r="C33" s="130" t="s">
        <v>30</v>
      </c>
      <c r="D33" s="130" t="s">
        <v>280</v>
      </c>
      <c r="E33" s="561">
        <f>SUMIF('C'!$B$43:$B$50,E23,'C'!$C$43:$C$50)</f>
        <v>33.441099999999999</v>
      </c>
      <c r="F33" s="561">
        <f>SUMIF('C'!$B$43:$B$50,F23,'C'!$C$43:$C$50)</f>
        <v>0</v>
      </c>
      <c r="G33" s="561">
        <f>SUMIF('C'!$B$43:$B$50,G23,'C'!$C$43:$C$50)</f>
        <v>135.13380000000001</v>
      </c>
      <c r="H33" s="561">
        <f>SUMIF('C'!$B$43:$B$50,H23,'C'!$C$43:$C$50)</f>
        <v>1484.0345871285706</v>
      </c>
      <c r="I33" s="561">
        <f>SUMIF('C'!$B$43:$B$50,I23,'C'!$C$43:$C$50)</f>
        <v>4.4846000000000004</v>
      </c>
      <c r="J33" s="561">
        <f>SUMIF('C'!$B$43:$B$50,J23,'C'!$C$43:$C$50)</f>
        <v>0</v>
      </c>
      <c r="K33" s="561">
        <f>SUMIF('C'!$B$43:$B$50,K23,'C'!$C$43:$C$50)</f>
        <v>0.18410000000000001</v>
      </c>
      <c r="L33" s="561">
        <f>SUMIF('C'!$B$43:$B$50,L23,'C'!$C$43:$C$50)</f>
        <v>34.695500000000003</v>
      </c>
      <c r="M33" s="561">
        <f>'C'!J6</f>
        <v>142</v>
      </c>
      <c r="N33" s="561">
        <f>'C'!K6</f>
        <v>410.2</v>
      </c>
      <c r="O33" s="561">
        <f>'C'!L6</f>
        <v>94.4</v>
      </c>
      <c r="P33" s="561">
        <v>0</v>
      </c>
      <c r="Q33" s="561">
        <f t="shared" si="1"/>
        <v>2338.5736871285708</v>
      </c>
      <c r="R33" s="582">
        <f t="shared" si="2"/>
        <v>1.8213791103109399E-2</v>
      </c>
    </row>
    <row r="34" spans="2:18" s="118" customFormat="1" ht="14.15" customHeight="1" x14ac:dyDescent="0.3">
      <c r="B34" s="749"/>
      <c r="C34" s="130" t="s">
        <v>32</v>
      </c>
      <c r="D34" s="130" t="s">
        <v>33</v>
      </c>
      <c r="E34" s="561">
        <f>SUMIF(SR!$B$37:$B$44,'Task 3 - Material summary'!E23,SR!$C$37:$C$44)</f>
        <v>62.980699999999999</v>
      </c>
      <c r="F34" s="561">
        <f>SUMIF(SR!$B$37:$B$44,'Task 3 - Material summary'!F23,SR!$C$37:$C$44)</f>
        <v>338.2201</v>
      </c>
      <c r="G34" s="561">
        <f>SUMIF(SR!$B$37:$B$44,'Task 3 - Material summary'!G23,SR!$C$37:$C$44)</f>
        <v>0</v>
      </c>
      <c r="H34" s="561">
        <f>SUMIF(SR!$B$37:$B$44,'Task 3 - Material summary'!H23,SR!$C$37:$C$44)</f>
        <v>57.788599999999995</v>
      </c>
      <c r="I34" s="561">
        <f>SUMIF(SR!$B$37:$B$44,'Task 3 - Material summary'!I23,SR!$C$37:$C$44)</f>
        <v>0</v>
      </c>
      <c r="J34" s="561">
        <f>SUMIF(SR!$B$37:$B$44,'Task 3 - Material summary'!J23,SR!$C$37:$C$44)</f>
        <v>0</v>
      </c>
      <c r="K34" s="561">
        <f>SUMIF(SR!$B$37:$B$44,'Task 3 - Material summary'!K23,SR!$C$37:$C$44)</f>
        <v>14.195399999999999</v>
      </c>
      <c r="L34" s="561">
        <f>SUMIF(SR!$B$37:$B$44,'Task 3 - Material summary'!L23,SR!$C$37:$C$44)</f>
        <v>52.943899999999999</v>
      </c>
      <c r="M34" s="561">
        <f>SR!H6</f>
        <v>68.3</v>
      </c>
      <c r="N34" s="561">
        <f>SR!I6</f>
        <v>886.2</v>
      </c>
      <c r="O34" s="561">
        <f>SR!J6</f>
        <v>124.8</v>
      </c>
      <c r="P34" s="561">
        <v>0</v>
      </c>
      <c r="Q34" s="561">
        <f t="shared" si="1"/>
        <v>1605.4286999999999</v>
      </c>
      <c r="R34" s="582">
        <f t="shared" si="2"/>
        <v>1.2503750954557314E-2</v>
      </c>
    </row>
    <row r="35" spans="2:18" s="118" customFormat="1" ht="14.15" customHeight="1" x14ac:dyDescent="0.3">
      <c r="B35" s="749"/>
      <c r="C35" s="130" t="s">
        <v>34</v>
      </c>
      <c r="D35" s="130" t="s">
        <v>35</v>
      </c>
      <c r="E35" s="561">
        <f>SUMIF(J!$B$49:$B$56,'Task 3 - Material summary'!E23,J!$C$49:$C$56)</f>
        <v>172.84839999999997</v>
      </c>
      <c r="F35" s="561">
        <f>SUMIF(J!$B$49:$B$56,'Task 3 - Material summary'!F23,J!$C$49:$C$56)</f>
        <v>456.75109999999995</v>
      </c>
      <c r="G35" s="561">
        <f>SUMIF(J!$B$49:$B$56,'Task 3 - Material summary'!G23,J!$C$49:$C$56)</f>
        <v>0</v>
      </c>
      <c r="H35" s="561">
        <f>SUMIF(J!$B$49:$B$56,'Task 3 - Material summary'!H23,J!$C$49:$C$56)</f>
        <v>95.289299999999969</v>
      </c>
      <c r="I35" s="561">
        <f>SUMIF(J!$B$49:$B$56,'Task 3 - Material summary'!I23,J!$C$49:$C$56)</f>
        <v>0</v>
      </c>
      <c r="J35" s="561">
        <f>SUMIF(J!$B$49:$B$56,'Task 3 - Material summary'!J23,J!$C$49:$C$56)</f>
        <v>0</v>
      </c>
      <c r="K35" s="561">
        <f>SUMIF(J!$B$49:$B$56,'Task 3 - Material summary'!K23,J!$C$49:$C$56)</f>
        <v>20.428100000000001</v>
      </c>
      <c r="L35" s="561">
        <f>SUMIF(J!$B$49:$B$56,'Task 3 - Material summary'!L23,J!$C$49:$C$56)</f>
        <v>76.163399999999996</v>
      </c>
      <c r="M35" s="561">
        <f>SUM(J!J6:J10)</f>
        <v>98.2</v>
      </c>
      <c r="N35" s="561">
        <f>SUM(J!K6:K10)</f>
        <v>1215.3</v>
      </c>
      <c r="O35" s="561">
        <f>SUM(J!L6:L10)</f>
        <v>152.30000000000001</v>
      </c>
      <c r="P35" s="561">
        <f>J!P11</f>
        <v>1663.3799999999999</v>
      </c>
      <c r="Q35" s="561">
        <f t="shared" si="1"/>
        <v>3950.6603000000005</v>
      </c>
      <c r="R35" s="582">
        <f t="shared" si="2"/>
        <v>3.0769396670968133E-2</v>
      </c>
    </row>
    <row r="36" spans="2:18" s="118" customFormat="1" ht="14.15" customHeight="1" x14ac:dyDescent="0.3">
      <c r="B36" s="750"/>
      <c r="C36" s="130" t="s">
        <v>166</v>
      </c>
      <c r="D36" s="130" t="s">
        <v>279</v>
      </c>
      <c r="E36" s="561">
        <f>SUMIF(M!$J$68:$J$123,'Task 3 - Material summary'!E23,M!$H$68:$H$123)</f>
        <v>1431.1969999999999</v>
      </c>
      <c r="F36" s="561">
        <f>SUMIF(M!$J$68:$J$123,'Task 3 - Material summary'!F23,M!$H$68:$H$123)</f>
        <v>7426.4555</v>
      </c>
      <c r="G36" s="561">
        <f>SUMIF(M!$J$68:$J$123,'Task 3 - Material summary'!G23,M!$H$68:$H$123)</f>
        <v>4987.0962</v>
      </c>
      <c r="H36" s="561">
        <f>SUMIF(M!$J$68:$J$123,'Task 3 - Material summary'!H23,M!$H$68:$H$123)</f>
        <v>11629.878299999998</v>
      </c>
      <c r="I36" s="561">
        <f>SUMIF(M!$J$68:$J$123,'Task 3 - Material summary'!I23,M!$H$68:$H$123)</f>
        <v>612.18779999999992</v>
      </c>
      <c r="J36" s="561">
        <f>SUMIF(M!$J$68:$J$123,'Task 3 - Material summary'!J23,M!$H$68:$H$123)</f>
        <v>12.5367</v>
      </c>
      <c r="K36" s="561">
        <f>SUMIF(M!$J$68:$J$123,'Task 3 - Material summary'!K23,M!$H$68:$H$123)</f>
        <v>0.1071</v>
      </c>
      <c r="L36" s="561">
        <f>SUMIF(M!$J$68:$J$123,'Task 3 - Material summary'!L23,M!$H$68:$H$123)</f>
        <v>4744.3033999999998</v>
      </c>
      <c r="M36" s="561">
        <f>M!H6</f>
        <v>1808.2</v>
      </c>
      <c r="N36" s="561">
        <f>SUM(M!I6:L6)</f>
        <v>29258.7</v>
      </c>
      <c r="O36" s="561">
        <f>M!M6</f>
        <v>2609.1</v>
      </c>
      <c r="P36" s="561">
        <f>M!Q7</f>
        <v>63.91</v>
      </c>
      <c r="Q36" s="561">
        <f t="shared" si="1"/>
        <v>64583.672000000006</v>
      </c>
      <c r="R36" s="582">
        <f>Q36/$Q$40</f>
        <v>0.50300468056838443</v>
      </c>
    </row>
    <row r="37" spans="2:18" s="118" customFormat="1" ht="36.65" customHeight="1" x14ac:dyDescent="0.3">
      <c r="B37" s="747" t="s">
        <v>694</v>
      </c>
      <c r="C37" s="130" t="s">
        <v>13</v>
      </c>
      <c r="D37" s="130" t="s">
        <v>14</v>
      </c>
      <c r="E37" s="575">
        <f>'Other structures'!$C$30*_xlfn.XLOOKUP(E23,AUB!$B$55:$B$62,AUB!$G$55:$G$62)</f>
        <v>105.7578586940211</v>
      </c>
      <c r="F37" s="575">
        <f>'Other structures'!$C$30*_xlfn.XLOOKUP(F23,AUB!$B$55:$B$62,AUB!$G$55:$G$62)</f>
        <v>0</v>
      </c>
      <c r="G37" s="575">
        <f>'Other structures'!$C$30*_xlfn.XLOOKUP(G23,AUB!$B$55:$B$62,AUB!$G$55:$G$62)</f>
        <v>266.8574619454817</v>
      </c>
      <c r="H37" s="575">
        <f>'Other structures'!$C$30*_xlfn.XLOOKUP(H23,AUB!$B$55:$B$62,AUB!$G$55:$G$62)</f>
        <v>1536.1043791978439</v>
      </c>
      <c r="I37" s="575">
        <f>'Other structures'!$C$30*_xlfn.XLOOKUP(I23,AUB!$B$55:$B$62,AUB!$G$55:$G$62)</f>
        <v>12.250567825814628</v>
      </c>
      <c r="J37" s="575">
        <f>'Other structures'!$C$30*_xlfn.XLOOKUP(J23,AUB!$B$55:$B$62,AUB!$G$55:$G$62)</f>
        <v>0</v>
      </c>
      <c r="K37" s="575">
        <f>'Other structures'!$C$30*_xlfn.XLOOKUP(K23,AUB!$B$55:$B$62,AUB!$G$55:$G$62)</f>
        <v>0</v>
      </c>
      <c r="L37" s="575">
        <f>'Other structures'!$C$30*_xlfn.XLOOKUP(L23,AUB!$B$55:$B$62,AUB!$G$55:$G$62)</f>
        <v>15.20213075522668</v>
      </c>
      <c r="M37" s="575">
        <f>'Other structures'!C30*AUB!D25</f>
        <v>206.95717952148527</v>
      </c>
      <c r="N37" s="575">
        <f>'Other structures'!C30*AUB!D26</f>
        <v>212.554559706953</v>
      </c>
      <c r="O37" s="575">
        <f>'Other structures'!C30*AUB!D27</f>
        <v>65.449224561293036</v>
      </c>
      <c r="P37" s="561">
        <v>0</v>
      </c>
      <c r="Q37" s="561">
        <f t="shared" si="1"/>
        <v>2421.1333622081197</v>
      </c>
      <c r="R37" s="582">
        <f t="shared" ref="R37:R39" si="3">Q37/$Q$40</f>
        <v>1.8856800422728422E-2</v>
      </c>
    </row>
    <row r="38" spans="2:18" s="118" customFormat="1" ht="36.65" customHeight="1" x14ac:dyDescent="0.3">
      <c r="B38" s="747"/>
      <c r="C38" s="130" t="s">
        <v>19</v>
      </c>
      <c r="D38" s="130" t="s">
        <v>20</v>
      </c>
      <c r="E38" s="561">
        <f>'Other structures'!$C$31*_xlfn.XLOOKUP(E23,JUB!$B$53:$B$60,JUB!$G$53:$G$60)</f>
        <v>29.770885391823992</v>
      </c>
      <c r="F38" s="561">
        <f>'Other structures'!$C$31*_xlfn.XLOOKUP(F23,JUB!$B$53:$B$60,JUB!$G$53:$G$60)</f>
        <v>0</v>
      </c>
      <c r="G38" s="561">
        <f>'Other structures'!$C$31*_xlfn.XLOOKUP(G23,JUB!$B$53:$B$60,JUB!$G$53:$G$60)</f>
        <v>75.706821689236975</v>
      </c>
      <c r="H38" s="561">
        <f>'Other structures'!$C$31*_xlfn.XLOOKUP(H23,JUB!$B$53:$B$60,JUB!$G$53:$G$60)</f>
        <v>3832.7250447152292</v>
      </c>
      <c r="I38" s="561">
        <f>'Other structures'!$C$31*_xlfn.XLOOKUP(I23,JUB!$B$53:$B$60,JUB!$G$53:$G$60)</f>
        <v>1.8815484006748073</v>
      </c>
      <c r="J38" s="561">
        <f>'Other structures'!$C$31*_xlfn.XLOOKUP(J23,JUB!$B$53:$B$60,JUB!$G$53:$G$60)</f>
        <v>0</v>
      </c>
      <c r="K38" s="561">
        <f>'Other structures'!$C$31*_xlfn.XLOOKUP(K23,JUB!$B$53:$B$60,JUB!$G$53:$G$60)</f>
        <v>0</v>
      </c>
      <c r="L38" s="561">
        <f>'Other structures'!$C$31*_xlfn.XLOOKUP(L23,JUB!$B$53:$B$60,JUB!$G$53:$G$60)</f>
        <v>11.688812931524879</v>
      </c>
      <c r="M38" s="575">
        <f>'Other structures'!C31*JUB!D23</f>
        <v>46.957501995211501</v>
      </c>
      <c r="N38" s="575">
        <f>'Other structures'!C31*JUB!D24</f>
        <v>73.45842286205415</v>
      </c>
      <c r="O38" s="575">
        <f>'Other structures'!C31*JUB!D25</f>
        <v>27.522346368715084</v>
      </c>
      <c r="P38" s="561">
        <v>0</v>
      </c>
      <c r="Q38" s="561">
        <f t="shared" si="1"/>
        <v>4099.7113843544712</v>
      </c>
      <c r="R38" s="582">
        <f t="shared" si="3"/>
        <v>3.1930268927876843E-2</v>
      </c>
    </row>
    <row r="39" spans="2:18" s="118" customFormat="1" ht="36.65" customHeight="1" x14ac:dyDescent="0.3">
      <c r="B39" s="747"/>
      <c r="C39" s="130" t="s">
        <v>28</v>
      </c>
      <c r="D39" s="130" t="s">
        <v>29</v>
      </c>
      <c r="E39" s="561">
        <f>'Other structures'!$C$32*_xlfn.XLOOKUP('Task 3 - Material summary'!E23,UB!$B$48:$B$55,UB!$G$48:$G$55)</f>
        <v>20.100391006205928</v>
      </c>
      <c r="F39" s="561">
        <f>'Other structures'!$C$32*_xlfn.XLOOKUP('Task 3 - Material summary'!F23,UB!$B$48:$B$55,UB!$G$48:$G$55)</f>
        <v>0</v>
      </c>
      <c r="G39" s="561">
        <f>'Other structures'!$C$32*_xlfn.XLOOKUP('Task 3 - Material summary'!G23,UB!$B$48:$B$55,UB!$G$48:$G$55)</f>
        <v>76.573908125970135</v>
      </c>
      <c r="H39" s="561">
        <f>'Other structures'!$C$32*_xlfn.XLOOKUP('Task 3 - Material summary'!H23,UB!$B$48:$B$55,UB!$G$48:$G$55)</f>
        <v>2461.1668634524544</v>
      </c>
      <c r="I39" s="561">
        <f>'Other structures'!$C$32*_xlfn.XLOOKUP('Task 3 - Material summary'!I23,UB!$B$48:$B$55,UB!$G$48:$G$55)</f>
        <v>1.515679250651522</v>
      </c>
      <c r="J39" s="561">
        <f>'Other structures'!$C$32*_xlfn.XLOOKUP('Task 3 - Material summary'!J23,UB!$B$48:$B$55,UB!$G$48:$G$55)</f>
        <v>0</v>
      </c>
      <c r="K39" s="561">
        <f>'Other structures'!$C$32*_xlfn.XLOOKUP('Task 3 - Material summary'!K23,UB!$B$48:$B$55,UB!$G$48:$G$55)</f>
        <v>0</v>
      </c>
      <c r="L39" s="561">
        <f>'Other structures'!$C$32*_xlfn.XLOOKUP('Task 3 - Material summary'!L23,UB!$B$48:$B$55,UB!$G$48:$G$55)</f>
        <v>9.7143104980129014</v>
      </c>
      <c r="M39" s="575">
        <f>'Other structures'!C32*UB!D24</f>
        <v>58.050310135792827</v>
      </c>
      <c r="N39" s="575">
        <f>'Other structures'!C32*UB!D25</f>
        <v>112.08315397885525</v>
      </c>
      <c r="O39" s="575">
        <f>'Other structures'!C32*UB!D26</f>
        <v>39.147414731932038</v>
      </c>
      <c r="P39" s="561">
        <v>0</v>
      </c>
      <c r="Q39" s="561">
        <f t="shared" si="1"/>
        <v>2778.3520311798748</v>
      </c>
      <c r="R39" s="582">
        <f t="shared" si="3"/>
        <v>2.1638968994363697E-2</v>
      </c>
    </row>
    <row r="40" spans="2:18" s="118" customFormat="1" ht="36.65" customHeight="1" thickBot="1" x14ac:dyDescent="0.35">
      <c r="B40" s="544"/>
      <c r="C40" s="140" t="s">
        <v>347</v>
      </c>
      <c r="D40" s="545"/>
      <c r="E40" s="563">
        <f>SUM(E24:E39)</f>
        <v>2715.031135092051</v>
      </c>
      <c r="F40" s="563">
        <f t="shared" ref="F40:P40" si="4">SUM(F24:F39)</f>
        <v>8221.4267</v>
      </c>
      <c r="G40" s="563">
        <f t="shared" si="4"/>
        <v>8737.7473917606876</v>
      </c>
      <c r="H40" s="563">
        <f t="shared" si="4"/>
        <v>60115.080274494103</v>
      </c>
      <c r="I40" s="563">
        <f t="shared" si="4"/>
        <v>670.17709547714082</v>
      </c>
      <c r="J40" s="563">
        <f t="shared" si="4"/>
        <v>12.5367</v>
      </c>
      <c r="K40" s="563">
        <f t="shared" si="4"/>
        <v>34.914700000000003</v>
      </c>
      <c r="L40" s="563">
        <f t="shared" si="4"/>
        <v>5124.8033541847644</v>
      </c>
      <c r="M40" s="563">
        <f t="shared" si="4"/>
        <v>3376.7649916524897</v>
      </c>
      <c r="N40" s="563">
        <f t="shared" si="4"/>
        <v>33873.096136547858</v>
      </c>
      <c r="O40" s="563">
        <f t="shared" si="4"/>
        <v>3685.7189856619407</v>
      </c>
      <c r="P40" s="563">
        <f t="shared" si="4"/>
        <v>1828.47</v>
      </c>
      <c r="Q40" s="563">
        <f>SUM(E40:P40)</f>
        <v>128395.76746487101</v>
      </c>
      <c r="R40" s="619">
        <f>SUM(R24:R39)</f>
        <v>1.0000000000000004</v>
      </c>
    </row>
    <row r="41" spans="2:18" x14ac:dyDescent="0.35">
      <c r="E41" s="292"/>
      <c r="F41" s="292"/>
      <c r="G41" s="292"/>
      <c r="H41" s="292"/>
      <c r="I41" s="292"/>
      <c r="J41" s="292"/>
      <c r="K41" s="292"/>
      <c r="L41" s="292"/>
      <c r="M41" s="292"/>
      <c r="N41" s="292"/>
      <c r="O41" s="292"/>
      <c r="P41" s="292"/>
      <c r="R41" s="588"/>
    </row>
    <row r="42" spans="2:18" ht="31" customHeight="1" thickBot="1" x14ac:dyDescent="0.4">
      <c r="B42" s="251" t="s">
        <v>718</v>
      </c>
    </row>
    <row r="43" spans="2:18" ht="31.5" thickBot="1" x14ac:dyDescent="0.4">
      <c r="B43" s="585"/>
      <c r="C43" s="586" t="s">
        <v>37</v>
      </c>
      <c r="D43" s="586" t="s">
        <v>738</v>
      </c>
      <c r="E43" s="587" t="s">
        <v>328</v>
      </c>
      <c r="F43" s="587" t="s">
        <v>329</v>
      </c>
      <c r="G43" s="587" t="s">
        <v>330</v>
      </c>
      <c r="H43" s="587" t="s">
        <v>338</v>
      </c>
      <c r="I43" s="587" t="s">
        <v>337</v>
      </c>
      <c r="J43" s="587" t="s">
        <v>341</v>
      </c>
      <c r="K43" s="587" t="s">
        <v>340</v>
      </c>
      <c r="L43" s="587" t="s">
        <v>339</v>
      </c>
      <c r="M43" s="587" t="s">
        <v>421</v>
      </c>
      <c r="N43" s="587" t="s">
        <v>423</v>
      </c>
      <c r="O43" s="587" t="s">
        <v>422</v>
      </c>
      <c r="P43" s="142" t="s">
        <v>332</v>
      </c>
      <c r="Q43" s="591" t="s">
        <v>333</v>
      </c>
      <c r="R43" s="47" t="s">
        <v>437</v>
      </c>
    </row>
    <row r="44" spans="2:18" ht="31" customHeight="1" x14ac:dyDescent="0.35">
      <c r="B44" s="743" t="s">
        <v>719</v>
      </c>
      <c r="C44" s="130" t="s">
        <v>11</v>
      </c>
      <c r="D44" s="130" t="s">
        <v>12</v>
      </c>
      <c r="E44" s="170">
        <f>SUMIF($C$24:$C$39,C44,$E$24:$E$39)</f>
        <v>2.0343</v>
      </c>
      <c r="F44" s="170">
        <f>SUMIF($C$24:$C$39,C44,$F$24:$F$39)</f>
        <v>0</v>
      </c>
      <c r="G44" s="170">
        <f>SUMIF($C$24:$C$39,C44,$G$24:$G$39)</f>
        <v>108.57039999999999</v>
      </c>
      <c r="H44" s="170">
        <f>SUMIF($C$24:$C$39,C44,$H$24:$H$39)</f>
        <v>352.71530000000001</v>
      </c>
      <c r="I44" s="170">
        <f>SUMIF($C$24:$C$39,C44,$I$24:$I$39)</f>
        <v>1.3111999999999999</v>
      </c>
      <c r="J44" s="170">
        <f>SUMIF($C$24:$C$39,C44,$J$24:$J$39)</f>
        <v>0</v>
      </c>
      <c r="K44" s="170">
        <f>SUMIF($C$24:$C$39,C44,$K$24:$K$39)</f>
        <v>0</v>
      </c>
      <c r="L44" s="170">
        <f>SUMIF($C$24:$C$39,C44,$L$24:$L$39)</f>
        <v>6.3014000000000001</v>
      </c>
      <c r="M44" s="170">
        <f>SUMIF($C$24:$C$39,C44,$M$24:$M$39)</f>
        <v>23.1</v>
      </c>
      <c r="N44" s="170">
        <f>SUMIF($C$24:$C$39,C44,$N$24:$N$39)</f>
        <v>67.400000000000006</v>
      </c>
      <c r="O44" s="170">
        <f>SUMIF($C$24:$C$39,C44,$O$24:$O$39)</f>
        <v>31.7</v>
      </c>
      <c r="P44" s="170">
        <f>SUMIF($C$24:$C$39,C44,$P$24:$P$39)</f>
        <v>0</v>
      </c>
      <c r="Q44" s="241">
        <f>SUM(E44:P44)</f>
        <v>593.13260000000002</v>
      </c>
      <c r="R44" s="582">
        <f>Q44/$Q$57</f>
        <v>4.6195650503999715E-3</v>
      </c>
    </row>
    <row r="45" spans="2:18" ht="14.5" customHeight="1" x14ac:dyDescent="0.35">
      <c r="B45" s="744"/>
      <c r="C45" s="130" t="s">
        <v>13</v>
      </c>
      <c r="D45" s="130" t="s">
        <v>14</v>
      </c>
      <c r="E45" s="170">
        <f t="shared" ref="E45:E56" si="5">SUMIF($C$24:$C$39,C45,$E$24:$E$39)</f>
        <v>149.55425869402109</v>
      </c>
      <c r="F45" s="170">
        <f t="shared" ref="F45:F56" si="6">SUMIF($C$24:$C$39,C45,$F$24:$F$39)</f>
        <v>0</v>
      </c>
      <c r="G45" s="170">
        <f t="shared" ref="G45:G56" si="7">SUMIF($C$24:$C$39,C45,$G$24:$G$39)</f>
        <v>377.36836194548169</v>
      </c>
      <c r="H45" s="170">
        <f t="shared" ref="H45:H56" si="8">SUMIF($C$24:$C$39,C45,$H$24:$H$39)</f>
        <v>2172.2352791978437</v>
      </c>
      <c r="I45" s="170">
        <f t="shared" ref="I45:I56" si="9">SUMIF($C$24:$C$39,C45,$I$24:$I$39)</f>
        <v>17.323767825814627</v>
      </c>
      <c r="J45" s="170">
        <f t="shared" ref="J45:J56" si="10">SUMIF($C$24:$C$39,C45,$J$24:$J$39)</f>
        <v>0</v>
      </c>
      <c r="K45" s="170">
        <f t="shared" ref="K45:K56" si="11">SUMIF($C$24:$C$39,C45,$K$24:$K$39)</f>
        <v>0</v>
      </c>
      <c r="L45" s="170">
        <f t="shared" ref="L45:L56" si="12">SUMIF($C$24:$C$39,C45,$L$24:$L$39)</f>
        <v>21.49763075522668</v>
      </c>
      <c r="M45" s="170">
        <f t="shared" ref="M45:M56" si="13">SUMIF($C$24:$C$39,C45,$M$24:$M$39)</f>
        <v>291.25717952148528</v>
      </c>
      <c r="N45" s="170">
        <f t="shared" ref="N45:N56" si="14">SUMIF($C$24:$C$39,C45,$N$24:$N$39)</f>
        <v>297.25455970695299</v>
      </c>
      <c r="O45" s="170">
        <f t="shared" ref="O45:O56" si="15">SUMIF($C$24:$C$39,C45,$O$24:$O$39)</f>
        <v>91.249224561293033</v>
      </c>
      <c r="P45" s="170">
        <f t="shared" ref="P45:P56" si="16">SUMIF($C$24:$C$39,C45,$P$24:$P$39)</f>
        <v>0</v>
      </c>
      <c r="Q45" s="241">
        <f t="shared" ref="Q45:Q56" si="17">SUM(E45:P45)</f>
        <v>3417.740262208119</v>
      </c>
      <c r="R45" s="582">
        <f t="shared" ref="R45:R56" si="18">Q45/$Q$57</f>
        <v>2.6618792267768556E-2</v>
      </c>
    </row>
    <row r="46" spans="2:18" ht="28" x14ac:dyDescent="0.35">
      <c r="B46" s="744"/>
      <c r="C46" s="130" t="s">
        <v>15</v>
      </c>
      <c r="D46" s="130" t="s">
        <v>16</v>
      </c>
      <c r="E46" s="170">
        <f t="shared" si="5"/>
        <v>32.816900000000004</v>
      </c>
      <c r="F46" s="170">
        <f t="shared" si="6"/>
        <v>0</v>
      </c>
      <c r="G46" s="170">
        <f t="shared" si="7"/>
        <v>110.62910000000001</v>
      </c>
      <c r="H46" s="170">
        <f t="shared" si="8"/>
        <v>1590.5868000000003</v>
      </c>
      <c r="I46" s="170">
        <f t="shared" si="9"/>
        <v>2.8376000000000001</v>
      </c>
      <c r="J46" s="170">
        <f t="shared" si="10"/>
        <v>0</v>
      </c>
      <c r="K46" s="170">
        <f t="shared" si="11"/>
        <v>0</v>
      </c>
      <c r="L46" s="170">
        <f t="shared" si="12"/>
        <v>17.2453</v>
      </c>
      <c r="M46" s="170">
        <f t="shared" si="13"/>
        <v>78.5</v>
      </c>
      <c r="N46" s="170">
        <f t="shared" si="14"/>
        <v>129.30000000000001</v>
      </c>
      <c r="O46" s="170">
        <f t="shared" si="15"/>
        <v>30.299999999999997</v>
      </c>
      <c r="P46" s="170">
        <f t="shared" si="16"/>
        <v>0</v>
      </c>
      <c r="Q46" s="241">
        <f t="shared" si="17"/>
        <v>1992.2157000000004</v>
      </c>
      <c r="R46" s="582">
        <f t="shared" si="18"/>
        <v>1.5516210069347251E-2</v>
      </c>
    </row>
    <row r="47" spans="2:18" ht="14.5" customHeight="1" x14ac:dyDescent="0.35">
      <c r="B47" s="744"/>
      <c r="C47" s="130" t="s">
        <v>17</v>
      </c>
      <c r="D47" s="130" t="s">
        <v>18</v>
      </c>
      <c r="E47" s="170">
        <f t="shared" si="5"/>
        <v>35.965199999999996</v>
      </c>
      <c r="F47" s="170">
        <f t="shared" si="6"/>
        <v>0</v>
      </c>
      <c r="G47" s="170">
        <f t="shared" si="7"/>
        <v>61.095600000000012</v>
      </c>
      <c r="H47" s="170">
        <f t="shared" si="8"/>
        <v>2042.5704000000003</v>
      </c>
      <c r="I47" s="170">
        <f t="shared" si="9"/>
        <v>1.6740999999999999</v>
      </c>
      <c r="J47" s="170">
        <f t="shared" si="10"/>
        <v>0</v>
      </c>
      <c r="K47" s="170">
        <f t="shared" si="11"/>
        <v>0</v>
      </c>
      <c r="L47" s="170">
        <f t="shared" si="12"/>
        <v>18.561</v>
      </c>
      <c r="M47" s="170">
        <f t="shared" si="13"/>
        <v>67.099999999999994</v>
      </c>
      <c r="N47" s="170">
        <f t="shared" si="14"/>
        <v>88.7</v>
      </c>
      <c r="O47" s="170">
        <f t="shared" si="15"/>
        <v>25.3</v>
      </c>
      <c r="P47" s="170">
        <f t="shared" si="16"/>
        <v>0</v>
      </c>
      <c r="Q47" s="241">
        <f t="shared" si="17"/>
        <v>2340.9663000000005</v>
      </c>
      <c r="R47" s="582">
        <f t="shared" si="18"/>
        <v>1.8232425774007594E-2</v>
      </c>
    </row>
    <row r="48" spans="2:18" ht="14.5" customHeight="1" x14ac:dyDescent="0.35">
      <c r="B48" s="744"/>
      <c r="C48" s="130" t="s">
        <v>19</v>
      </c>
      <c r="D48" s="130" t="s">
        <v>20</v>
      </c>
      <c r="E48" s="170">
        <f t="shared" si="5"/>
        <v>66.194385391823985</v>
      </c>
      <c r="F48" s="170">
        <f t="shared" si="6"/>
        <v>0</v>
      </c>
      <c r="G48" s="170">
        <f t="shared" si="7"/>
        <v>168.33112168923697</v>
      </c>
      <c r="H48" s="170">
        <f t="shared" si="8"/>
        <v>8521.9124447152299</v>
      </c>
      <c r="I48" s="170">
        <f t="shared" si="9"/>
        <v>4.1835484006748072</v>
      </c>
      <c r="J48" s="170">
        <f t="shared" si="10"/>
        <v>0</v>
      </c>
      <c r="K48" s="170">
        <f t="shared" si="11"/>
        <v>0</v>
      </c>
      <c r="L48" s="170">
        <f t="shared" si="12"/>
        <v>25.989612931524874</v>
      </c>
      <c r="M48" s="170">
        <f t="shared" si="13"/>
        <v>104.4575019952115</v>
      </c>
      <c r="N48" s="170">
        <f t="shared" si="14"/>
        <v>163.45842286205414</v>
      </c>
      <c r="O48" s="170">
        <f t="shared" si="15"/>
        <v>61.222346368715087</v>
      </c>
      <c r="P48" s="170">
        <f t="shared" si="16"/>
        <v>0</v>
      </c>
      <c r="Q48" s="241">
        <f t="shared" si="17"/>
        <v>9115.7493843544726</v>
      </c>
      <c r="R48" s="582">
        <f t="shared" si="18"/>
        <v>7.0997273230587854E-2</v>
      </c>
    </row>
    <row r="49" spans="2:24" ht="14.5" customHeight="1" x14ac:dyDescent="0.35">
      <c r="B49" s="744"/>
      <c r="C49" s="130" t="s">
        <v>21</v>
      </c>
      <c r="D49" s="130" t="s">
        <v>22</v>
      </c>
      <c r="E49" s="170">
        <f t="shared" si="5"/>
        <v>16.309800000000003</v>
      </c>
      <c r="F49" s="170">
        <f t="shared" si="6"/>
        <v>0</v>
      </c>
      <c r="G49" s="170">
        <f t="shared" si="7"/>
        <v>213.32989999999998</v>
      </c>
      <c r="H49" s="170">
        <f t="shared" si="8"/>
        <v>5037.8120000000008</v>
      </c>
      <c r="I49" s="170">
        <f t="shared" si="9"/>
        <v>6.0743999999999998</v>
      </c>
      <c r="J49" s="170">
        <f t="shared" si="10"/>
        <v>0</v>
      </c>
      <c r="K49" s="170">
        <f t="shared" si="11"/>
        <v>0</v>
      </c>
      <c r="L49" s="170">
        <f t="shared" si="12"/>
        <v>20.660499999999995</v>
      </c>
      <c r="M49" s="170">
        <f t="shared" si="13"/>
        <v>70.5</v>
      </c>
      <c r="N49" s="170">
        <f t="shared" si="14"/>
        <v>310</v>
      </c>
      <c r="O49" s="170">
        <f t="shared" si="15"/>
        <v>77.7</v>
      </c>
      <c r="P49" s="170">
        <f t="shared" si="16"/>
        <v>0</v>
      </c>
      <c r="Q49" s="241">
        <f t="shared" si="17"/>
        <v>5752.3866000000007</v>
      </c>
      <c r="R49" s="582">
        <f t="shared" si="18"/>
        <v>4.4801995529750213E-2</v>
      </c>
    </row>
    <row r="50" spans="2:24" ht="14.5" customHeight="1" x14ac:dyDescent="0.35">
      <c r="B50" s="744"/>
      <c r="C50" s="130" t="s">
        <v>23</v>
      </c>
      <c r="D50" s="130" t="s">
        <v>24</v>
      </c>
      <c r="E50" s="170">
        <f t="shared" si="5"/>
        <v>11.5212</v>
      </c>
      <c r="F50" s="170">
        <f t="shared" si="6"/>
        <v>0</v>
      </c>
      <c r="G50" s="170">
        <f t="shared" si="7"/>
        <v>44.121099999999998</v>
      </c>
      <c r="H50" s="170">
        <f t="shared" si="8"/>
        <v>307.65789999999998</v>
      </c>
      <c r="I50" s="170">
        <f t="shared" si="9"/>
        <v>1.9366999999999999</v>
      </c>
      <c r="J50" s="170">
        <f t="shared" si="10"/>
        <v>0</v>
      </c>
      <c r="K50" s="170">
        <f t="shared" si="11"/>
        <v>0</v>
      </c>
      <c r="L50" s="170">
        <f t="shared" si="12"/>
        <v>1.4006000000000001</v>
      </c>
      <c r="M50" s="170">
        <f t="shared" si="13"/>
        <v>19.5</v>
      </c>
      <c r="N50" s="170">
        <f t="shared" si="14"/>
        <v>43.2</v>
      </c>
      <c r="O50" s="170">
        <f t="shared" si="15"/>
        <v>14.2</v>
      </c>
      <c r="P50" s="170">
        <f t="shared" si="16"/>
        <v>0</v>
      </c>
      <c r="Q50" s="241">
        <f t="shared" si="17"/>
        <v>443.53749999999991</v>
      </c>
      <c r="R50" s="582">
        <f t="shared" si="18"/>
        <v>3.4544557718489536E-3</v>
      </c>
    </row>
    <row r="51" spans="2:24" ht="14.5" customHeight="1" x14ac:dyDescent="0.35">
      <c r="B51" s="744"/>
      <c r="C51" s="130" t="s">
        <v>26</v>
      </c>
      <c r="D51" s="130" t="s">
        <v>27</v>
      </c>
      <c r="E51" s="170">
        <f t="shared" si="5"/>
        <v>604.75200000000007</v>
      </c>
      <c r="F51" s="170">
        <f t="shared" si="6"/>
        <v>0</v>
      </c>
      <c r="G51" s="170">
        <f t="shared" si="7"/>
        <v>2168.578</v>
      </c>
      <c r="H51" s="170">
        <f t="shared" si="8"/>
        <v>15139.521700000007</v>
      </c>
      <c r="I51" s="170">
        <f t="shared" si="9"/>
        <v>10.968500000000002</v>
      </c>
      <c r="J51" s="170">
        <f t="shared" si="10"/>
        <v>0</v>
      </c>
      <c r="K51" s="170">
        <f t="shared" si="11"/>
        <v>0</v>
      </c>
      <c r="L51" s="170">
        <f t="shared" si="12"/>
        <v>58.927599999999998</v>
      </c>
      <c r="M51" s="170">
        <f t="shared" si="13"/>
        <v>431.3</v>
      </c>
      <c r="N51" s="170">
        <f t="shared" si="14"/>
        <v>595.5</v>
      </c>
      <c r="O51" s="170">
        <f t="shared" si="15"/>
        <v>235.79999999999998</v>
      </c>
      <c r="P51" s="170">
        <f t="shared" si="16"/>
        <v>0</v>
      </c>
      <c r="Q51" s="241">
        <f t="shared" si="17"/>
        <v>19245.347800000003</v>
      </c>
      <c r="R51" s="582">
        <f t="shared" si="18"/>
        <v>0.1498908272444846</v>
      </c>
    </row>
    <row r="52" spans="2:24" ht="14.5" customHeight="1" x14ac:dyDescent="0.35">
      <c r="B52" s="744"/>
      <c r="C52" s="130" t="s">
        <v>28</v>
      </c>
      <c r="D52" s="130" t="s">
        <v>29</v>
      </c>
      <c r="E52" s="170">
        <f t="shared" si="5"/>
        <v>95.415891006205925</v>
      </c>
      <c r="F52" s="170">
        <f t="shared" si="6"/>
        <v>0</v>
      </c>
      <c r="G52" s="170">
        <f t="shared" si="7"/>
        <v>363.49380812597013</v>
      </c>
      <c r="H52" s="170">
        <f t="shared" si="8"/>
        <v>11683.077663452454</v>
      </c>
      <c r="I52" s="170">
        <f t="shared" si="9"/>
        <v>7.194879250651522</v>
      </c>
      <c r="J52" s="170">
        <f t="shared" si="10"/>
        <v>0</v>
      </c>
      <c r="K52" s="170">
        <f t="shared" si="11"/>
        <v>0</v>
      </c>
      <c r="L52" s="170">
        <f t="shared" si="12"/>
        <v>46.113510498012893</v>
      </c>
      <c r="M52" s="170">
        <f t="shared" si="13"/>
        <v>174.35031013579282</v>
      </c>
      <c r="N52" s="170">
        <f t="shared" si="14"/>
        <v>407.8831539788552</v>
      </c>
      <c r="O52" s="170">
        <f t="shared" si="15"/>
        <v>137.64741473193203</v>
      </c>
      <c r="P52" s="170">
        <f t="shared" si="16"/>
        <v>101.18</v>
      </c>
      <c r="Q52" s="241">
        <f t="shared" si="17"/>
        <v>13016.356631179875</v>
      </c>
      <c r="R52" s="582">
        <f t="shared" si="18"/>
        <v>0.10137683576478591</v>
      </c>
    </row>
    <row r="53" spans="2:24" ht="14.5" customHeight="1" x14ac:dyDescent="0.35">
      <c r="B53" s="744"/>
      <c r="C53" s="130" t="s">
        <v>30</v>
      </c>
      <c r="D53" s="130" t="s">
        <v>280</v>
      </c>
      <c r="E53" s="170">
        <f t="shared" si="5"/>
        <v>33.441099999999999</v>
      </c>
      <c r="F53" s="170">
        <f t="shared" si="6"/>
        <v>0</v>
      </c>
      <c r="G53" s="170">
        <f t="shared" si="7"/>
        <v>135.13380000000001</v>
      </c>
      <c r="H53" s="170">
        <f t="shared" si="8"/>
        <v>1484.0345871285706</v>
      </c>
      <c r="I53" s="170">
        <f t="shared" si="9"/>
        <v>4.4846000000000004</v>
      </c>
      <c r="J53" s="170">
        <f t="shared" si="10"/>
        <v>0</v>
      </c>
      <c r="K53" s="170">
        <f t="shared" si="11"/>
        <v>0.18410000000000001</v>
      </c>
      <c r="L53" s="170">
        <f t="shared" si="12"/>
        <v>34.695500000000003</v>
      </c>
      <c r="M53" s="170">
        <f t="shared" si="13"/>
        <v>142</v>
      </c>
      <c r="N53" s="170">
        <f t="shared" si="14"/>
        <v>410.2</v>
      </c>
      <c r="O53" s="170">
        <f t="shared" si="15"/>
        <v>94.4</v>
      </c>
      <c r="P53" s="170">
        <f t="shared" si="16"/>
        <v>0</v>
      </c>
      <c r="Q53" s="241">
        <f t="shared" si="17"/>
        <v>2338.5736871285708</v>
      </c>
      <c r="R53" s="582">
        <f t="shared" si="18"/>
        <v>1.8213791103109393E-2</v>
      </c>
    </row>
    <row r="54" spans="2:24" ht="14.5" customHeight="1" x14ac:dyDescent="0.35">
      <c r="B54" s="744"/>
      <c r="C54" s="130" t="s">
        <v>32</v>
      </c>
      <c r="D54" s="130" t="s">
        <v>33</v>
      </c>
      <c r="E54" s="170">
        <f t="shared" si="5"/>
        <v>62.980699999999999</v>
      </c>
      <c r="F54" s="170">
        <f t="shared" si="6"/>
        <v>338.2201</v>
      </c>
      <c r="G54" s="170">
        <f t="shared" si="7"/>
        <v>0</v>
      </c>
      <c r="H54" s="170">
        <f t="shared" si="8"/>
        <v>57.788599999999995</v>
      </c>
      <c r="I54" s="170">
        <f t="shared" si="9"/>
        <v>0</v>
      </c>
      <c r="J54" s="170">
        <f t="shared" si="10"/>
        <v>0</v>
      </c>
      <c r="K54" s="170">
        <f t="shared" si="11"/>
        <v>14.195399999999999</v>
      </c>
      <c r="L54" s="170">
        <f t="shared" si="12"/>
        <v>52.943899999999999</v>
      </c>
      <c r="M54" s="170">
        <f t="shared" si="13"/>
        <v>68.3</v>
      </c>
      <c r="N54" s="170">
        <f t="shared" si="14"/>
        <v>886.2</v>
      </c>
      <c r="O54" s="170">
        <f t="shared" si="15"/>
        <v>124.8</v>
      </c>
      <c r="P54" s="170">
        <f t="shared" si="16"/>
        <v>0</v>
      </c>
      <c r="Q54" s="241">
        <f t="shared" si="17"/>
        <v>1605.4286999999999</v>
      </c>
      <c r="R54" s="582">
        <f t="shared" si="18"/>
        <v>1.2503750954557311E-2</v>
      </c>
    </row>
    <row r="55" spans="2:24" ht="14.5" customHeight="1" x14ac:dyDescent="0.35">
      <c r="B55" s="744"/>
      <c r="C55" s="130" t="s">
        <v>34</v>
      </c>
      <c r="D55" s="130" t="s">
        <v>35</v>
      </c>
      <c r="E55" s="170">
        <f t="shared" si="5"/>
        <v>172.84839999999997</v>
      </c>
      <c r="F55" s="170">
        <f t="shared" si="6"/>
        <v>456.75109999999995</v>
      </c>
      <c r="G55" s="170">
        <f t="shared" si="7"/>
        <v>0</v>
      </c>
      <c r="H55" s="170">
        <f t="shared" si="8"/>
        <v>95.289299999999969</v>
      </c>
      <c r="I55" s="170">
        <f t="shared" si="9"/>
        <v>0</v>
      </c>
      <c r="J55" s="170">
        <f t="shared" si="10"/>
        <v>0</v>
      </c>
      <c r="K55" s="170">
        <f t="shared" si="11"/>
        <v>20.428100000000001</v>
      </c>
      <c r="L55" s="170">
        <f t="shared" si="12"/>
        <v>76.163399999999996</v>
      </c>
      <c r="M55" s="170">
        <f t="shared" si="13"/>
        <v>98.2</v>
      </c>
      <c r="N55" s="170">
        <f t="shared" si="14"/>
        <v>1215.3</v>
      </c>
      <c r="O55" s="170">
        <f t="shared" si="15"/>
        <v>152.30000000000001</v>
      </c>
      <c r="P55" s="170">
        <f t="shared" si="16"/>
        <v>1663.3799999999999</v>
      </c>
      <c r="Q55" s="241">
        <f t="shared" si="17"/>
        <v>3950.6603000000005</v>
      </c>
      <c r="R55" s="582">
        <f t="shared" si="18"/>
        <v>3.0769396670968122E-2</v>
      </c>
    </row>
    <row r="56" spans="2:24" ht="14.5" customHeight="1" x14ac:dyDescent="0.35">
      <c r="B56" s="744"/>
      <c r="C56" s="130" t="s">
        <v>166</v>
      </c>
      <c r="D56" s="130" t="s">
        <v>279</v>
      </c>
      <c r="E56" s="170">
        <f t="shared" si="5"/>
        <v>1431.1969999999999</v>
      </c>
      <c r="F56" s="170">
        <f t="shared" si="6"/>
        <v>7426.4555</v>
      </c>
      <c r="G56" s="170">
        <f t="shared" si="7"/>
        <v>4987.0962</v>
      </c>
      <c r="H56" s="170">
        <f t="shared" si="8"/>
        <v>11629.878299999998</v>
      </c>
      <c r="I56" s="170">
        <f t="shared" si="9"/>
        <v>612.18779999999992</v>
      </c>
      <c r="J56" s="170">
        <f t="shared" si="10"/>
        <v>12.5367</v>
      </c>
      <c r="K56" s="170">
        <f t="shared" si="11"/>
        <v>0.1071</v>
      </c>
      <c r="L56" s="170">
        <f t="shared" si="12"/>
        <v>4744.3033999999998</v>
      </c>
      <c r="M56" s="170">
        <f t="shared" si="13"/>
        <v>1808.2</v>
      </c>
      <c r="N56" s="170">
        <f t="shared" si="14"/>
        <v>29258.7</v>
      </c>
      <c r="O56" s="170">
        <f t="shared" si="15"/>
        <v>2609.1</v>
      </c>
      <c r="P56" s="170">
        <f t="shared" si="16"/>
        <v>63.91</v>
      </c>
      <c r="Q56" s="241">
        <f t="shared" si="17"/>
        <v>64583.672000000006</v>
      </c>
      <c r="R56" s="582">
        <f t="shared" si="18"/>
        <v>0.50300468056838421</v>
      </c>
    </row>
    <row r="57" spans="2:24" ht="15" customHeight="1" thickBot="1" x14ac:dyDescent="0.4">
      <c r="B57" s="745" t="s">
        <v>347</v>
      </c>
      <c r="C57" s="746"/>
      <c r="D57" s="746"/>
      <c r="E57" s="589">
        <f>SUM(E41:E56)</f>
        <v>2715.031135092051</v>
      </c>
      <c r="F57" s="146">
        <f t="shared" ref="F57:R57" si="19">SUM(F41:F56)</f>
        <v>8221.4267</v>
      </c>
      <c r="G57" s="146">
        <f t="shared" si="19"/>
        <v>8737.7473917606894</v>
      </c>
      <c r="H57" s="146">
        <f t="shared" si="19"/>
        <v>60115.080274494096</v>
      </c>
      <c r="I57" s="146">
        <f t="shared" si="19"/>
        <v>670.17709547714094</v>
      </c>
      <c r="J57" s="146">
        <f t="shared" si="19"/>
        <v>12.5367</v>
      </c>
      <c r="K57" s="146">
        <f t="shared" si="19"/>
        <v>34.914700000000003</v>
      </c>
      <c r="L57" s="146">
        <f t="shared" si="19"/>
        <v>5124.8033541847644</v>
      </c>
      <c r="M57" s="146">
        <f t="shared" si="19"/>
        <v>3376.7649916524897</v>
      </c>
      <c r="N57" s="146">
        <f t="shared" si="19"/>
        <v>33873.096136547865</v>
      </c>
      <c r="O57" s="146">
        <f t="shared" si="19"/>
        <v>3685.7189856619398</v>
      </c>
      <c r="P57" s="146">
        <f t="shared" si="19"/>
        <v>1828.47</v>
      </c>
      <c r="Q57" s="146">
        <f>SUM(Q44:Q56)</f>
        <v>128395.76746487105</v>
      </c>
      <c r="R57" s="592">
        <f t="shared" si="19"/>
        <v>0.99999999999999989</v>
      </c>
      <c r="X57" s="292"/>
    </row>
    <row r="58" spans="2:24" ht="15" thickBot="1" x14ac:dyDescent="0.4">
      <c r="B58" s="588"/>
      <c r="C58" s="588"/>
      <c r="D58" s="588"/>
      <c r="E58" s="590"/>
    </row>
    <row r="59" spans="2:24" x14ac:dyDescent="0.35">
      <c r="B59" s="739" t="s">
        <v>749</v>
      </c>
      <c r="C59" s="620" t="s">
        <v>750</v>
      </c>
      <c r="D59" s="650">
        <f>F56/F57</f>
        <v>0.90330495800686272</v>
      </c>
    </row>
    <row r="60" spans="2:24" x14ac:dyDescent="0.35">
      <c r="B60" s="740"/>
      <c r="C60" s="130" t="s">
        <v>751</v>
      </c>
      <c r="D60" s="651">
        <f>G51/G57</f>
        <v>0.24818501872059995</v>
      </c>
    </row>
    <row r="61" spans="2:24" x14ac:dyDescent="0.35">
      <c r="B61" s="740"/>
      <c r="C61" s="130" t="s">
        <v>762</v>
      </c>
      <c r="D61" s="651">
        <f>G56/G57</f>
        <v>0.57075307586742685</v>
      </c>
    </row>
    <row r="62" spans="2:24" ht="28" x14ac:dyDescent="0.35">
      <c r="B62" s="740"/>
      <c r="C62" s="130" t="s">
        <v>752</v>
      </c>
      <c r="D62" s="651">
        <f>SUM(H44:H52)/H57</f>
        <v>0.77930677749161148</v>
      </c>
    </row>
    <row r="63" spans="2:24" ht="15" thickBot="1" x14ac:dyDescent="0.4">
      <c r="B63" s="742"/>
      <c r="C63" s="621" t="s">
        <v>753</v>
      </c>
      <c r="D63" s="652">
        <f>N57/SUM(M57:P57)</f>
        <v>0.79209279865584203</v>
      </c>
    </row>
    <row r="68" ht="26.25" customHeight="1" x14ac:dyDescent="0.35"/>
    <row r="69" ht="22.5" customHeight="1" x14ac:dyDescent="0.35"/>
    <row r="70" ht="26.25" customHeight="1" x14ac:dyDescent="0.35"/>
    <row r="71" ht="26.25" customHeight="1" x14ac:dyDescent="0.35"/>
    <row r="72" ht="26.25" customHeight="1" x14ac:dyDescent="0.35"/>
    <row r="73" ht="26.25" customHeight="1" x14ac:dyDescent="0.35"/>
    <row r="74" ht="26.25" customHeight="1" x14ac:dyDescent="0.35"/>
    <row r="75" ht="26.25" customHeight="1" x14ac:dyDescent="0.35"/>
    <row r="76" ht="26.25" customHeight="1" x14ac:dyDescent="0.35"/>
    <row r="77" ht="26.25" customHeight="1" x14ac:dyDescent="0.35"/>
    <row r="78" ht="26.25" customHeight="1" x14ac:dyDescent="0.35"/>
    <row r="79" ht="26.25" customHeight="1" x14ac:dyDescent="0.35"/>
    <row r="81" spans="2:7" s="135" customFormat="1" ht="27" customHeight="1" x14ac:dyDescent="0.35">
      <c r="B81" s="58" t="s">
        <v>335</v>
      </c>
      <c r="C81" s="58"/>
      <c r="D81" s="58"/>
      <c r="E81" s="58"/>
      <c r="F81" s="134"/>
      <c r="G81" s="134"/>
    </row>
    <row r="85" spans="2:7" ht="15" thickBot="1" x14ac:dyDescent="0.4">
      <c r="G85" t="s">
        <v>740</v>
      </c>
    </row>
    <row r="86" spans="2:7" ht="85.5" customHeight="1" x14ac:dyDescent="0.35">
      <c r="B86" s="133" t="s">
        <v>707</v>
      </c>
      <c r="C86" s="142" t="s">
        <v>430</v>
      </c>
      <c r="D86" s="242" t="s">
        <v>429</v>
      </c>
    </row>
    <row r="87" spans="2:7" x14ac:dyDescent="0.35">
      <c r="B87" s="131" t="s">
        <v>426</v>
      </c>
      <c r="C87" s="241">
        <v>203000</v>
      </c>
      <c r="D87" s="244">
        <f>C10</f>
        <v>60115.080274494103</v>
      </c>
    </row>
    <row r="88" spans="2:7" x14ac:dyDescent="0.35">
      <c r="B88" s="131" t="s">
        <v>424</v>
      </c>
      <c r="C88" s="241">
        <v>179500</v>
      </c>
      <c r="D88" s="244">
        <f>C15</f>
        <v>3376.7649916524897</v>
      </c>
    </row>
    <row r="89" spans="2:7" x14ac:dyDescent="0.35">
      <c r="B89" s="131" t="s">
        <v>427</v>
      </c>
      <c r="C89" s="241">
        <v>164000</v>
      </c>
      <c r="D89" s="244">
        <f>C16</f>
        <v>33873.096136547858</v>
      </c>
    </row>
    <row r="90" spans="2:7" x14ac:dyDescent="0.35">
      <c r="B90" s="131" t="s">
        <v>330</v>
      </c>
      <c r="C90" s="241">
        <v>76500</v>
      </c>
      <c r="D90" s="244">
        <f>C9</f>
        <v>8737.7473917606876</v>
      </c>
    </row>
    <row r="91" spans="2:7" x14ac:dyDescent="0.35">
      <c r="B91" s="131" t="s">
        <v>329</v>
      </c>
      <c r="C91" s="241">
        <v>65500</v>
      </c>
      <c r="D91" s="244">
        <f>C8</f>
        <v>8221.4267</v>
      </c>
    </row>
    <row r="92" spans="2:7" x14ac:dyDescent="0.35">
      <c r="B92" s="131" t="s">
        <v>328</v>
      </c>
      <c r="C92" s="241">
        <v>20000</v>
      </c>
      <c r="D92" s="244">
        <f>C7</f>
        <v>2715.031135092051</v>
      </c>
    </row>
    <row r="93" spans="2:7" x14ac:dyDescent="0.35">
      <c r="B93" s="131" t="s">
        <v>428</v>
      </c>
      <c r="C93" s="241">
        <v>15000</v>
      </c>
      <c r="D93" s="244">
        <f>C11+C12+C13+C14</f>
        <v>5842.4318496619053</v>
      </c>
    </row>
    <row r="94" spans="2:7" x14ac:dyDescent="0.35">
      <c r="B94" s="131" t="s">
        <v>332</v>
      </c>
      <c r="C94" s="241">
        <v>10500</v>
      </c>
      <c r="D94" s="244">
        <f>P57</f>
        <v>1828.47</v>
      </c>
    </row>
    <row r="95" spans="2:7" ht="15" thickBot="1" x14ac:dyDescent="0.4">
      <c r="B95" s="243" t="s">
        <v>344</v>
      </c>
      <c r="C95" s="245">
        <f>SUM(C87:C94)</f>
        <v>734000</v>
      </c>
      <c r="D95" s="246">
        <f>SUM(D87:D94)</f>
        <v>124710.04847920909</v>
      </c>
    </row>
    <row r="125" ht="27.75" customHeight="1" x14ac:dyDescent="0.35"/>
    <row r="126" ht="27.75" customHeight="1" x14ac:dyDescent="0.35"/>
    <row r="127" ht="27.75" customHeight="1" x14ac:dyDescent="0.35"/>
    <row r="128" ht="27.75" customHeight="1" x14ac:dyDescent="0.35"/>
    <row r="129" ht="27.75" customHeight="1" x14ac:dyDescent="0.35"/>
    <row r="130" ht="27.75" customHeight="1" x14ac:dyDescent="0.35"/>
    <row r="131" ht="27.75" customHeight="1" x14ac:dyDescent="0.35"/>
    <row r="132" ht="27.75" customHeight="1" x14ac:dyDescent="0.35"/>
    <row r="133" ht="27.75" customHeight="1" x14ac:dyDescent="0.35"/>
    <row r="134" ht="27.75" customHeight="1" x14ac:dyDescent="0.35"/>
    <row r="135" ht="27.75" customHeight="1" x14ac:dyDescent="0.35"/>
    <row r="136" ht="27.75" customHeight="1" x14ac:dyDescent="0.35"/>
    <row r="137" ht="27.75" customHeight="1" x14ac:dyDescent="0.35"/>
    <row r="138" ht="27.75" customHeight="1" x14ac:dyDescent="0.35"/>
  </sheetData>
  <mergeCells count="6">
    <mergeCell ref="B59:B63"/>
    <mergeCell ref="B44:B56"/>
    <mergeCell ref="B57:D57"/>
    <mergeCell ref="B3:M3"/>
    <mergeCell ref="B37:B39"/>
    <mergeCell ref="B24:B36"/>
  </mergeCells>
  <conditionalFormatting sqref="C7:C18">
    <cfRule type="colorScale" priority="1">
      <colorScale>
        <cfvo type="min"/>
        <cfvo type="percentile" val="50"/>
        <cfvo type="max"/>
        <color rgb="FF63BE7B"/>
        <color rgb="FFFFEB84"/>
        <color rgb="FFF8696B"/>
      </colorScale>
    </cfRule>
  </conditionalFormatting>
  <conditionalFormatting sqref="Q24:Q39">
    <cfRule type="dataBar" priority="2">
      <dataBar>
        <cfvo type="min"/>
        <cfvo type="max"/>
        <color rgb="FF63C384"/>
      </dataBar>
      <extLst>
        <ext xmlns:x14="http://schemas.microsoft.com/office/spreadsheetml/2009/9/main" uri="{B025F937-C7B1-47D3-B67F-A62EFF666E3E}">
          <x14:id>{BB218482-2DDA-421D-8926-2EB9EF6D596D}</x14:id>
        </ext>
      </extLst>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dataBar" id="{BB218482-2DDA-421D-8926-2EB9EF6D596D}">
            <x14:dataBar minLength="0" maxLength="100" border="1" negativeBarBorderColorSameAsPositive="0">
              <x14:cfvo type="autoMin"/>
              <x14:cfvo type="autoMax"/>
              <x14:borderColor rgb="FF63C384"/>
              <x14:negativeFillColor rgb="FFFF0000"/>
              <x14:negativeBorderColor rgb="FFFF0000"/>
              <x14:axisColor rgb="FF000000"/>
            </x14:dataBar>
          </x14:cfRule>
          <xm:sqref>Q24:Q39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4782-5AE1-4827-A8C4-06E52D8FB117}">
  <sheetPr>
    <tabColor rgb="FF008768"/>
  </sheetPr>
  <dimension ref="A1:Y67"/>
  <sheetViews>
    <sheetView showGridLines="0" zoomScale="40" zoomScaleNormal="40" workbookViewId="0">
      <selection activeCell="A3" sqref="A3:A4"/>
    </sheetView>
  </sheetViews>
  <sheetFormatPr defaultRowHeight="14.5" x14ac:dyDescent="0.35"/>
  <cols>
    <col min="1" max="1" width="9.81640625" style="9" customWidth="1"/>
    <col min="2" max="2" width="17.54296875" style="9" customWidth="1"/>
    <col min="3" max="3" width="29.54296875" customWidth="1"/>
    <col min="4" max="4" width="17.7265625" customWidth="1"/>
    <col min="5" max="5" width="16.7265625" customWidth="1"/>
    <col min="6" max="6" width="22.26953125" customWidth="1"/>
    <col min="7" max="7" width="16.54296875" style="9" customWidth="1"/>
    <col min="8" max="8" width="21.26953125" style="9" customWidth="1"/>
    <col min="9" max="9" width="22.81640625" style="9" customWidth="1"/>
    <col min="10" max="10" width="16.54296875" style="9" customWidth="1"/>
    <col min="11" max="11" width="21.453125" style="9" customWidth="1"/>
    <col min="12" max="12" width="16.54296875" style="113" customWidth="1"/>
    <col min="13" max="23" width="16.54296875" style="9" customWidth="1"/>
    <col min="24" max="24" width="21.81640625" customWidth="1"/>
  </cols>
  <sheetData>
    <row r="1" spans="1:25" ht="28.5" x14ac:dyDescent="0.35">
      <c r="B1" s="225"/>
      <c r="C1" s="226"/>
      <c r="D1" s="226"/>
      <c r="E1" s="226"/>
      <c r="F1" s="226"/>
    </row>
    <row r="2" spans="1:25" s="261" customFormat="1" ht="27" customHeight="1" x14ac:dyDescent="0.35">
      <c r="A2" s="135"/>
      <c r="B2" s="267" t="s">
        <v>304</v>
      </c>
      <c r="C2" s="267"/>
      <c r="D2" s="58"/>
      <c r="E2" s="58"/>
      <c r="F2" s="134"/>
      <c r="G2" s="134"/>
      <c r="H2" s="135"/>
      <c r="I2" s="135"/>
      <c r="J2" s="135"/>
      <c r="K2" s="135"/>
      <c r="L2" s="135"/>
      <c r="M2" s="135"/>
      <c r="N2" s="135"/>
      <c r="O2" s="135"/>
      <c r="P2" s="135"/>
      <c r="Q2" s="135"/>
      <c r="R2" s="135"/>
      <c r="S2" s="135"/>
      <c r="T2" s="135"/>
      <c r="U2" s="135"/>
      <c r="V2" s="135"/>
      <c r="W2" s="135"/>
      <c r="X2" s="135"/>
    </row>
    <row r="3" spans="1:25" s="256" customFormat="1" ht="18" customHeight="1" x14ac:dyDescent="0.35">
      <c r="A3" s="135"/>
      <c r="B3" s="737" t="s">
        <v>480</v>
      </c>
      <c r="C3" s="737"/>
      <c r="D3" s="737"/>
      <c r="E3" s="737"/>
      <c r="F3" s="737"/>
      <c r="G3" s="737"/>
      <c r="H3" s="737"/>
      <c r="I3" s="737"/>
      <c r="J3" s="737"/>
      <c r="K3" s="737"/>
      <c r="L3" s="737"/>
      <c r="M3" s="737"/>
      <c r="N3" s="737"/>
      <c r="O3" s="737"/>
      <c r="P3" s="737"/>
      <c r="Q3" s="737"/>
      <c r="R3" s="737"/>
      <c r="S3" s="737"/>
      <c r="T3" s="737"/>
      <c r="U3" s="737"/>
      <c r="V3" s="737"/>
      <c r="W3" s="737"/>
      <c r="X3" s="737"/>
    </row>
    <row r="4" spans="1:25" s="256" customFormat="1" ht="18" customHeight="1" x14ac:dyDescent="0.35">
      <c r="A4" s="135"/>
      <c r="B4" s="737"/>
      <c r="C4" s="737"/>
      <c r="D4" s="737"/>
      <c r="E4" s="737"/>
      <c r="F4" s="737"/>
      <c r="G4" s="737"/>
      <c r="H4" s="737"/>
      <c r="I4" s="737"/>
      <c r="J4" s="737"/>
      <c r="K4" s="737"/>
      <c r="L4" s="737"/>
      <c r="M4" s="737"/>
      <c r="N4" s="737"/>
      <c r="O4" s="737"/>
      <c r="P4" s="737"/>
      <c r="Q4" s="737"/>
      <c r="R4" s="737"/>
      <c r="S4" s="737"/>
      <c r="T4" s="737"/>
      <c r="U4" s="737"/>
      <c r="V4" s="737"/>
      <c r="W4" s="737"/>
      <c r="X4" s="737"/>
    </row>
    <row r="5" spans="1:25" ht="29" thickBot="1" x14ac:dyDescent="0.4">
      <c r="B5" s="251" t="s">
        <v>433</v>
      </c>
      <c r="C5" s="226"/>
      <c r="D5" s="226"/>
      <c r="E5" s="226"/>
      <c r="F5" s="226"/>
    </row>
    <row r="6" spans="1:25" ht="27.75" customHeight="1" x14ac:dyDescent="0.35">
      <c r="B6" s="756" t="s">
        <v>432</v>
      </c>
      <c r="C6" s="757"/>
      <c r="D6" s="755" t="s">
        <v>163</v>
      </c>
      <c r="E6" s="755"/>
      <c r="F6" s="755"/>
      <c r="G6" s="755"/>
      <c r="H6" s="755"/>
      <c r="I6" s="755"/>
      <c r="J6" s="755"/>
      <c r="K6" s="755"/>
      <c r="L6" s="755"/>
      <c r="M6" s="755"/>
      <c r="N6" s="755"/>
      <c r="O6" s="755"/>
      <c r="P6" s="755"/>
      <c r="Q6" s="755"/>
      <c r="R6" s="755"/>
      <c r="S6" s="755"/>
      <c r="T6" s="755"/>
      <c r="U6" s="250"/>
    </row>
    <row r="7" spans="1:25" s="9" customFormat="1" ht="113.25" customHeight="1" x14ac:dyDescent="0.35">
      <c r="B7" s="248" t="s">
        <v>0</v>
      </c>
      <c r="C7" s="247" t="s">
        <v>303</v>
      </c>
      <c r="D7" s="247" t="s">
        <v>146</v>
      </c>
      <c r="E7" s="247" t="s">
        <v>147</v>
      </c>
      <c r="F7" s="247" t="s">
        <v>148</v>
      </c>
      <c r="G7" s="247" t="s">
        <v>149</v>
      </c>
      <c r="H7" s="247" t="s">
        <v>150</v>
      </c>
      <c r="I7" s="247" t="s">
        <v>151</v>
      </c>
      <c r="J7" s="247" t="s">
        <v>152</v>
      </c>
      <c r="K7" s="247" t="s">
        <v>153</v>
      </c>
      <c r="L7" s="247" t="s">
        <v>154</v>
      </c>
      <c r="M7" s="247" t="s">
        <v>155</v>
      </c>
      <c r="N7" s="247" t="s">
        <v>156</v>
      </c>
      <c r="O7" s="247" t="s">
        <v>157</v>
      </c>
      <c r="P7" s="247" t="s">
        <v>158</v>
      </c>
      <c r="Q7" s="247" t="s">
        <v>159</v>
      </c>
      <c r="R7" s="247" t="s">
        <v>160</v>
      </c>
      <c r="S7" s="247" t="s">
        <v>161</v>
      </c>
      <c r="T7" s="247" t="s">
        <v>162</v>
      </c>
      <c r="U7" s="249" t="s">
        <v>199</v>
      </c>
    </row>
    <row r="8" spans="1:25" x14ac:dyDescent="0.35">
      <c r="A8"/>
      <c r="B8" s="147" t="s">
        <v>14</v>
      </c>
      <c r="C8" s="114">
        <f>AVERAGEIF('Task 2 - Asset lvl analysis'!$E$15:$E$64,'Task 2 - Asset lvl analysis'!B8,'Task 2 - Asset lvl analysis'!$F$15:$F$64)</f>
        <v>113.23293750000001</v>
      </c>
      <c r="D8" s="115">
        <f>AVERAGEIFS('Task 2 - Asset lvl analysis'!$G$15:$G$64,'Task 2 - Asset lvl analysis'!$E$15:$E$64,'Task 2 - Asset lvl analysis'!$B$8,'Task 2 - Asset lvl analysis'!$D$15:$D$64,"yes")</f>
        <v>0.32947499999999996</v>
      </c>
      <c r="E8" s="115">
        <f>AVERAGEIFS('Task 2 - Asset lvl analysis'!$H$15:$H$64,'Task 2 - Asset lvl analysis'!$E$15:$E$64,'Task 2 - Asset lvl analysis'!$B$8,'Task 2 - Asset lvl analysis'!$D$15:$D$64,"yes")</f>
        <v>0</v>
      </c>
      <c r="F8" s="115">
        <f>AVERAGEIFS('Task 2 - Asset lvl analysis'!$I$15:$I$64,'Task 2 - Asset lvl analysis'!$E$15:$E$64,'Task 2 - Asset lvl analysis'!$B$8,'Task 2 - Asset lvl analysis'!$D$15:$D$64,"yes")</f>
        <v>7.2176500000000008</v>
      </c>
      <c r="G8" s="115">
        <f>AVERAGEIFS('Task 2 - Asset lvl analysis'!$J$15:$J$64,'Task 2 - Asset lvl analysis'!$E$15:$E$64,'Task 2 - Asset lvl analysis'!$B$8,'Task 2 - Asset lvl analysis'!$D$15:$D$64,"yes")</f>
        <v>10.046975</v>
      </c>
      <c r="H8" s="115">
        <f>AVERAGEIFS('Task 2 - Asset lvl analysis'!$K$15:$K$64,'Task 2 - Asset lvl analysis'!$E$15:$E$64,'Task 2 - Asset lvl analysis'!$B$8,'Task 2 - Asset lvl analysis'!$D$15:$D$64,"yes")</f>
        <v>0</v>
      </c>
      <c r="I8" s="115">
        <f>AVERAGEIFS('Task 2 - Asset lvl analysis'!$L$15:$L$64,'Task 2 - Asset lvl analysis'!$E$15:$E$64,'Task 2 - Asset lvl analysis'!$B$8,'Task 2 - Asset lvl analysis'!$D$15:$D$64,"yes")</f>
        <v>0.14845</v>
      </c>
      <c r="J8" s="115">
        <f>AVERAGEIFS('Task 2 - Asset lvl analysis'!$M$15:$M$64,'Task 2 - Asset lvl analysis'!$E$15:$E$64,'Task 2 - Asset lvl analysis'!$B$8,'Task 2 - Asset lvl analysis'!$D$15:$D$64,"yes")</f>
        <v>0.36022500000000002</v>
      </c>
      <c r="K8" s="115">
        <f>AVERAGEIFS('Task 2 - Asset lvl analysis'!$N$15:$N$64,'Task 2 - Asset lvl analysis'!$E$15:$E$64,'Task 2 - Asset lvl analysis'!$B$8,'Task 2 - Asset lvl analysis'!$D$15:$D$64,"yes")</f>
        <v>0</v>
      </c>
      <c r="L8" s="115">
        <f>AVERAGEIFS('Task 2 - Asset lvl analysis'!$O$15:$O$64,'Task 2 - Asset lvl analysis'!$E$15:$E$64,'Task 2 - Asset lvl analysis'!$B$8,'Task 2 - Asset lvl analysis'!$D$15:$D$64,"yes")</f>
        <v>0</v>
      </c>
      <c r="M8" s="115">
        <f>AVERAGEIFS('Task 2 - Asset lvl analysis'!$P$15:$P$64,'Task 2 - Asset lvl analysis'!$E$15:$E$64,'Task 2 - Asset lvl analysis'!$B$8,'Task 2 - Asset lvl analysis'!$D$15:$D$64,"yes")</f>
        <v>0</v>
      </c>
      <c r="N8" s="115">
        <f>AVERAGEIFS('Task 2 - Asset lvl analysis'!$Q$15:$Q$64,'Task 2 - Asset lvl analysis'!$E$15:$E$64,'Task 2 - Asset lvl analysis'!$B$8,'Task 2 - Asset lvl analysis'!$D$15:$D$64,"yes")</f>
        <v>0</v>
      </c>
      <c r="O8" s="115">
        <f>AVERAGEIFS('Task 2 - Asset lvl analysis'!$R$15:$R$64,'Task 2 - Asset lvl analysis'!$E$15:$E$64,'Task 2 - Asset lvl analysis'!$B$8,'Task 2 - Asset lvl analysis'!$D$15:$D$64,"yes")</f>
        <v>181.08064999999999</v>
      </c>
      <c r="P8" s="115">
        <f>AVERAGEIFS('Task 2 - Asset lvl analysis'!$S$15:$S$64,'Task 2 - Asset lvl analysis'!$E$15:$E$64,'Task 2 - Asset lvl analysis'!$B$8,'Task 2 - Asset lvl analysis'!$D$15:$D$64,"yes")</f>
        <v>0</v>
      </c>
      <c r="Q8" s="115">
        <f>AVERAGEIFS('Task 2 - Asset lvl analysis'!$T$15:$T$64,'Task 2 - Asset lvl analysis'!$E$15:$E$64,'Task 2 - Asset lvl analysis'!$B$8,'Task 2 - Asset lvl analysis'!$D$15:$D$64,"yes")</f>
        <v>0</v>
      </c>
      <c r="R8" s="115">
        <f>AVERAGEIFS('Task 2 - Asset lvl analysis'!$U$15:$U$64,'Task 2 - Asset lvl analysis'!$E$15:$E$64,'Task 2 - Asset lvl analysis'!$B$8,'Task 2 - Asset lvl analysis'!$D$15:$D$64,"yes")</f>
        <v>0</v>
      </c>
      <c r="S8" s="115">
        <f>AVERAGEIFS('Task 2 - Asset lvl analysis'!$V$15:$V$64,'Task 2 - Asset lvl analysis'!$E$15:$E$64,'Task 2 - Asset lvl analysis'!$B$8,'Task 2 - Asset lvl analysis'!$D$15:$D$64,"yes")</f>
        <v>1.2683</v>
      </c>
      <c r="T8" s="115">
        <f>AVERAGEIFS('Task 2 - Asset lvl analysis'!$W$15:$W$64,'Task 2 - Asset lvl analysis'!$E$15:$E$64,'Task 2 - Asset lvl analysis'!$B$8,'Task 2 - Asset lvl analysis'!$D$15:$D$64,"yes")</f>
        <v>0</v>
      </c>
      <c r="U8" s="232">
        <f>SUM(C8:T8)</f>
        <v>313.6846625</v>
      </c>
      <c r="V8"/>
      <c r="W8"/>
    </row>
    <row r="9" spans="1:25" x14ac:dyDescent="0.35">
      <c r="A9"/>
      <c r="B9" s="147" t="s">
        <v>20</v>
      </c>
      <c r="C9" s="114">
        <f>AVERAGEIF('Task 2 - Asset lvl analysis'!$E$15:$E$64,'Task 2 - Asset lvl analysis'!B9,'Task 2 - Asset lvl analysis'!$F$15:$F$64)</f>
        <v>336.2</v>
      </c>
      <c r="D9" s="115">
        <f>AVERAGEIFS('Task 2 - Asset lvl analysis'!$G$15:$G$64,'Task 2 - Asset lvl analysis'!$E$15:$E$64,'Task 2 - Asset lvl analysis'!$B$9,'Task 2 - Asset lvl analysis'!$D$15:$D$64,"yes")</f>
        <v>0</v>
      </c>
      <c r="E9" s="115">
        <f>AVERAGEIFS('Task 2 - Asset lvl analysis'!$H$15:$H$64,'Task 2 - Asset lvl analysis'!$E$15:$E$64,'Task 2 - Asset lvl analysis'!$B$9,'Task 2 - Asset lvl analysis'!$D$15:$D$64,"yes")</f>
        <v>4.0295500000000004</v>
      </c>
      <c r="F9" s="115">
        <f>AVERAGEIFS('Task 2 - Asset lvl analysis'!$I$15:$I$64,'Task 2 - Asset lvl analysis'!$E$15:$E$64,'Task 2 - Asset lvl analysis'!$B$9,'Task 2 - Asset lvl analysis'!$D$15:$D$64,"yes")</f>
        <v>18.261699999999998</v>
      </c>
      <c r="G9" s="115">
        <f>AVERAGEIFS('Task 2 - Asset lvl analysis'!$J$15:$J$64,'Task 2 - Asset lvl analysis'!$E$15:$E$64,'Task 2 - Asset lvl analysis'!$B$9,'Task 2 - Asset lvl analysis'!$D$15:$D$64,"yes")</f>
        <v>18.211749999999999</v>
      </c>
      <c r="H9" s="116">
        <f>AVERAGEIFS('Task 2 - Asset lvl analysis'!$K$15:$K$64,'Task 2 - Asset lvl analysis'!$E$15:$E$64,'Task 2 - Asset lvl analysis'!$B$9,'Task 2 - Asset lvl analysis'!$D$15:$D$64,"yes")</f>
        <v>0</v>
      </c>
      <c r="I9" s="116">
        <f>AVERAGEIFS('Task 2 - Asset lvl analysis'!$L$15:$L$64,'Task 2 - Asset lvl analysis'!$E$15:$E$64,'Task 2 - Asset lvl analysis'!$B$9,'Task 2 - Asset lvl analysis'!$D$15:$D$64,"yes")</f>
        <v>0.18304999999999999</v>
      </c>
      <c r="J9" s="116">
        <f>AVERAGEIFS('Task 2 - Asset lvl analysis'!$M$15:$M$64,'Task 2 - Asset lvl analysis'!$E$15:$E$64,'Task 2 - Asset lvl analysis'!$B$9,'Task 2 - Asset lvl analysis'!$D$15:$D$64,"yes")</f>
        <v>0.78285000000000005</v>
      </c>
      <c r="K9" s="116">
        <f>AVERAGEIFS('Task 2 - Asset lvl analysis'!$N$15:$N$64,'Task 2 - Asset lvl analysis'!$E$15:$E$64,'Task 2 - Asset lvl analysis'!$B$9,'Task 2 - Asset lvl analysis'!$D$15:$D$64,"yes")</f>
        <v>0</v>
      </c>
      <c r="L9" s="116">
        <f>AVERAGEIFS('Task 2 - Asset lvl analysis'!$O$15:$O$64,'Task 2 - Asset lvl analysis'!$E$15:$E$64,'Task 2 - Asset lvl analysis'!$B$9,'Task 2 - Asset lvl analysis'!$D$15:$D$64,"yes")</f>
        <v>0</v>
      </c>
      <c r="M9" s="116">
        <f>AVERAGEIFS('Task 2 - Asset lvl analysis'!$P$15:$P$64,'Task 2 - Asset lvl analysis'!$E$15:$E$64,'Task 2 - Asset lvl analysis'!$B$9,'Task 2 - Asset lvl analysis'!$D$15:$D$64,"yes")</f>
        <v>3.4836499999999999</v>
      </c>
      <c r="N9" s="116">
        <f>AVERAGEIFS('Task 2 - Asset lvl analysis'!$Q$15:$Q$64,'Task 2 - Asset lvl analysis'!$E$15:$E$64,'Task 2 - Asset lvl analysis'!$B$9,'Task 2 - Asset lvl analysis'!$D$15:$D$64,"yes")</f>
        <v>0</v>
      </c>
      <c r="O9" s="116">
        <f>AVERAGEIFS('Task 2 - Asset lvl analysis'!$R$15:$R$64,'Task 2 - Asset lvl analysis'!$E$15:$E$64,'Task 2 - Asset lvl analysis'!$B$9,'Task 2 - Asset lvl analysis'!$D$15:$D$64,"yes")</f>
        <v>2371.3154500000001</v>
      </c>
      <c r="P9" s="116">
        <f>AVERAGEIFS('Task 2 - Asset lvl analysis'!$S$15:$S$64,'Task 2 - Asset lvl analysis'!$E$15:$E$64,'Task 2 - Asset lvl analysis'!$B$9,'Task 2 - Asset lvl analysis'!$D$15:$D$64,"yes")</f>
        <v>0</v>
      </c>
      <c r="Q9" s="116">
        <f>AVERAGEIFS('Task 2 - Asset lvl analysis'!$T$15:$T$64,'Task 2 - Asset lvl analysis'!$E$15:$E$64,'Task 2 - Asset lvl analysis'!$B$9,'Task 2 - Asset lvl analysis'!$D$15:$D$64,"yes")</f>
        <v>0</v>
      </c>
      <c r="R9" s="116">
        <f>AVERAGEIFS('Task 2 - Asset lvl analysis'!$U$15:$U$64,'Task 2 - Asset lvl analysis'!$E$15:$E$64,'Task 2 - Asset lvl analysis'!$B$9,'Task 2 - Asset lvl analysis'!$D$15:$D$64,"yes")</f>
        <v>0</v>
      </c>
      <c r="S9" s="116">
        <f>AVERAGEIFS('Task 2 - Asset lvl analysis'!$V$15:$V$64,'Task 2 - Asset lvl analysis'!$E$15:$E$64,'Task 2 - Asset lvl analysis'!$B$9,'Task 2 - Asset lvl analysis'!$D$15:$D$64,"yes")</f>
        <v>1.151</v>
      </c>
      <c r="T9" s="116">
        <f>AVERAGEIFS('Task 2 - Asset lvl analysis'!$W$15:$W$64,'Task 2 - Asset lvl analysis'!$E$15:$E$64,'Task 2 - Asset lvl analysis'!$B$9,'Task 2 - Asset lvl analysis'!$D$15:$D$64,"yes")</f>
        <v>0</v>
      </c>
      <c r="U9" s="232">
        <f>SUM(C9:T9)</f>
        <v>2753.6189999999997</v>
      </c>
      <c r="V9"/>
      <c r="W9"/>
    </row>
    <row r="10" spans="1:25" ht="15" thickBot="1" x14ac:dyDescent="0.4">
      <c r="A10"/>
      <c r="B10" s="233" t="s">
        <v>29</v>
      </c>
      <c r="C10" s="234">
        <f>AVERAGEIF('Task 2 - Asset lvl analysis'!$E$15:$E$64,'Task 2 - Asset lvl analysis'!B10,'Task 2 - Asset lvl analysis'!$F$15:$F$64)</f>
        <v>528.2166666666667</v>
      </c>
      <c r="D10" s="235">
        <f>AVERAGEIFS('Task 2 - Asset lvl analysis'!$G$15:$G$64,'Task 2 - Asset lvl analysis'!$E$15:$E$64,'Task 2 - Asset lvl analysis'!$B$10,'Task 2 - Asset lvl analysis'!$D$15:$D$64,"yes")</f>
        <v>0</v>
      </c>
      <c r="E10" s="235">
        <f>AVERAGEIFS('Task 2 - Asset lvl analysis'!$H$15:$H$64,'Task 2 - Asset lvl analysis'!$E$15:$E$64,'Task 2 - Asset lvl analysis'!$B$10,'Task 2 - Asset lvl analysis'!$D$15:$D$64,"yes")</f>
        <v>6.644233333333335</v>
      </c>
      <c r="F10" s="235">
        <f>AVERAGEIFS('Task 2 - Asset lvl analysis'!$I$15:$I$64,'Task 2 - Asset lvl analysis'!$E$15:$E$64,'Task 2 - Asset lvl analysis'!$B$10,'Task 2 - Asset lvl analysis'!$D$15:$D$64,"yes")</f>
        <v>18.840133333333334</v>
      </c>
      <c r="G10" s="235">
        <f>AVERAGEIFS('Task 2 - Asset lvl analysis'!$J$15:$J$64,'Task 2 - Asset lvl analysis'!$E$15:$E$64,'Task 2 - Asset lvl analysis'!$B$10,'Task 2 - Asset lvl analysis'!$D$15:$D$64,"yes")</f>
        <v>19.891166666666667</v>
      </c>
      <c r="H10" s="236">
        <f>AVERAGEIFS('Task 2 - Asset lvl analysis'!$K$15:$K$64,'Task 2 - Asset lvl analysis'!$E$15:$E$64,'Task 2 - Asset lvl analysis'!$B$10,'Task 2 - Asset lvl analysis'!$D$15:$D$64,"yes")</f>
        <v>0</v>
      </c>
      <c r="I10" s="236">
        <f>AVERAGEIFS('Task 2 - Asset lvl analysis'!$L$15:$L$64,'Task 2 - Asset lvl analysis'!$E$15:$E$64,'Task 2 - Asset lvl analysis'!$B$10,'Task 2 - Asset lvl analysis'!$D$15:$D$64,"yes")</f>
        <v>0.16813333333333333</v>
      </c>
      <c r="J10" s="236">
        <f>AVERAGEIFS('Task 2 - Asset lvl analysis'!$M$15:$M$64,'Task 2 - Asset lvl analysis'!$E$15:$E$64,'Task 2 - Asset lvl analysis'!$B$10,'Task 2 - Asset lvl analysis'!$D$15:$D$64,"yes")</f>
        <v>1.0192333333333334</v>
      </c>
      <c r="K10" s="236">
        <f>AVERAGEIFS('Task 2 - Asset lvl analysis'!$N$15:$N$64,'Task 2 - Asset lvl analysis'!$E$15:$E$64,'Task 2 - Asset lvl analysis'!$B$10,'Task 2 - Asset lvl analysis'!$D$15:$D$64,"yes")</f>
        <v>0</v>
      </c>
      <c r="L10" s="236">
        <f>AVERAGEIFS('Task 2 - Asset lvl analysis'!$O$15:$O$64,'Task 2 - Asset lvl analysis'!$E$15:$E$64,'Task 2 - Asset lvl analysis'!$B$10,'Task 2 - Asset lvl analysis'!$D$15:$D$64,"yes")</f>
        <v>0</v>
      </c>
      <c r="M10" s="236">
        <f>AVERAGEIFS('Task 2 - Asset lvl analysis'!$P$15:$P$64,'Task 2 - Asset lvl analysis'!$E$15:$E$64,'Task 2 - Asset lvl analysis'!$B$10,'Task 2 - Asset lvl analysis'!$D$15:$D$64,"yes")</f>
        <v>8.8381333333333334</v>
      </c>
      <c r="N10" s="236">
        <f>AVERAGEIFS('Task 2 - Asset lvl analysis'!$Q$15:$Q$64,'Task 2 - Asset lvl analysis'!$E$15:$E$64,'Task 2 - Asset lvl analysis'!$B$10,'Task 2 - Asset lvl analysis'!$D$15:$D$64,"yes")</f>
        <v>0</v>
      </c>
      <c r="O10" s="236">
        <f>AVERAGEIFS('Task 2 - Asset lvl analysis'!$R$15:$R$64,'Task 2 - Asset lvl analysis'!$E$15:$E$64,'Task 2 - Asset lvl analysis'!$B$10,'Task 2 - Asset lvl analysis'!$D$15:$D$64,"yes")</f>
        <v>3146.2334333333333</v>
      </c>
      <c r="P10" s="236">
        <f>AVERAGEIFS('Task 2 - Asset lvl analysis'!$S$15:$S$64,'Task 2 - Asset lvl analysis'!$E$15:$E$64,'Task 2 - Asset lvl analysis'!$B$10,'Task 2 - Asset lvl analysis'!$D$15:$D$64,"yes")</f>
        <v>0</v>
      </c>
      <c r="Q10" s="236">
        <f>AVERAGEIFS('Task 2 - Asset lvl analysis'!$T$15:$T$64,'Task 2 - Asset lvl analysis'!$E$15:$E$64,'Task 2 - Asset lvl analysis'!$B$10,'Task 2 - Asset lvl analysis'!$D$15:$D$64,"yes")</f>
        <v>5.2139999999999995</v>
      </c>
      <c r="R10" s="236">
        <f>AVERAGEIFS('Task 2 - Asset lvl analysis'!$U$15:$U$64,'Task 2 - Asset lvl analysis'!$E$15:$E$64,'Task 2 - Asset lvl analysis'!$B$10,'Task 2 - Asset lvl analysis'!$D$15:$D$64,"yes")</f>
        <v>0</v>
      </c>
      <c r="S10" s="236">
        <f>AVERAGEIFS('Task 2 - Asset lvl analysis'!$V$15:$V$64,'Task 2 - Asset lvl analysis'!$E$15:$E$64,'Task 2 - Asset lvl analysis'!$B$10,'Task 2 - Asset lvl analysis'!$D$15:$D$64,"yes")</f>
        <v>1.8930666666666667</v>
      </c>
      <c r="T10" s="236">
        <f>AVERAGEIFS('Task 2 - Asset lvl analysis'!$W$15:$W$64,'Task 2 - Asset lvl analysis'!$E$15:$E$64,'Task 2 - Asset lvl analysis'!$B$10,'Task 2 - Asset lvl analysis'!$D$15:$D$64,"yes")</f>
        <v>0</v>
      </c>
      <c r="U10" s="237">
        <f>SUM(C10:T10)</f>
        <v>3736.9582</v>
      </c>
      <c r="V10"/>
      <c r="W10"/>
    </row>
    <row r="11" spans="1:25" ht="28.5" x14ac:dyDescent="0.35">
      <c r="B11" s="225"/>
      <c r="C11" s="226"/>
      <c r="D11" s="226"/>
      <c r="E11" s="226"/>
      <c r="F11" s="226"/>
    </row>
    <row r="12" spans="1:25" ht="29" thickBot="1" x14ac:dyDescent="0.4">
      <c r="B12" s="251" t="s">
        <v>434</v>
      </c>
      <c r="C12" s="226"/>
      <c r="D12" s="226"/>
      <c r="E12" s="226"/>
      <c r="F12" s="226"/>
    </row>
    <row r="13" spans="1:25" ht="29.15" customHeight="1" x14ac:dyDescent="0.35">
      <c r="A13" s="117"/>
      <c r="B13" s="753" t="s">
        <v>432</v>
      </c>
      <c r="C13" s="754"/>
      <c r="D13" s="754"/>
      <c r="E13" s="754"/>
      <c r="F13" s="754"/>
      <c r="G13" s="755" t="s">
        <v>163</v>
      </c>
      <c r="H13" s="755"/>
      <c r="I13" s="755"/>
      <c r="J13" s="755"/>
      <c r="K13" s="755"/>
      <c r="L13" s="755"/>
      <c r="M13" s="755"/>
      <c r="N13" s="755"/>
      <c r="O13" s="755"/>
      <c r="P13" s="755"/>
      <c r="Q13" s="755"/>
      <c r="R13" s="755"/>
      <c r="S13" s="755"/>
      <c r="T13" s="755"/>
      <c r="U13" s="755"/>
      <c r="V13" s="755"/>
      <c r="W13" s="755"/>
      <c r="X13" s="751" t="s">
        <v>418</v>
      </c>
    </row>
    <row r="14" spans="1:25" ht="70" x14ac:dyDescent="0.35">
      <c r="A14" s="117"/>
      <c r="B14" s="227" t="s">
        <v>282</v>
      </c>
      <c r="C14" s="228" t="s">
        <v>37</v>
      </c>
      <c r="D14" s="228" t="s">
        <v>276</v>
      </c>
      <c r="E14" s="228" t="s">
        <v>0</v>
      </c>
      <c r="F14" s="228" t="s">
        <v>281</v>
      </c>
      <c r="G14" s="223" t="s">
        <v>146</v>
      </c>
      <c r="H14" s="223" t="s">
        <v>147</v>
      </c>
      <c r="I14" s="223" t="s">
        <v>148</v>
      </c>
      <c r="J14" s="223" t="s">
        <v>149</v>
      </c>
      <c r="K14" s="223" t="s">
        <v>150</v>
      </c>
      <c r="L14" s="224" t="s">
        <v>151</v>
      </c>
      <c r="M14" s="223" t="s">
        <v>152</v>
      </c>
      <c r="N14" s="223" t="s">
        <v>153</v>
      </c>
      <c r="O14" s="223" t="s">
        <v>154</v>
      </c>
      <c r="P14" s="223" t="s">
        <v>155</v>
      </c>
      <c r="Q14" s="223" t="s">
        <v>156</v>
      </c>
      <c r="R14" s="223" t="s">
        <v>157</v>
      </c>
      <c r="S14" s="223" t="s">
        <v>158</v>
      </c>
      <c r="T14" s="223" t="s">
        <v>159</v>
      </c>
      <c r="U14" s="223" t="s">
        <v>160</v>
      </c>
      <c r="V14" s="223" t="s">
        <v>161</v>
      </c>
      <c r="W14" s="223" t="s">
        <v>162</v>
      </c>
      <c r="X14" s="752"/>
    </row>
    <row r="15" spans="1:25" ht="28" x14ac:dyDescent="0.35">
      <c r="A15" s="18"/>
      <c r="B15" s="218" t="s">
        <v>272</v>
      </c>
      <c r="C15" s="213" t="s">
        <v>38</v>
      </c>
      <c r="D15" s="119" t="s">
        <v>277</v>
      </c>
      <c r="E15" s="124" t="s">
        <v>12</v>
      </c>
      <c r="F15" s="124">
        <f>_xlfn.XLOOKUP(B15,'Structure dimensions'!$C$6:$C$49,'Structure dimensions'!$L$6:$L$49)</f>
        <v>741.75</v>
      </c>
      <c r="G15" s="120">
        <f>SUMIF(AOB!$B$58:$B$80,'Task 2 - Asset lvl analysis'!G14,AOB!$H$58:$H$80)</f>
        <v>0</v>
      </c>
      <c r="H15" s="120">
        <f>SUMIF(AOB!$B$58:$B$80,'Task 2 - Asset lvl analysis'!H14,AOB!$H$58:$H$80)</f>
        <v>9.4125999999999994</v>
      </c>
      <c r="I15" s="120">
        <f>SUMIF(AOB!$B$58:$B$80,'Task 2 - Asset lvl analysis'!I14,AOB!$H$58:$H$80)</f>
        <v>21.250499999999999</v>
      </c>
      <c r="J15" s="120">
        <f>SUMIF(AOB!$B$58:$B$80,'Task 2 - Asset lvl analysis'!J14,AOB!$H$58:$H$80)</f>
        <v>2.0343</v>
      </c>
      <c r="K15" s="120">
        <f>SUMIF(AOB!$B$58:$B$80,'Task 2 - Asset lvl analysis'!K14,AOB!$H$58:$H$80)</f>
        <v>0</v>
      </c>
      <c r="L15" s="120">
        <f>SUMIF(AOB!$B$58:$B$80,'Task 2 - Asset lvl analysis'!L14,AOB!$H$58:$H$80)</f>
        <v>0.2298</v>
      </c>
      <c r="M15" s="120">
        <f>SUMIF(AOB!$B$58:$B$80,'Task 2 - Asset lvl analysis'!M14,AOB!$H$58:$H$80)</f>
        <v>0.79039999999999999</v>
      </c>
      <c r="N15" s="120">
        <f>SUMIF(AOB!$B$58:$B$80,'Task 2 - Asset lvl analysis'!N14,AOB!$H$58:$H$80)</f>
        <v>0</v>
      </c>
      <c r="O15" s="120">
        <f>SUMIF(AOB!$B$58:$B$80,'Task 2 - Asset lvl analysis'!O14,AOB!$H$58:$H$80)</f>
        <v>0</v>
      </c>
      <c r="P15" s="120">
        <f>SUMIF(AOB!$B$58:$B$80,'Task 2 - Asset lvl analysis'!P14,AOB!$H$58:$H$80)</f>
        <v>3.3687</v>
      </c>
      <c r="Q15" s="120">
        <f>SUMIF(AOB!$B$58:$B$80,'Task 2 - Asset lvl analysis'!Q14,AOB!$H$58:$H$80)</f>
        <v>0</v>
      </c>
      <c r="R15" s="120">
        <f>SUMIF(AOB!$B$58:$B$80,'Task 2 - Asset lvl analysis'!R14,AOB!$H$58:$H$80)</f>
        <v>432.5351</v>
      </c>
      <c r="S15" s="120">
        <f>SUMIF(AOB!$B$58:$B$80,'Task 2 - Asset lvl analysis'!S14,AOB!$H$58:$H$80)</f>
        <v>0</v>
      </c>
      <c r="T15" s="120">
        <f>SUMIF(AOB!$B$58:$B$80,'Task 2 - Asset lvl analysis'!T14,AOB!$H$58:$H$80)</f>
        <v>0</v>
      </c>
      <c r="U15" s="120">
        <f>SUMIF(AOB!$B$58:$B$80,'Task 2 - Asset lvl analysis'!U14,AOB!$H$58:$H$80)</f>
        <v>0</v>
      </c>
      <c r="V15" s="120">
        <f>SUMIF(AOB!$B$58:$B$80,'Task 2 - Asset lvl analysis'!V14,AOB!$H$58:$H$80)</f>
        <v>1.3111999999999999</v>
      </c>
      <c r="W15" s="120">
        <f>SUMIF(AOB!$B$58:$B$80,'Task 2 - Asset lvl analysis'!W14,AOB!$H$58:$H$80)</f>
        <v>0</v>
      </c>
      <c r="X15" s="219">
        <f>SUM(G15:W15)</f>
        <v>470.93259999999998</v>
      </c>
    </row>
    <row r="16" spans="1:25" ht="28" x14ac:dyDescent="0.35">
      <c r="A16" s="18"/>
      <c r="B16" s="218" t="s">
        <v>117</v>
      </c>
      <c r="C16" s="213" t="s">
        <v>98</v>
      </c>
      <c r="D16" s="119" t="s">
        <v>278</v>
      </c>
      <c r="E16" s="124" t="s">
        <v>14</v>
      </c>
      <c r="F16" s="124">
        <f>_xlfn.XLOOKUP(B16,'Structure dimensions'!$C$6:$C$49,'Structure dimensions'!$L$6:$L$49)</f>
        <v>118.31400000000001</v>
      </c>
      <c r="G16" s="125" cm="1">
        <f t="array" ref="G16">_xlfn.IFS(E16='Task 2 - Asset lvl analysis'!$B$8,((F16/'Task 2 - Asset lvl analysis'!$C$8)*'Task 2 - Asset lvl analysis'!$D$8),E16='Task 2 - Asset lvl analysis'!$B$9,((F16/'Task 2 - Asset lvl analysis'!$C$9)*'Task 2 - Asset lvl analysis'!$D$9),E16='Task 2 - Asset lvl analysis'!$B$10,((F16/'Task 2 - Asset lvl analysis'!$C$10)*'Task 2 - Asset lvl analysis'!$D$10))</f>
        <v>0.34425941789243075</v>
      </c>
      <c r="H16" s="125" cm="1">
        <f t="array" ref="H16">_xlfn.IFS(E16='Task 2 - Asset lvl analysis'!$B$8,((F16/'Task 2 - Asset lvl analysis'!$C$8)*'Task 2 - Asset lvl analysis'!$E$8),E16='Task 2 - Asset lvl analysis'!$B$9,((F16/'Task 2 - Asset lvl analysis'!$C$9)*'Task 2 - Asset lvl analysis'!$E$9),E16='Task 2 - Asset lvl analysis'!$B$10,((F16/'Task 2 - Asset lvl analysis'!$C$10)*'Task 2 - Asset lvl analysis'!$E$10))</f>
        <v>0</v>
      </c>
      <c r="I16" s="125" cm="1">
        <f t="array" ref="I16">_xlfn.IFS(E16='Task 2 - Asset lvl analysis'!$B$8,((F16/'Task 2 - Asset lvl analysis'!$C$8)*'Task 2 - Asset lvl analysis'!$F$8),E16='Task 2 - Asset lvl analysis'!$B$9,((F16/'Task 2 - Asset lvl analysis'!$C$9)*'Task 2 - Asset lvl analysis'!$F$9),E16='Task 2 - Asset lvl analysis'!$B$10,((F16/'Task 2 - Asset lvl analysis'!$C$10)*'Task 2 - Asset lvl analysis'!$F$10))</f>
        <v>7.5415251158701073</v>
      </c>
      <c r="J16" s="125" cm="1">
        <f t="array" ref="J16">_xlfn.IFS(E16='Task 2 - Asset lvl analysis'!$B$8,((F16/'Task 2 - Asset lvl analysis'!$C$8)*'Task 2 - Asset lvl analysis'!$G$8),E16='Task 2 - Asset lvl analysis'!$B$9,((F16/'Task 2 - Asset lvl analysis'!$C$9)*'Task 2 - Asset lvl analysis'!$G$9),E16='Task 2 - Asset lvl analysis'!$B$10,((F16/'Task 2 - Asset lvl analysis'!$C$10)*'Task 2 - Asset lvl analysis'!$G$10))</f>
        <v>10.497809439501646</v>
      </c>
      <c r="K16" s="125" cm="1">
        <f t="array" ref="K16">_xlfn.IFS($E16='Task 2 - Asset lvl analysis'!$B$8,(($F16/'Task 2 - Asset lvl analysis'!$C$8)*'Task 2 - Asset lvl analysis'!$H$8),$E16='Task 2 - Asset lvl analysis'!$B$9,((F16/'Task 2 - Asset lvl analysis'!$C$9)*'Task 2 - Asset lvl analysis'!$H$9),$E16='Task 2 - Asset lvl analysis'!$B$10,(($F16/'Task 2 - Asset lvl analysis'!$C$10)*'Task 2 - Asset lvl analysis'!$H$10))</f>
        <v>0</v>
      </c>
      <c r="L16" s="125" cm="1">
        <f t="array" ref="L16">_xlfn.IFS($E16='Task 2 - Asset lvl analysis'!$B$8,(($F16/'Task 2 - Asset lvl analysis'!$C$8)*'Task 2 - Asset lvl analysis'!$I$8),$E16='Task 2 - Asset lvl analysis'!$B$9,(($F16/'Task 2 - Asset lvl analysis'!$C$9)*'Task 2 - Asset lvl analysis'!$I$9),$E16='Task 2 - Asset lvl analysis'!$B$10,(($F16/'Task 2 - Asset lvl analysis'!$C$10)*'Task 2 - Asset lvl analysis'!$I$10))</f>
        <v>0.15511134558352335</v>
      </c>
      <c r="M16" s="125" cm="1">
        <f t="array" ref="M16">_xlfn.IFS($E16='Task 2 - Asset lvl analysis'!$B$8,(($F16/'Task 2 - Asset lvl analysis'!$C$8)*'Task 2 - Asset lvl analysis'!$J$8),$E16='Task 2 - Asset lvl analysis'!$B$9,(($F16/'Task 2 - Asset lvl analysis'!$C$9)*'Task 2 - Asset lvl analysis'!$J$9),$E16='Task 2 - Asset lvl analysis'!$B$10,(($F16/'Task 2 - Asset lvl analysis'!$C$10)*'Task 2 - Asset lvl analysis'!$J$10))</f>
        <v>0.37638925202306972</v>
      </c>
      <c r="N16" s="125" cm="1">
        <f t="array" ref="N16">_xlfn.IFS($E16='Task 2 - Asset lvl analysis'!$B$8,(($F16/'Task 2 - Asset lvl analysis'!$C$8)*'Task 2 - Asset lvl analysis'!$K$8),$E16='Task 2 - Asset lvl analysis'!$B$9,(($F16/'Task 2 - Asset lvl analysis'!$C$9)*'Task 2 - Asset lvl analysis'!$K$9),$E16='Task 2 - Asset lvl analysis'!$B$10,(($F16/'Task 2 - Asset lvl analysis'!$C$10)*'Task 2 - Asset lvl analysis'!$K$10))</f>
        <v>0</v>
      </c>
      <c r="O16" s="125" cm="1">
        <f t="array" ref="O16">_xlfn.IFS($E16='Task 2 - Asset lvl analysis'!$B$8,(($F16/'Task 2 - Asset lvl analysis'!$C$8)*'Task 2 - Asset lvl analysis'!$L$8),$E16='Task 2 - Asset lvl analysis'!$B$9,(($F16/'Task 2 - Asset lvl analysis'!$C$9)*'Task 2 - Asset lvl analysis'!$L$9),$E16='Task 2 - Asset lvl analysis'!$B$10,(($F16/'Task 2 - Asset lvl analysis'!$C$10)*'Task 2 - Asset lvl analysis'!$L$10))</f>
        <v>0</v>
      </c>
      <c r="P16" s="125" cm="1">
        <f t="array" ref="P16">_xlfn.IFS($E16='Task 2 - Asset lvl analysis'!$B$8,(($F16/'Task 2 - Asset lvl analysis'!$C$8)*'Task 2 - Asset lvl analysis'!$M$8),$E16='Task 2 - Asset lvl analysis'!$B$9,(($F16/'Task 2 - Asset lvl analysis'!$C$9)*'Task 2 - Asset lvl analysis'!$M$9),$E16='Task 2 - Asset lvl analysis'!$B$10,(($F16/'Task 2 - Asset lvl analysis'!$C$10)*'Task 2 - Asset lvl analysis'!$M$10))</f>
        <v>0</v>
      </c>
      <c r="Q16" s="125" cm="1">
        <f t="array" ref="Q16">_xlfn.IFS($E16='Task 2 - Asset lvl analysis'!$B$8,(($F16/'Task 2 - Asset lvl analysis'!$C$8)*'Task 2 - Asset lvl analysis'!$N$8),$E16='Task 2 - Asset lvl analysis'!$B$9,(($F16/'Task 2 - Asset lvl analysis'!$C$9)*'Task 2 - Asset lvl analysis'!$N$9),$E16='Task 2 - Asset lvl analysis'!$B$10,(($F16/'Task 2 - Asset lvl analysis'!$C$10)*'Task 2 - Asset lvl analysis'!$N$10))</f>
        <v>0</v>
      </c>
      <c r="R16" s="125" cm="1">
        <f t="array" ref="R16">_xlfn.IFS($E16='Task 2 - Asset lvl analysis'!$B$8,(($F16/'Task 2 - Asset lvl analysis'!$C$8)*'Task 2 - Asset lvl analysis'!$O$8),$E16='Task 2 - Asset lvl analysis'!$B$9,(($F16/'Task 2 - Asset lvl analysis'!$C$9)*'Task 2 - Asset lvl analysis'!$O$9),$E16='Task 2 - Asset lvl analysis'!$B$10,(($F16/'Task 2 - Asset lvl analysis'!$C$10)*'Task 2 - Asset lvl analysis'!$O$10))</f>
        <v>189.206219472139</v>
      </c>
      <c r="S16" s="125" cm="1">
        <f t="array" ref="S16">_xlfn.IFS($E16='Task 2 - Asset lvl analysis'!$B$8,(($F16/'Task 2 - Asset lvl analysis'!$C$8)*'Task 2 - Asset lvl analysis'!$P$8),$E16='Task 2 - Asset lvl analysis'!$B$9,(($F16/'Task 2 - Asset lvl analysis'!$C$9)*'Task 2 - Asset lvl analysis'!$P$9),$E16='Task 2 - Asset lvl analysis'!$B$10,(($F16/'Task 2 - Asset lvl analysis'!$C$10)*'Task 2 - Asset lvl analysis'!$P$10))</f>
        <v>0</v>
      </c>
      <c r="T16" s="125" cm="1">
        <f t="array" ref="T16">_xlfn.IFS($E16='Task 2 - Asset lvl analysis'!$B$8,(($F16/'Task 2 - Asset lvl analysis'!$C$8)*'Task 2 - Asset lvl analysis'!$Q$8),$E16='Task 2 - Asset lvl analysis'!$B$9,(($F16/'Task 2 - Asset lvl analysis'!$C$9)*'Task 2 - Asset lvl analysis'!$Q$9),$E16='Task 2 - Asset lvl analysis'!$B$10,(($F16/'Task 2 - Asset lvl analysis'!$C$10)*'Task 2 - Asset lvl analysis'!$Q$10))</f>
        <v>0</v>
      </c>
      <c r="U16" s="125" cm="1">
        <f t="array" ref="U16">_xlfn.IFS($E16='Task 2 - Asset lvl analysis'!$B$8,(($F16/'Task 2 - Asset lvl analysis'!$C$8)*'Task 2 - Asset lvl analysis'!$R$8),$E16='Task 2 - Asset lvl analysis'!$B$9,(($F16/'Task 2 - Asset lvl analysis'!$C$9)*'Task 2 - Asset lvl analysis'!$R$9),$E16='Task 2 - Asset lvl analysis'!$B$10,(($F16/'Task 2 - Asset lvl analysis'!$C$10)*'Task 2 - Asset lvl analysis'!$R$10))</f>
        <v>0</v>
      </c>
      <c r="V16" s="125" cm="1">
        <f t="array" ref="V16">_xlfn.IFS($E16='Task 2 - Asset lvl analysis'!$B$8,(($F16/'Task 2 - Asset lvl analysis'!$C$8)*'Task 2 - Asset lvl analysis'!$S$8),$E16='Task 2 - Asset lvl analysis'!$B$9,(($F16/'Task 2 - Asset lvl analysis'!$C$9)*'Task 2 - Asset lvl analysis'!$S$9),$E16='Task 2 - Asset lvl analysis'!$B$10,(($F16/'Task 2 - Asset lvl analysis'!$C$10)*'Task 2 - Asset lvl analysis'!$S$10))</f>
        <v>1.3252119878988391</v>
      </c>
      <c r="W16" s="125" cm="1">
        <f t="array" ref="W16">_xlfn.IFS($E16='Task 2 - Asset lvl analysis'!$B$8,(($F16/'Task 2 - Asset lvl analysis'!$C$8)*'Task 2 - Asset lvl analysis'!$T$8),$E16='Task 2 - Asset lvl analysis'!$B$9,(($F16/'Task 2 - Asset lvl analysis'!$C$9)*'Task 2 - Asset lvl analysis'!$T$9),$E16='Task 2 - Asset lvl analysis'!$B$10,(($F16/'Task 2 - Asset lvl analysis'!$C$10)*'Task 2 - Asset lvl analysis'!$T$10))</f>
        <v>0</v>
      </c>
      <c r="X16" s="219">
        <f>SUM(G16:W16)</f>
        <v>209.44652603090859</v>
      </c>
      <c r="Y16" s="238"/>
    </row>
    <row r="17" spans="1:24" ht="28" x14ac:dyDescent="0.35">
      <c r="A17" s="18"/>
      <c r="B17" s="218" t="s">
        <v>118</v>
      </c>
      <c r="C17" s="213" t="s">
        <v>99</v>
      </c>
      <c r="D17" s="119" t="s">
        <v>278</v>
      </c>
      <c r="E17" s="124" t="s">
        <v>14</v>
      </c>
      <c r="F17" s="124">
        <f>_xlfn.XLOOKUP(B17,'Structure dimensions'!$C$6:$C$49,'Structure dimensions'!$L$6:$L$49)</f>
        <v>113.048</v>
      </c>
      <c r="G17" s="125" cm="1">
        <f t="array" ref="G17">_xlfn.IFS(E17='Task 2 - Asset lvl analysis'!$B$8,((F17/'Task 2 - Asset lvl analysis'!$C$8)*'Task 2 - Asset lvl analysis'!$D$8),E17='Task 2 - Asset lvl analysis'!$B$9,((F17/'Task 2 - Asset lvl analysis'!$C$9)*'Task 2 - Asset lvl analysis'!$D$9),E17='Task 2 - Asset lvl analysis'!$B$10,((F17/'Task 2 - Asset lvl analysis'!$C$10)*'Task 2 - Asset lvl analysis'!$D$10))</f>
        <v>0.32893688552414352</v>
      </c>
      <c r="H17" s="125" cm="1">
        <f t="array" ref="H17">_xlfn.IFS(E17='Task 2 - Asset lvl analysis'!$B$8,((F17/'Task 2 - Asset lvl analysis'!$C$8)*'Task 2 - Asset lvl analysis'!$E$8),E17='Task 2 - Asset lvl analysis'!$B$9,((F17/'Task 2 - Asset lvl analysis'!$C$9)*'Task 2 - Asset lvl analysis'!$E$9),E17='Task 2 - Asset lvl analysis'!$B$10,((F17/'Task 2 - Asset lvl analysis'!$C$10)*'Task 2 - Asset lvl analysis'!$E$10))</f>
        <v>0</v>
      </c>
      <c r="I17" s="125" cm="1">
        <f t="array" ref="I17">_xlfn.IFS(E17='Task 2 - Asset lvl analysis'!$B$8,((F17/'Task 2 - Asset lvl analysis'!$C$8)*'Task 2 - Asset lvl analysis'!$F$8),E17='Task 2 - Asset lvl analysis'!$B$9,((F17/'Task 2 - Asset lvl analysis'!$C$9)*'Task 2 - Asset lvl analysis'!$F$9),E17='Task 2 - Asset lvl analysis'!$B$10,((F17/'Task 2 - Asset lvl analysis'!$C$10)*'Task 2 - Asset lvl analysis'!$F$10))</f>
        <v>7.2058617855780707</v>
      </c>
      <c r="J17" s="125" cm="1">
        <f t="array" ref="J17">_xlfn.IFS(E17='Task 2 - Asset lvl analysis'!$B$8,((F17/'Task 2 - Asset lvl analysis'!$C$8)*'Task 2 - Asset lvl analysis'!$G$8),E17='Task 2 - Asset lvl analysis'!$B$9,((F17/'Task 2 - Asset lvl analysis'!$C$9)*'Task 2 - Asset lvl analysis'!$G$9),E17='Task 2 - Asset lvl analysis'!$B$10,((F17/'Task 2 - Asset lvl analysis'!$C$10)*'Task 2 - Asset lvl analysis'!$G$10))</f>
        <v>10.030565795398534</v>
      </c>
      <c r="K17" s="125" cm="1">
        <f t="array" ref="K17">_xlfn.IFS($E17='Task 2 - Asset lvl analysis'!$B$8,(($F17/'Task 2 - Asset lvl analysis'!$C$8)*'Task 2 - Asset lvl analysis'!$H$8),$E17='Task 2 - Asset lvl analysis'!$B$9,((F17/'Task 2 - Asset lvl analysis'!$C$9)*'Task 2 - Asset lvl analysis'!$H$9),$E17='Task 2 - Asset lvl analysis'!$B$10,(($F17/'Task 2 - Asset lvl analysis'!$C$10)*'Task 2 - Asset lvl analysis'!$H$10))</f>
        <v>0</v>
      </c>
      <c r="L17" s="125" cm="1">
        <f t="array" ref="L17">_xlfn.IFS($E17='Task 2 - Asset lvl analysis'!$B$8,(($F17/'Task 2 - Asset lvl analysis'!$C$8)*'Task 2 - Asset lvl analysis'!$I$8),$E17='Task 2 - Asset lvl analysis'!$B$9,(($F17/'Task 2 - Asset lvl analysis'!$C$9)*'Task 2 - Asset lvl analysis'!$I$9),$E17='Task 2 - Asset lvl analysis'!$B$10,(($F17/'Task 2 - Asset lvl analysis'!$C$10)*'Task 2 - Asset lvl analysis'!$I$10))</f>
        <v>0.14820754429337313</v>
      </c>
      <c r="M17" s="125" cm="1">
        <f t="array" ref="M17">_xlfn.IFS($E17='Task 2 - Asset lvl analysis'!$B$8,(($F17/'Task 2 - Asset lvl analysis'!$C$8)*'Task 2 - Asset lvl analysis'!$J$8),$E17='Task 2 - Asset lvl analysis'!$B$9,(($F17/'Task 2 - Asset lvl analysis'!$C$9)*'Task 2 - Asset lvl analysis'!$J$9),$E17='Task 2 - Asset lvl analysis'!$B$10,(($F17/'Task 2 - Asset lvl analysis'!$C$10)*'Task 2 - Asset lvl analysis'!$J$10))</f>
        <v>0.35963666313964521</v>
      </c>
      <c r="N17" s="125" cm="1">
        <f t="array" ref="N17">_xlfn.IFS($E17='Task 2 - Asset lvl analysis'!$B$8,(($F17/'Task 2 - Asset lvl analysis'!$C$8)*'Task 2 - Asset lvl analysis'!$K$8),$E17='Task 2 - Asset lvl analysis'!$B$9,(($F17/'Task 2 - Asset lvl analysis'!$C$9)*'Task 2 - Asset lvl analysis'!$K$9),$E17='Task 2 - Asset lvl analysis'!$B$10,(($F17/'Task 2 - Asset lvl analysis'!$C$10)*'Task 2 - Asset lvl analysis'!$K$10))</f>
        <v>0</v>
      </c>
      <c r="O17" s="125" cm="1">
        <f t="array" ref="O17">_xlfn.IFS($E17='Task 2 - Asset lvl analysis'!$B$8,(($F17/'Task 2 - Asset lvl analysis'!$C$8)*'Task 2 - Asset lvl analysis'!$L$8),$E17='Task 2 - Asset lvl analysis'!$B$9,(($F17/'Task 2 - Asset lvl analysis'!$C$9)*'Task 2 - Asset lvl analysis'!$L$9),$E17='Task 2 - Asset lvl analysis'!$B$10,(($F17/'Task 2 - Asset lvl analysis'!$C$10)*'Task 2 - Asset lvl analysis'!$L$10))</f>
        <v>0</v>
      </c>
      <c r="P17" s="125" cm="1">
        <f t="array" ref="P17">_xlfn.IFS($E17='Task 2 - Asset lvl analysis'!$B$8,(($F17/'Task 2 - Asset lvl analysis'!$C$8)*'Task 2 - Asset lvl analysis'!$M$8),$E17='Task 2 - Asset lvl analysis'!$B$9,(($F17/'Task 2 - Asset lvl analysis'!$C$9)*'Task 2 - Asset lvl analysis'!$M$9),$E17='Task 2 - Asset lvl analysis'!$B$10,(($F17/'Task 2 - Asset lvl analysis'!$C$10)*'Task 2 - Asset lvl analysis'!$M$10))</f>
        <v>0</v>
      </c>
      <c r="Q17" s="125" cm="1">
        <f t="array" ref="Q17">_xlfn.IFS($E17='Task 2 - Asset lvl analysis'!$B$8,(($F17/'Task 2 - Asset lvl analysis'!$C$8)*'Task 2 - Asset lvl analysis'!$N$8),$E17='Task 2 - Asset lvl analysis'!$B$9,(($F17/'Task 2 - Asset lvl analysis'!$C$9)*'Task 2 - Asset lvl analysis'!$N$9),$E17='Task 2 - Asset lvl analysis'!$B$10,(($F17/'Task 2 - Asset lvl analysis'!$C$10)*'Task 2 - Asset lvl analysis'!$N$10))</f>
        <v>0</v>
      </c>
      <c r="R17" s="125" cm="1">
        <f t="array" ref="R17">_xlfn.IFS($E17='Task 2 - Asset lvl analysis'!$B$8,(($F17/'Task 2 - Asset lvl analysis'!$C$8)*'Task 2 - Asset lvl analysis'!$O$8),$E17='Task 2 - Asset lvl analysis'!$B$9,(($F17/'Task 2 - Asset lvl analysis'!$C$9)*'Task 2 - Asset lvl analysis'!$O$9),$E17='Task 2 - Asset lvl analysis'!$B$10,(($F17/'Task 2 - Asset lvl analysis'!$C$10)*'Task 2 - Asset lvl analysis'!$O$10))</f>
        <v>180.78490034050384</v>
      </c>
      <c r="S17" s="125" cm="1">
        <f t="array" ref="S17">_xlfn.IFS($E17='Task 2 - Asset lvl analysis'!$B$8,(($F17/'Task 2 - Asset lvl analysis'!$C$8)*'Task 2 - Asset lvl analysis'!$P$8),$E17='Task 2 - Asset lvl analysis'!$B$9,(($F17/'Task 2 - Asset lvl analysis'!$C$9)*'Task 2 - Asset lvl analysis'!$P$9),$E17='Task 2 - Asset lvl analysis'!$B$10,(($F17/'Task 2 - Asset lvl analysis'!$C$10)*'Task 2 - Asset lvl analysis'!$P$10))</f>
        <v>0</v>
      </c>
      <c r="T17" s="125" cm="1">
        <f t="array" ref="T17">_xlfn.IFS($E17='Task 2 - Asset lvl analysis'!$B$8,(($F17/'Task 2 - Asset lvl analysis'!$C$8)*'Task 2 - Asset lvl analysis'!$Q$8),$E17='Task 2 - Asset lvl analysis'!$B$9,(($F17/'Task 2 - Asset lvl analysis'!$C$9)*'Task 2 - Asset lvl analysis'!$Q$9),$E17='Task 2 - Asset lvl analysis'!$B$10,(($F17/'Task 2 - Asset lvl analysis'!$C$10)*'Task 2 - Asset lvl analysis'!$Q$10))</f>
        <v>0</v>
      </c>
      <c r="U17" s="125" cm="1">
        <f t="array" ref="U17">_xlfn.IFS($E17='Task 2 - Asset lvl analysis'!$B$8,(($F17/'Task 2 - Asset lvl analysis'!$C$8)*'Task 2 - Asset lvl analysis'!$R$8),$E17='Task 2 - Asset lvl analysis'!$B$9,(($F17/'Task 2 - Asset lvl analysis'!$C$9)*'Task 2 - Asset lvl analysis'!$R$9),$E17='Task 2 - Asset lvl analysis'!$B$10,(($F17/'Task 2 - Asset lvl analysis'!$C$10)*'Task 2 - Asset lvl analysis'!$R$10))</f>
        <v>0</v>
      </c>
      <c r="V17" s="125" cm="1">
        <f t="array" ref="V17">_xlfn.IFS($E17='Task 2 - Asset lvl analysis'!$B$8,(($F17/'Task 2 - Asset lvl analysis'!$C$8)*'Task 2 - Asset lvl analysis'!$S$8),$E17='Task 2 - Asset lvl analysis'!$B$9,(($F17/'Task 2 - Asset lvl analysis'!$C$9)*'Task 2 - Asset lvl analysis'!$S$9),$E17='Task 2 - Asset lvl analysis'!$B$10,(($F17/'Task 2 - Asset lvl analysis'!$C$10)*'Task 2 - Asset lvl analysis'!$S$10))</f>
        <v>1.266228551211082</v>
      </c>
      <c r="W17" s="125" cm="1">
        <f t="array" ref="W17">_xlfn.IFS($E17='Task 2 - Asset lvl analysis'!$B$8,(($F17/'Task 2 - Asset lvl analysis'!$C$8)*'Task 2 - Asset lvl analysis'!$T$8),$E17='Task 2 - Asset lvl analysis'!$B$9,(($F17/'Task 2 - Asset lvl analysis'!$C$9)*'Task 2 - Asset lvl analysis'!$T$9),$E17='Task 2 - Asset lvl analysis'!$B$10,(($F17/'Task 2 - Asset lvl analysis'!$C$10)*'Task 2 - Asset lvl analysis'!$T$10))</f>
        <v>0</v>
      </c>
      <c r="X17" s="219">
        <f t="shared" ref="X17:X64" si="0">SUM(G17:W17)</f>
        <v>200.12433756564869</v>
      </c>
    </row>
    <row r="18" spans="1:24" ht="28" x14ac:dyDescent="0.35">
      <c r="A18" s="18"/>
      <c r="B18" s="218" t="s">
        <v>133</v>
      </c>
      <c r="C18" s="213" t="s">
        <v>100</v>
      </c>
      <c r="D18" s="119" t="s">
        <v>278</v>
      </c>
      <c r="E18" s="124" t="s">
        <v>14</v>
      </c>
      <c r="F18" s="124">
        <f>_xlfn.XLOOKUP(B18,'Structure dimensions'!$C$6:$C$49,'Structure dimensions'!$L$6:$L$49)</f>
        <v>93.960000000000008</v>
      </c>
      <c r="G18" s="125" cm="1">
        <f t="array" ref="G18">_xlfn.IFS(E18='Task 2 - Asset lvl analysis'!$B$8,((F18/'Task 2 - Asset lvl analysis'!$C$8)*'Task 2 - Asset lvl analysis'!$D$8),E18='Task 2 - Asset lvl analysis'!$B$9,((F18/'Task 2 - Asset lvl analysis'!$C$9)*'Task 2 - Asset lvl analysis'!$D$9),E18='Task 2 - Asset lvl analysis'!$B$10,((F18/'Task 2 - Asset lvl analysis'!$C$10)*'Task 2 - Asset lvl analysis'!$D$10))</f>
        <v>0.27339634282648539</v>
      </c>
      <c r="H18" s="125" cm="1">
        <f t="array" ref="H18">_xlfn.IFS(E18='Task 2 - Asset lvl analysis'!$B$8,((F18/'Task 2 - Asset lvl analysis'!$C$8)*'Task 2 - Asset lvl analysis'!$E$8),E18='Task 2 - Asset lvl analysis'!$B$9,((F18/'Task 2 - Asset lvl analysis'!$C$9)*'Task 2 - Asset lvl analysis'!$E$9),E18='Task 2 - Asset lvl analysis'!$B$10,((F18/'Task 2 - Asset lvl analysis'!$C$10)*'Task 2 - Asset lvl analysis'!$E$10))</f>
        <v>0</v>
      </c>
      <c r="I18" s="125" cm="1">
        <f t="array" ref="I18">_xlfn.IFS(E18='Task 2 - Asset lvl analysis'!$B$8,((F18/'Task 2 - Asset lvl analysis'!$C$8)*'Task 2 - Asset lvl analysis'!$F$8),E18='Task 2 - Asset lvl analysis'!$B$9,((F18/'Task 2 - Asset lvl analysis'!$C$9)*'Task 2 - Asset lvl analysis'!$F$9),E18='Task 2 - Asset lvl analysis'!$B$10,((F18/'Task 2 - Asset lvl analysis'!$C$10)*'Task 2 - Asset lvl analysis'!$F$10))</f>
        <v>5.9891618902847954</v>
      </c>
      <c r="J18" s="125" cm="1">
        <f t="array" ref="J18">_xlfn.IFS(E18='Task 2 - Asset lvl analysis'!$B$8,((F18/'Task 2 - Asset lvl analysis'!$C$8)*'Task 2 - Asset lvl analysis'!$G$8),E18='Task 2 - Asset lvl analysis'!$B$9,((F18/'Task 2 - Asset lvl analysis'!$C$9)*'Task 2 - Asset lvl analysis'!$G$9),E18='Task 2 - Asset lvl analysis'!$B$10,((F18/'Task 2 - Asset lvl analysis'!$C$10)*'Task 2 - Asset lvl analysis'!$G$10))</f>
        <v>8.3369184959985692</v>
      </c>
      <c r="K18" s="125" cm="1">
        <f t="array" ref="K18">_xlfn.IFS($E18='Task 2 - Asset lvl analysis'!$B$8,(($F18/'Task 2 - Asset lvl analysis'!$C$8)*'Task 2 - Asset lvl analysis'!$H$8),$E18='Task 2 - Asset lvl analysis'!$B$9,((F18/'Task 2 - Asset lvl analysis'!$C$9)*'Task 2 - Asset lvl analysis'!$H$9),$E18='Task 2 - Asset lvl analysis'!$B$10,(($F18/'Task 2 - Asset lvl analysis'!$C$10)*'Task 2 - Asset lvl analysis'!$H$10))</f>
        <v>0</v>
      </c>
      <c r="L18" s="125" cm="1">
        <f t="array" ref="L18">_xlfn.IFS($E18='Task 2 - Asset lvl analysis'!$B$8,(($F18/'Task 2 - Asset lvl analysis'!$C$8)*'Task 2 - Asset lvl analysis'!$I$8),$E18='Task 2 - Asset lvl analysis'!$B$9,(($F18/'Task 2 - Asset lvl analysis'!$C$9)*'Task 2 - Asset lvl analysis'!$I$9),$E18='Task 2 - Asset lvl analysis'!$B$10,(($F18/'Task 2 - Asset lvl analysis'!$C$10)*'Task 2 - Asset lvl analysis'!$I$10))</f>
        <v>0.1231829033844503</v>
      </c>
      <c r="M18" s="125" cm="1">
        <f t="array" ref="M18">_xlfn.IFS($E18='Task 2 - Asset lvl analysis'!$B$8,(($F18/'Task 2 - Asset lvl analysis'!$C$8)*'Task 2 - Asset lvl analysis'!$J$8),$E18='Task 2 - Asset lvl analysis'!$B$9,(($F18/'Task 2 - Asset lvl analysis'!$C$9)*'Task 2 - Asset lvl analysis'!$J$9),$E18='Task 2 - Asset lvl analysis'!$B$10,(($F18/'Task 2 - Asset lvl analysis'!$C$10)*'Task 2 - Asset lvl analysis'!$J$10))</f>
        <v>0.29891250502973132</v>
      </c>
      <c r="N18" s="125" cm="1">
        <f t="array" ref="N18">_xlfn.IFS($E18='Task 2 - Asset lvl analysis'!$B$8,(($F18/'Task 2 - Asset lvl analysis'!$C$8)*'Task 2 - Asset lvl analysis'!$K$8),$E18='Task 2 - Asset lvl analysis'!$B$9,(($F18/'Task 2 - Asset lvl analysis'!$C$9)*'Task 2 - Asset lvl analysis'!$K$9),$E18='Task 2 - Asset lvl analysis'!$B$10,(($F18/'Task 2 - Asset lvl analysis'!$C$10)*'Task 2 - Asset lvl analysis'!$K$10))</f>
        <v>0</v>
      </c>
      <c r="O18" s="125" cm="1">
        <f t="array" ref="O18">_xlfn.IFS($E18='Task 2 - Asset lvl analysis'!$B$8,(($F18/'Task 2 - Asset lvl analysis'!$C$8)*'Task 2 - Asset lvl analysis'!$L$8),$E18='Task 2 - Asset lvl analysis'!$B$9,(($F18/'Task 2 - Asset lvl analysis'!$C$9)*'Task 2 - Asset lvl analysis'!$L$9),$E18='Task 2 - Asset lvl analysis'!$B$10,(($F18/'Task 2 - Asset lvl analysis'!$C$10)*'Task 2 - Asset lvl analysis'!$L$10))</f>
        <v>0</v>
      </c>
      <c r="P18" s="125" cm="1">
        <f t="array" ref="P18">_xlfn.IFS($E18='Task 2 - Asset lvl analysis'!$B$8,(($F18/'Task 2 - Asset lvl analysis'!$C$8)*'Task 2 - Asset lvl analysis'!$M$8),$E18='Task 2 - Asset lvl analysis'!$B$9,(($F18/'Task 2 - Asset lvl analysis'!$C$9)*'Task 2 - Asset lvl analysis'!$M$9),$E18='Task 2 - Asset lvl analysis'!$B$10,(($F18/'Task 2 - Asset lvl analysis'!$C$10)*'Task 2 - Asset lvl analysis'!$M$10))</f>
        <v>0</v>
      </c>
      <c r="Q18" s="125" cm="1">
        <f t="array" ref="Q18">_xlfn.IFS($E18='Task 2 - Asset lvl analysis'!$B$8,(($F18/'Task 2 - Asset lvl analysis'!$C$8)*'Task 2 - Asset lvl analysis'!$N$8),$E18='Task 2 - Asset lvl analysis'!$B$9,(($F18/'Task 2 - Asset lvl analysis'!$C$9)*'Task 2 - Asset lvl analysis'!$N$9),$E18='Task 2 - Asset lvl analysis'!$B$10,(($F18/'Task 2 - Asset lvl analysis'!$C$10)*'Task 2 - Asset lvl analysis'!$N$10))</f>
        <v>0</v>
      </c>
      <c r="R18" s="125" cm="1">
        <f t="array" ref="R18">_xlfn.IFS($E18='Task 2 - Asset lvl analysis'!$B$8,(($F18/'Task 2 - Asset lvl analysis'!$C$8)*'Task 2 - Asset lvl analysis'!$O$8),$E18='Task 2 - Asset lvl analysis'!$B$9,(($F18/'Task 2 - Asset lvl analysis'!$C$9)*'Task 2 - Asset lvl analysis'!$O$9),$E18='Task 2 - Asset lvl analysis'!$B$10,(($F18/'Task 2 - Asset lvl analysis'!$C$10)*'Task 2 - Asset lvl analysis'!$O$10))</f>
        <v>150.25961747216883</v>
      </c>
      <c r="S18" s="125" cm="1">
        <f t="array" ref="S18">_xlfn.IFS($E18='Task 2 - Asset lvl analysis'!$B$8,(($F18/'Task 2 - Asset lvl analysis'!$C$8)*'Task 2 - Asset lvl analysis'!$P$8),$E18='Task 2 - Asset lvl analysis'!$B$9,(($F18/'Task 2 - Asset lvl analysis'!$C$9)*'Task 2 - Asset lvl analysis'!$P$9),$E18='Task 2 - Asset lvl analysis'!$B$10,(($F18/'Task 2 - Asset lvl analysis'!$C$10)*'Task 2 - Asset lvl analysis'!$P$10))</f>
        <v>0</v>
      </c>
      <c r="T18" s="125" cm="1">
        <f t="array" ref="T18">_xlfn.IFS($E18='Task 2 - Asset lvl analysis'!$B$8,(($F18/'Task 2 - Asset lvl analysis'!$C$8)*'Task 2 - Asset lvl analysis'!$Q$8),$E18='Task 2 - Asset lvl analysis'!$B$9,(($F18/'Task 2 - Asset lvl analysis'!$C$9)*'Task 2 - Asset lvl analysis'!$Q$9),$E18='Task 2 - Asset lvl analysis'!$B$10,(($F18/'Task 2 - Asset lvl analysis'!$C$10)*'Task 2 - Asset lvl analysis'!$Q$10))</f>
        <v>0</v>
      </c>
      <c r="U18" s="125" cm="1">
        <f t="array" ref="U18">_xlfn.IFS($E18='Task 2 - Asset lvl analysis'!$B$8,(($F18/'Task 2 - Asset lvl analysis'!$C$8)*'Task 2 - Asset lvl analysis'!$R$8),$E18='Task 2 - Asset lvl analysis'!$B$9,(($F18/'Task 2 - Asset lvl analysis'!$C$9)*'Task 2 - Asset lvl analysis'!$R$9),$E18='Task 2 - Asset lvl analysis'!$B$10,(($F18/'Task 2 - Asset lvl analysis'!$C$10)*'Task 2 - Asset lvl analysis'!$R$10))</f>
        <v>0</v>
      </c>
      <c r="V18" s="125" cm="1">
        <f t="array" ref="V18">_xlfn.IFS($E18='Task 2 - Asset lvl analysis'!$B$8,(($F18/'Task 2 - Asset lvl analysis'!$C$8)*'Task 2 - Asset lvl analysis'!$S$8),$E18='Task 2 - Asset lvl analysis'!$B$9,(($F18/'Task 2 - Asset lvl analysis'!$C$9)*'Task 2 - Asset lvl analysis'!$S$9),$E18='Task 2 - Asset lvl analysis'!$B$10,(($F18/'Task 2 - Asset lvl analysis'!$C$10)*'Task 2 - Asset lvl analysis'!$S$10))</f>
        <v>1.052427594223633</v>
      </c>
      <c r="W18" s="125" cm="1">
        <f t="array" ref="W18">_xlfn.IFS($E18='Task 2 - Asset lvl analysis'!$B$8,(($F18/'Task 2 - Asset lvl analysis'!$C$8)*'Task 2 - Asset lvl analysis'!$T$8),$E18='Task 2 - Asset lvl analysis'!$B$9,(($F18/'Task 2 - Asset lvl analysis'!$C$9)*'Task 2 - Asset lvl analysis'!$T$9),$E18='Task 2 - Asset lvl analysis'!$B$10,(($F18/'Task 2 - Asset lvl analysis'!$C$10)*'Task 2 - Asset lvl analysis'!$T$10))</f>
        <v>0</v>
      </c>
      <c r="X18" s="219">
        <f t="shared" si="0"/>
        <v>166.3336172039165</v>
      </c>
    </row>
    <row r="19" spans="1:24" ht="28" x14ac:dyDescent="0.35">
      <c r="A19" s="18"/>
      <c r="B19" s="218" t="s">
        <v>119</v>
      </c>
      <c r="C19" s="213" t="s">
        <v>101</v>
      </c>
      <c r="D19" s="119" t="s">
        <v>278</v>
      </c>
      <c r="E19" s="124" t="s">
        <v>14</v>
      </c>
      <c r="F19" s="124">
        <f>_xlfn.XLOOKUP(B19,'Structure dimensions'!$C$6:$C$49,'Structure dimensions'!$L$6:$L$49)</f>
        <v>100.947</v>
      </c>
      <c r="G19" s="125" cm="1">
        <f t="array" ref="G19">_xlfn.IFS(E19='Task 2 - Asset lvl analysis'!$B$8,((F19/'Task 2 - Asset lvl analysis'!$C$8)*'Task 2 - Asset lvl analysis'!$D$8),E19='Task 2 - Asset lvl analysis'!$B$9,((F19/'Task 2 - Asset lvl analysis'!$C$9)*'Task 2 - Asset lvl analysis'!$D$9),E19='Task 2 - Asset lvl analysis'!$B$10,((F19/'Task 2 - Asset lvl analysis'!$C$10)*'Task 2 - Asset lvl analysis'!$D$10))</f>
        <v>0.2937264859440743</v>
      </c>
      <c r="H19" s="125" cm="1">
        <f t="array" ref="H19">_xlfn.IFS(E19='Task 2 - Asset lvl analysis'!$B$8,((F19/'Task 2 - Asset lvl analysis'!$C$8)*'Task 2 - Asset lvl analysis'!$E$8),E19='Task 2 - Asset lvl analysis'!$B$9,((F19/'Task 2 - Asset lvl analysis'!$C$9)*'Task 2 - Asset lvl analysis'!$E$9),E19='Task 2 - Asset lvl analysis'!$B$10,((F19/'Task 2 - Asset lvl analysis'!$C$10)*'Task 2 - Asset lvl analysis'!$E$10))</f>
        <v>0</v>
      </c>
      <c r="I19" s="125" cm="1">
        <f t="array" ref="I19">_xlfn.IFS(E19='Task 2 - Asset lvl analysis'!$B$8,((F19/'Task 2 - Asset lvl analysis'!$C$8)*'Task 2 - Asset lvl analysis'!$F$8),E19='Task 2 - Asset lvl analysis'!$B$9,((F19/'Task 2 - Asset lvl analysis'!$C$9)*'Task 2 - Asset lvl analysis'!$F$9),E19='Task 2 - Asset lvl analysis'!$B$10,((F19/'Task 2 - Asset lvl analysis'!$C$10)*'Task 2 - Asset lvl analysis'!$F$10))</f>
        <v>6.4345245353190634</v>
      </c>
      <c r="J19" s="125" cm="1">
        <f t="array" ref="J19">_xlfn.IFS(E19='Task 2 - Asset lvl analysis'!$B$8,((F19/'Task 2 - Asset lvl analysis'!$C$8)*'Task 2 - Asset lvl analysis'!$G$8),E19='Task 2 - Asset lvl analysis'!$B$9,((F19/'Task 2 - Asset lvl analysis'!$C$9)*'Task 2 - Asset lvl analysis'!$G$9),E19='Task 2 - Asset lvl analysis'!$B$10,((F19/'Task 2 - Asset lvl analysis'!$C$10)*'Task 2 - Asset lvl analysis'!$G$10))</f>
        <v>8.956863680455168</v>
      </c>
      <c r="K19" s="125" cm="1">
        <f t="array" ref="K19">_xlfn.IFS($E19='Task 2 - Asset lvl analysis'!$B$8,(($F19/'Task 2 - Asset lvl analysis'!$C$8)*'Task 2 - Asset lvl analysis'!$H$8),$E19='Task 2 - Asset lvl analysis'!$B$9,((F19/'Task 2 - Asset lvl analysis'!$C$9)*'Task 2 - Asset lvl analysis'!$H$9),$E19='Task 2 - Asset lvl analysis'!$B$10,(($F19/'Task 2 - Asset lvl analysis'!$C$10)*'Task 2 - Asset lvl analysis'!$H$10))</f>
        <v>0</v>
      </c>
      <c r="L19" s="125" cm="1">
        <f t="array" ref="L19">_xlfn.IFS($E19='Task 2 - Asset lvl analysis'!$B$8,(($F19/'Task 2 - Asset lvl analysis'!$C$8)*'Task 2 - Asset lvl analysis'!$I$8),$E19='Task 2 - Asset lvl analysis'!$B$9,(($F19/'Task 2 - Asset lvl analysis'!$C$9)*'Task 2 - Asset lvl analysis'!$I$9),$E19='Task 2 - Asset lvl analysis'!$B$10,(($F19/'Task 2 - Asset lvl analysis'!$C$10)*'Task 2 - Asset lvl analysis'!$I$10))</f>
        <v>0.1323429602804396</v>
      </c>
      <c r="M19" s="125" cm="1">
        <f t="array" ref="M19">_xlfn.IFS($E19='Task 2 - Asset lvl analysis'!$B$8,(($F19/'Task 2 - Asset lvl analysis'!$C$8)*'Task 2 - Asset lvl analysis'!$J$8),$E19='Task 2 - Asset lvl analysis'!$B$9,(($F19/'Task 2 - Asset lvl analysis'!$C$9)*'Task 2 - Asset lvl analysis'!$J$9),$E19='Task 2 - Asset lvl analysis'!$B$10,(($F19/'Task 2 - Asset lvl analysis'!$C$10)*'Task 2 - Asset lvl analysis'!$J$10))</f>
        <v>0.32114006646696769</v>
      </c>
      <c r="N19" s="125" cm="1">
        <f t="array" ref="N19">_xlfn.IFS($E19='Task 2 - Asset lvl analysis'!$B$8,(($F19/'Task 2 - Asset lvl analysis'!$C$8)*'Task 2 - Asset lvl analysis'!$K$8),$E19='Task 2 - Asset lvl analysis'!$B$9,(($F19/'Task 2 - Asset lvl analysis'!$C$9)*'Task 2 - Asset lvl analysis'!$K$9),$E19='Task 2 - Asset lvl analysis'!$B$10,(($F19/'Task 2 - Asset lvl analysis'!$C$10)*'Task 2 - Asset lvl analysis'!$K$10))</f>
        <v>0</v>
      </c>
      <c r="O19" s="125" cm="1">
        <f t="array" ref="O19">_xlfn.IFS($E19='Task 2 - Asset lvl analysis'!$B$8,(($F19/'Task 2 - Asset lvl analysis'!$C$8)*'Task 2 - Asset lvl analysis'!$L$8),$E19='Task 2 - Asset lvl analysis'!$B$9,(($F19/'Task 2 - Asset lvl analysis'!$C$9)*'Task 2 - Asset lvl analysis'!$L$9),$E19='Task 2 - Asset lvl analysis'!$B$10,(($F19/'Task 2 - Asset lvl analysis'!$C$10)*'Task 2 - Asset lvl analysis'!$L$10))</f>
        <v>0</v>
      </c>
      <c r="P19" s="125" cm="1">
        <f t="array" ref="P19">_xlfn.IFS($E19='Task 2 - Asset lvl analysis'!$B$8,(($F19/'Task 2 - Asset lvl analysis'!$C$8)*'Task 2 - Asset lvl analysis'!$M$8),$E19='Task 2 - Asset lvl analysis'!$B$9,(($F19/'Task 2 - Asset lvl analysis'!$C$9)*'Task 2 - Asset lvl analysis'!$M$9),$E19='Task 2 - Asset lvl analysis'!$B$10,(($F19/'Task 2 - Asset lvl analysis'!$C$10)*'Task 2 - Asset lvl analysis'!$M$10))</f>
        <v>0</v>
      </c>
      <c r="Q19" s="125" cm="1">
        <f t="array" ref="Q19">_xlfn.IFS($E19='Task 2 - Asset lvl analysis'!$B$8,(($F19/'Task 2 - Asset lvl analysis'!$C$8)*'Task 2 - Asset lvl analysis'!$N$8),$E19='Task 2 - Asset lvl analysis'!$B$9,(($F19/'Task 2 - Asset lvl analysis'!$C$9)*'Task 2 - Asset lvl analysis'!$N$9),$E19='Task 2 - Asset lvl analysis'!$B$10,(($F19/'Task 2 - Asset lvl analysis'!$C$10)*'Task 2 - Asset lvl analysis'!$N$10))</f>
        <v>0</v>
      </c>
      <c r="R19" s="125" cm="1">
        <f t="array" ref="R19">_xlfn.IFS($E19='Task 2 - Asset lvl analysis'!$B$8,(($F19/'Task 2 - Asset lvl analysis'!$C$8)*'Task 2 - Asset lvl analysis'!$O$8),$E19='Task 2 - Asset lvl analysis'!$B$9,(($F19/'Task 2 - Asset lvl analysis'!$C$9)*'Task 2 - Asset lvl analysis'!$O$9),$E19='Task 2 - Asset lvl analysis'!$B$10,(($F19/'Task 2 - Asset lvl analysis'!$C$10)*'Task 2 - Asset lvl analysis'!$O$10))</f>
        <v>161.43313755814202</v>
      </c>
      <c r="S19" s="125" cm="1">
        <f t="array" ref="S19">_xlfn.IFS($E19='Task 2 - Asset lvl analysis'!$B$8,(($F19/'Task 2 - Asset lvl analysis'!$C$8)*'Task 2 - Asset lvl analysis'!$P$8),$E19='Task 2 - Asset lvl analysis'!$B$9,(($F19/'Task 2 - Asset lvl analysis'!$C$9)*'Task 2 - Asset lvl analysis'!$P$9),$E19='Task 2 - Asset lvl analysis'!$B$10,(($F19/'Task 2 - Asset lvl analysis'!$C$10)*'Task 2 - Asset lvl analysis'!$P$10))</f>
        <v>0</v>
      </c>
      <c r="T19" s="125" cm="1">
        <f t="array" ref="T19">_xlfn.IFS($E19='Task 2 - Asset lvl analysis'!$B$8,(($F19/'Task 2 - Asset lvl analysis'!$C$8)*'Task 2 - Asset lvl analysis'!$Q$8),$E19='Task 2 - Asset lvl analysis'!$B$9,(($F19/'Task 2 - Asset lvl analysis'!$C$9)*'Task 2 - Asset lvl analysis'!$Q$9),$E19='Task 2 - Asset lvl analysis'!$B$10,(($F19/'Task 2 - Asset lvl analysis'!$C$10)*'Task 2 - Asset lvl analysis'!$Q$10))</f>
        <v>0</v>
      </c>
      <c r="U19" s="125" cm="1">
        <f t="array" ref="U19">_xlfn.IFS($E19='Task 2 - Asset lvl analysis'!$B$8,(($F19/'Task 2 - Asset lvl analysis'!$C$8)*'Task 2 - Asset lvl analysis'!$R$8),$E19='Task 2 - Asset lvl analysis'!$B$9,(($F19/'Task 2 - Asset lvl analysis'!$C$9)*'Task 2 - Asset lvl analysis'!$R$9),$E19='Task 2 - Asset lvl analysis'!$B$10,(($F19/'Task 2 - Asset lvl analysis'!$C$10)*'Task 2 - Asset lvl analysis'!$R$10))</f>
        <v>0</v>
      </c>
      <c r="V19" s="125" cm="1">
        <f t="array" ref="V19">_xlfn.IFS($E19='Task 2 - Asset lvl analysis'!$B$8,(($F19/'Task 2 - Asset lvl analysis'!$C$8)*'Task 2 - Asset lvl analysis'!$S$8),$E19='Task 2 - Asset lvl analysis'!$B$9,(($F19/'Task 2 - Asset lvl analysis'!$C$9)*'Task 2 - Asset lvl analysis'!$S$9),$E19='Task 2 - Asset lvl analysis'!$B$10,(($F19/'Task 2 - Asset lvl analysis'!$C$10)*'Task 2 - Asset lvl analysis'!$S$10))</f>
        <v>1.1306876155182319</v>
      </c>
      <c r="W19" s="125" cm="1">
        <f t="array" ref="W19">_xlfn.IFS($E19='Task 2 - Asset lvl analysis'!$B$8,(($F19/'Task 2 - Asset lvl analysis'!$C$8)*'Task 2 - Asset lvl analysis'!$T$8),$E19='Task 2 - Asset lvl analysis'!$B$9,(($F19/'Task 2 - Asset lvl analysis'!$C$9)*'Task 2 - Asset lvl analysis'!$T$9),$E19='Task 2 - Asset lvl analysis'!$B$10,(($F19/'Task 2 - Asset lvl analysis'!$C$10)*'Task 2 - Asset lvl analysis'!$T$10))</f>
        <v>0</v>
      </c>
      <c r="X19" s="219">
        <f t="shared" si="0"/>
        <v>178.70242290212599</v>
      </c>
    </row>
    <row r="20" spans="1:24" ht="28" x14ac:dyDescent="0.35">
      <c r="A20" s="18"/>
      <c r="B20" s="218" t="s">
        <v>283</v>
      </c>
      <c r="C20" s="213" t="s">
        <v>40</v>
      </c>
      <c r="D20" s="119" t="s">
        <v>277</v>
      </c>
      <c r="E20" s="124" t="s">
        <v>14</v>
      </c>
      <c r="F20" s="124">
        <f>_xlfn.XLOOKUP(B20,'Structure dimensions'!$C$6:$C$49,'Structure dimensions'!$L$6:$L$49)</f>
        <v>145.72999999999999</v>
      </c>
      <c r="G20" s="120">
        <f>SUMIF(AUB!$C$77:$C$92,'Task 2 - Asset lvl analysis'!G14,AUB!$I$77:$I$92)</f>
        <v>0</v>
      </c>
      <c r="H20" s="120">
        <f>SUMIF(AUB!$C$77:$C$92,'Task 2 - Asset lvl analysis'!H14,AUB!$I$77:$I$92)</f>
        <v>0</v>
      </c>
      <c r="I20" s="120">
        <f>SUMIF(AUB!$C$77:$C$92,'Task 2 - Asset lvl analysis'!I14,AUB!$I$77:$I$92)</f>
        <v>9.6934000000000005</v>
      </c>
      <c r="J20" s="120">
        <f>SUMIF(AUB!$C$77:$C$92,'Task 2 - Asset lvl analysis'!J14,AUB!$I$77:$I$92)</f>
        <v>9.3971999999999998</v>
      </c>
      <c r="K20" s="120">
        <f>SUMIF(AUB!$C$77:$C$92,'Task 2 - Asset lvl analysis'!K14,AUB!$I$77:$I$92)</f>
        <v>0</v>
      </c>
      <c r="L20" s="120">
        <f>SUMIF(AUB!$C$77:$C$92,'Task 2 - Asset lvl analysis'!L14,AUB!$I$77:$I$92)</f>
        <v>0.1157</v>
      </c>
      <c r="M20" s="120">
        <f>SUMIF(AUB!$C$77:$C$92,'Task 2 - Asset lvl analysis'!M14,AUB!$I$77:$I$92)</f>
        <v>0.3931</v>
      </c>
      <c r="N20" s="120">
        <f>SUMIF(AUB!$C$77:$C$92,'Task 2 - Asset lvl analysis'!N14,AUB!$I$77:$I$92)</f>
        <v>0</v>
      </c>
      <c r="O20" s="120">
        <f>SUMIF(AUB!$C$77:$C$92,'Task 2 - Asset lvl analysis'!O14,AUB!$I$77:$I$92)</f>
        <v>0</v>
      </c>
      <c r="P20" s="120">
        <f>SUMIF(AUB!$C$77:$C$92,'Task 2 - Asset lvl analysis'!P14,AUB!$I$77:$I$92)</f>
        <v>0</v>
      </c>
      <c r="Q20" s="120">
        <f>SUMIF(AUB!$C$77:$C$92,'Task 2 - Asset lvl analysis'!Q14,AUB!$I$77:$I$92)</f>
        <v>0</v>
      </c>
      <c r="R20" s="120">
        <f>SUMIF(AUB!$C$77:$C$92,'Task 2 - Asset lvl analysis'!R14,AUB!$I$77:$I$92)</f>
        <v>341.43360000000001</v>
      </c>
      <c r="S20" s="120">
        <f>SUMIF(AUB!$C$77:$C$92,'Task 2 - Asset lvl analysis'!S14,AUB!$I$77:$I$92)</f>
        <v>0</v>
      </c>
      <c r="T20" s="120">
        <f>SUMIF(AUB!$C$77:$C$92,'Task 2 - Asset lvl analysis'!T14,AUB!$I$77:$I$92)</f>
        <v>0</v>
      </c>
      <c r="U20" s="120">
        <f>SUMIF(AUB!$C$77:$C$92,'Task 2 - Asset lvl analysis'!U14,AUB!$I$77:$I$92)</f>
        <v>0</v>
      </c>
      <c r="V20" s="120">
        <f>SUMIF(AUB!$C$77:$C$92,'Task 2 - Asset lvl analysis'!V14,AUB!$I$77:$I$92)</f>
        <v>1.345</v>
      </c>
      <c r="W20" s="120">
        <f>SUMIF(AUB!$C$77:$C$92,'Task 2 - Asset lvl analysis'!W14,AUB!$I$77:$I$92)</f>
        <v>0</v>
      </c>
      <c r="X20" s="219">
        <f>SUM(G20:W20)</f>
        <v>362.37800000000004</v>
      </c>
    </row>
    <row r="21" spans="1:24" ht="28" x14ac:dyDescent="0.35">
      <c r="A21" s="18"/>
      <c r="B21" s="218" t="s">
        <v>120</v>
      </c>
      <c r="C21" s="213" t="s">
        <v>102</v>
      </c>
      <c r="D21" s="119" t="s">
        <v>278</v>
      </c>
      <c r="E21" s="124" t="s">
        <v>14</v>
      </c>
      <c r="F21" s="124">
        <f>_xlfn.XLOOKUP(B21,'Structure dimensions'!$C$6:$C$49,'Structure dimensions'!$L$6:$L$49)</f>
        <v>144.41999999999999</v>
      </c>
      <c r="G21" s="125" cm="1">
        <f t="array" ref="G21">_xlfn.IFS(E21='Task 2 - Asset lvl analysis'!$B$8,((F21/'Task 2 - Asset lvl analysis'!$C$8)*'Task 2 - Asset lvl analysis'!$D$8),E21='Task 2 - Asset lvl analysis'!$B$9,((F21/'Task 2 - Asset lvl analysis'!$C$9)*'Task 2 - Asset lvl analysis'!$D$9),E21='Task 2 - Asset lvl analysis'!$B$10,((F21/'Task 2 - Asset lvl analysis'!$C$10)*'Task 2 - Asset lvl analysis'!$D$10))</f>
        <v>0.42022030471478311</v>
      </c>
      <c r="H21" s="125" cm="1">
        <f t="array" ref="H21">_xlfn.IFS(E21='Task 2 - Asset lvl analysis'!$B$8,((F21/'Task 2 - Asset lvl analysis'!$C$8)*'Task 2 - Asset lvl analysis'!$E$8),E21='Task 2 - Asset lvl analysis'!$B$9,((F21/'Task 2 - Asset lvl analysis'!$C$9)*'Task 2 - Asset lvl analysis'!$E$9),E21='Task 2 - Asset lvl analysis'!$B$10,((F21/'Task 2 - Asset lvl analysis'!$C$10)*'Task 2 - Asset lvl analysis'!$E$10))</f>
        <v>0</v>
      </c>
      <c r="I21" s="125" cm="1">
        <f t="array" ref="I21">_xlfn.IFS(E21='Task 2 - Asset lvl analysis'!$B$8,((F21/'Task 2 - Asset lvl analysis'!$C$8)*'Task 2 - Asset lvl analysis'!$F$8),E21='Task 2 - Asset lvl analysis'!$B$9,((F21/'Task 2 - Asset lvl analysis'!$C$9)*'Task 2 - Asset lvl analysis'!$F$9),E21='Task 2 - Asset lvl analysis'!$B$10,((F21/'Task 2 - Asset lvl analysis'!$C$10)*'Task 2 - Asset lvl analysis'!$F$10))</f>
        <v>9.2055636461784811</v>
      </c>
      <c r="J21" s="125" cm="1">
        <f t="array" ref="J21">_xlfn.IFS(E21='Task 2 - Asset lvl analysis'!$B$8,((F21/'Task 2 - Asset lvl analysis'!$C$8)*'Task 2 - Asset lvl analysis'!$G$8),E21='Task 2 - Asset lvl analysis'!$B$9,((F21/'Task 2 - Asset lvl analysis'!$C$9)*'Task 2 - Asset lvl analysis'!$G$9),E21='Task 2 - Asset lvl analysis'!$B$10,((F21/'Task 2 - Asset lvl analysis'!$C$10)*'Task 2 - Asset lvl analysis'!$G$10))</f>
        <v>12.814152503108911</v>
      </c>
      <c r="K21" s="125" cm="1">
        <f t="array" ref="K21">_xlfn.IFS($E21='Task 2 - Asset lvl analysis'!$B$8,(($F21/'Task 2 - Asset lvl analysis'!$C$8)*'Task 2 - Asset lvl analysis'!$H$8),$E21='Task 2 - Asset lvl analysis'!$B$9,((F21/'Task 2 - Asset lvl analysis'!$C$9)*'Task 2 - Asset lvl analysis'!$H$9),$E21='Task 2 - Asset lvl analysis'!$B$10,(($F21/'Task 2 - Asset lvl analysis'!$C$10)*'Task 2 - Asset lvl analysis'!$H$10))</f>
        <v>0</v>
      </c>
      <c r="L21" s="125" cm="1">
        <f t="array" ref="L21">_xlfn.IFS($E21='Task 2 - Asset lvl analysis'!$B$8,(($F21/'Task 2 - Asset lvl analysis'!$C$8)*'Task 2 - Asset lvl analysis'!$I$8),$E21='Task 2 - Asset lvl analysis'!$B$9,(($F21/'Task 2 - Asset lvl analysis'!$C$9)*'Task 2 - Asset lvl analysis'!$I$9),$E21='Task 2 - Asset lvl analysis'!$B$10,(($F21/'Task 2 - Asset lvl analysis'!$C$10)*'Task 2 - Asset lvl analysis'!$I$10))</f>
        <v>0.18933668483165508</v>
      </c>
      <c r="M21" s="125" cm="1">
        <f t="array" ref="M21">_xlfn.IFS($E21='Task 2 - Asset lvl analysis'!$B$8,(($F21/'Task 2 - Asset lvl analysis'!$C$8)*'Task 2 - Asset lvl analysis'!$J$8),$E21='Task 2 - Asset lvl analysis'!$B$9,(($F21/'Task 2 - Asset lvl analysis'!$C$9)*'Task 2 - Asset lvl analysis'!$J$9),$E21='Task 2 - Asset lvl analysis'!$B$10,(($F21/'Task 2 - Asset lvl analysis'!$C$10)*'Task 2 - Asset lvl analysis'!$J$10))</f>
        <v>0.45943959106421661</v>
      </c>
      <c r="N21" s="125" cm="1">
        <f t="array" ref="N21">_xlfn.IFS($E21='Task 2 - Asset lvl analysis'!$B$8,(($F21/'Task 2 - Asset lvl analysis'!$C$8)*'Task 2 - Asset lvl analysis'!$K$8),$E21='Task 2 - Asset lvl analysis'!$B$9,(($F21/'Task 2 - Asset lvl analysis'!$C$9)*'Task 2 - Asset lvl analysis'!$K$9),$E21='Task 2 - Asset lvl analysis'!$B$10,(($F21/'Task 2 - Asset lvl analysis'!$C$10)*'Task 2 - Asset lvl analysis'!$K$10))</f>
        <v>0</v>
      </c>
      <c r="O21" s="125" cm="1">
        <f t="array" ref="O21">_xlfn.IFS($E21='Task 2 - Asset lvl analysis'!$B$8,(($F21/'Task 2 - Asset lvl analysis'!$C$8)*'Task 2 - Asset lvl analysis'!$L$8),$E21='Task 2 - Asset lvl analysis'!$B$9,(($F21/'Task 2 - Asset lvl analysis'!$C$9)*'Task 2 - Asset lvl analysis'!$L$9),$E21='Task 2 - Asset lvl analysis'!$B$10,(($F21/'Task 2 - Asset lvl analysis'!$C$10)*'Task 2 - Asset lvl analysis'!$L$10))</f>
        <v>0</v>
      </c>
      <c r="P21" s="125" cm="1">
        <f t="array" ref="P21">_xlfn.IFS($E21='Task 2 - Asset lvl analysis'!$B$8,(($F21/'Task 2 - Asset lvl analysis'!$C$8)*'Task 2 - Asset lvl analysis'!$M$8),$E21='Task 2 - Asset lvl analysis'!$B$9,(($F21/'Task 2 - Asset lvl analysis'!$C$9)*'Task 2 - Asset lvl analysis'!$M$9),$E21='Task 2 - Asset lvl analysis'!$B$10,(($F21/'Task 2 - Asset lvl analysis'!$C$10)*'Task 2 - Asset lvl analysis'!$M$10))</f>
        <v>0</v>
      </c>
      <c r="Q21" s="125" cm="1">
        <f t="array" ref="Q21">_xlfn.IFS($E21='Task 2 - Asset lvl analysis'!$B$8,(($F21/'Task 2 - Asset lvl analysis'!$C$8)*'Task 2 - Asset lvl analysis'!$N$8),$E21='Task 2 - Asset lvl analysis'!$B$9,(($F21/'Task 2 - Asset lvl analysis'!$C$9)*'Task 2 - Asset lvl analysis'!$N$9),$E21='Task 2 - Asset lvl analysis'!$B$10,(($F21/'Task 2 - Asset lvl analysis'!$C$10)*'Task 2 - Asset lvl analysis'!$N$10))</f>
        <v>0</v>
      </c>
      <c r="R21" s="125" cm="1">
        <f t="array" ref="R21">_xlfn.IFS($E21='Task 2 - Asset lvl analysis'!$B$8,(($F21/'Task 2 - Asset lvl analysis'!$C$8)*'Task 2 - Asset lvl analysis'!$O$8),$E21='Task 2 - Asset lvl analysis'!$B$9,(($F21/'Task 2 - Asset lvl analysis'!$C$9)*'Task 2 - Asset lvl analysis'!$O$9),$E21='Task 2 - Asset lvl analysis'!$B$10,(($F21/'Task 2 - Asset lvl analysis'!$C$10)*'Task 2 - Asset lvl analysis'!$O$10))</f>
        <v>230.95459722574091</v>
      </c>
      <c r="S21" s="125" cm="1">
        <f t="array" ref="S21">_xlfn.IFS($E21='Task 2 - Asset lvl analysis'!$B$8,(($F21/'Task 2 - Asset lvl analysis'!$C$8)*'Task 2 - Asset lvl analysis'!$P$8),$E21='Task 2 - Asset lvl analysis'!$B$9,(($F21/'Task 2 - Asset lvl analysis'!$C$9)*'Task 2 - Asset lvl analysis'!$P$9),$E21='Task 2 - Asset lvl analysis'!$B$10,(($F21/'Task 2 - Asset lvl analysis'!$C$10)*'Task 2 - Asset lvl analysis'!$P$10))</f>
        <v>0</v>
      </c>
      <c r="T21" s="125" cm="1">
        <f t="array" ref="T21">_xlfn.IFS($E21='Task 2 - Asset lvl analysis'!$B$8,(($F21/'Task 2 - Asset lvl analysis'!$C$8)*'Task 2 - Asset lvl analysis'!$Q$8),$E21='Task 2 - Asset lvl analysis'!$B$9,(($F21/'Task 2 - Asset lvl analysis'!$C$9)*'Task 2 - Asset lvl analysis'!$Q$9),$E21='Task 2 - Asset lvl analysis'!$B$10,(($F21/'Task 2 - Asset lvl analysis'!$C$10)*'Task 2 - Asset lvl analysis'!$Q$10))</f>
        <v>0</v>
      </c>
      <c r="U21" s="125" cm="1">
        <f t="array" ref="U21">_xlfn.IFS($E21='Task 2 - Asset lvl analysis'!$B$8,(($F21/'Task 2 - Asset lvl analysis'!$C$8)*'Task 2 - Asset lvl analysis'!$R$8),$E21='Task 2 - Asset lvl analysis'!$B$9,(($F21/'Task 2 - Asset lvl analysis'!$C$9)*'Task 2 - Asset lvl analysis'!$R$9),$E21='Task 2 - Asset lvl analysis'!$B$10,(($F21/'Task 2 - Asset lvl analysis'!$C$10)*'Task 2 - Asset lvl analysis'!$R$10))</f>
        <v>0</v>
      </c>
      <c r="V21" s="125" cm="1">
        <f t="array" ref="V21">_xlfn.IFS($E21='Task 2 - Asset lvl analysis'!$B$8,(($F21/'Task 2 - Asset lvl analysis'!$C$8)*'Task 2 - Asset lvl analysis'!$S$8),$E21='Task 2 - Asset lvl analysis'!$B$9,(($F21/'Task 2 - Asset lvl analysis'!$C$9)*'Task 2 - Asset lvl analysis'!$S$9),$E21='Task 2 - Asset lvl analysis'!$B$10,(($F21/'Task 2 - Asset lvl analysis'!$C$10)*'Task 2 - Asset lvl analysis'!$S$10))</f>
        <v>1.6176201911215098</v>
      </c>
      <c r="W21" s="125" cm="1">
        <f t="array" ref="W21">_xlfn.IFS($E21='Task 2 - Asset lvl analysis'!$B$8,(($F21/'Task 2 - Asset lvl analysis'!$C$8)*'Task 2 - Asset lvl analysis'!$T$8),$E21='Task 2 - Asset lvl analysis'!$B$9,(($F21/'Task 2 - Asset lvl analysis'!$C$9)*'Task 2 - Asset lvl analysis'!$T$9),$E21='Task 2 - Asset lvl analysis'!$B$10,(($F21/'Task 2 - Asset lvl analysis'!$C$10)*'Task 2 - Asset lvl analysis'!$T$10))</f>
        <v>0</v>
      </c>
      <c r="X21" s="219">
        <f t="shared" si="0"/>
        <v>255.66093014676048</v>
      </c>
    </row>
    <row r="22" spans="1:24" ht="28" x14ac:dyDescent="0.35">
      <c r="A22" s="18"/>
      <c r="B22" s="218" t="s">
        <v>121</v>
      </c>
      <c r="C22" s="213" t="s">
        <v>103</v>
      </c>
      <c r="D22" s="119" t="s">
        <v>278</v>
      </c>
      <c r="E22" s="124" t="s">
        <v>14</v>
      </c>
      <c r="F22" s="124">
        <f>_xlfn.XLOOKUP(B22,'Structure dimensions'!$C$6:$C$49,'Structure dimensions'!$L$6:$L$49)</f>
        <v>162.28800000000001</v>
      </c>
      <c r="G22" s="125" cm="1">
        <f t="array" ref="G22">_xlfn.IFS(E22='Task 2 - Asset lvl analysis'!$B$8,((F22/'Task 2 - Asset lvl analysis'!$C$8)*'Task 2 - Asset lvl analysis'!$D$8),E22='Task 2 - Asset lvl analysis'!$B$9,((F22/'Task 2 - Asset lvl analysis'!$C$9)*'Task 2 - Asset lvl analysis'!$D$9),E22='Task 2 - Asset lvl analysis'!$B$10,((F22/'Task 2 - Asset lvl analysis'!$C$10)*'Task 2 - Asset lvl analysis'!$D$10))</f>
        <v>0.47221100132635874</v>
      </c>
      <c r="H22" s="125" cm="1">
        <f t="array" ref="H22">_xlfn.IFS(E22='Task 2 - Asset lvl analysis'!$B$8,((F22/'Task 2 - Asset lvl analysis'!$C$8)*'Task 2 - Asset lvl analysis'!$E$8),E22='Task 2 - Asset lvl analysis'!$B$9,((F22/'Task 2 - Asset lvl analysis'!$C$9)*'Task 2 - Asset lvl analysis'!$E$9),E22='Task 2 - Asset lvl analysis'!$B$10,((F22/'Task 2 - Asset lvl analysis'!$C$10)*'Task 2 - Asset lvl analysis'!$E$10))</f>
        <v>0</v>
      </c>
      <c r="I22" s="125" cm="1">
        <f t="array" ref="I22">_xlfn.IFS(E22='Task 2 - Asset lvl analysis'!$B$8,((F22/'Task 2 - Asset lvl analysis'!$C$8)*'Task 2 - Asset lvl analysis'!$F$8),E22='Task 2 - Asset lvl analysis'!$B$9,((F22/'Task 2 - Asset lvl analysis'!$C$9)*'Task 2 - Asset lvl analysis'!$F$9),E22='Task 2 - Asset lvl analysis'!$B$10,((F22/'Task 2 - Asset lvl analysis'!$C$10)*'Task 2 - Asset lvl analysis'!$F$10))</f>
        <v>10.344498774484236</v>
      </c>
      <c r="J22" s="125" cm="1">
        <f t="array" ref="J22">_xlfn.IFS(E22='Task 2 - Asset lvl analysis'!$B$8,((F22/'Task 2 - Asset lvl analysis'!$C$8)*'Task 2 - Asset lvl analysis'!$G$8),E22='Task 2 - Asset lvl analysis'!$B$9,((F22/'Task 2 - Asset lvl analysis'!$C$9)*'Task 2 - Asset lvl analysis'!$G$9),E22='Task 2 - Asset lvl analysis'!$B$10,((F22/'Task 2 - Asset lvl analysis'!$C$10)*'Task 2 - Asset lvl analysis'!$G$10))</f>
        <v>14.399551180061898</v>
      </c>
      <c r="K22" s="125" cm="1">
        <f t="array" ref="K22">_xlfn.IFS($E22='Task 2 - Asset lvl analysis'!$B$8,(($F22/'Task 2 - Asset lvl analysis'!$C$8)*'Task 2 - Asset lvl analysis'!$H$8),$E22='Task 2 - Asset lvl analysis'!$B$9,((F22/'Task 2 - Asset lvl analysis'!$C$9)*'Task 2 - Asset lvl analysis'!$H$9),$E22='Task 2 - Asset lvl analysis'!$B$10,(($F22/'Task 2 - Asset lvl analysis'!$C$10)*'Task 2 - Asset lvl analysis'!$H$10))</f>
        <v>0</v>
      </c>
      <c r="L22" s="125" cm="1">
        <f t="array" ref="L22">_xlfn.IFS($E22='Task 2 - Asset lvl analysis'!$B$8,(($F22/'Task 2 - Asset lvl analysis'!$C$8)*'Task 2 - Asset lvl analysis'!$I$8),$E22='Task 2 - Asset lvl analysis'!$B$9,(($F22/'Task 2 - Asset lvl analysis'!$C$9)*'Task 2 - Asset lvl analysis'!$I$9),$E22='Task 2 - Asset lvl analysis'!$B$10,(($F22/'Task 2 - Asset lvl analysis'!$C$10)*'Task 2 - Asset lvl analysis'!$I$10))</f>
        <v>0.21276188829774023</v>
      </c>
      <c r="M22" s="125" cm="1">
        <f t="array" ref="M22">_xlfn.IFS($E22='Task 2 - Asset lvl analysis'!$B$8,(($F22/'Task 2 - Asset lvl analysis'!$C$8)*'Task 2 - Asset lvl analysis'!$J$8),$E22='Task 2 - Asset lvl analysis'!$B$9,(($F22/'Task 2 - Asset lvl analysis'!$C$9)*'Task 2 - Asset lvl analysis'!$J$9),$E22='Task 2 - Asset lvl analysis'!$B$10,(($F22/'Task 2 - Asset lvl analysis'!$C$10)*'Task 2 - Asset lvl analysis'!$J$10))</f>
        <v>0.51628259489426398</v>
      </c>
      <c r="N22" s="125" cm="1">
        <f t="array" ref="N22">_xlfn.IFS($E22='Task 2 - Asset lvl analysis'!$B$8,(($F22/'Task 2 - Asset lvl analysis'!$C$8)*'Task 2 - Asset lvl analysis'!$K$8),$E22='Task 2 - Asset lvl analysis'!$B$9,(($F22/'Task 2 - Asset lvl analysis'!$C$9)*'Task 2 - Asset lvl analysis'!$K$9),$E22='Task 2 - Asset lvl analysis'!$B$10,(($F22/'Task 2 - Asset lvl analysis'!$C$10)*'Task 2 - Asset lvl analysis'!$K$10))</f>
        <v>0</v>
      </c>
      <c r="O22" s="125" cm="1">
        <f t="array" ref="O22">_xlfn.IFS($E22='Task 2 - Asset lvl analysis'!$B$8,(($F22/'Task 2 - Asset lvl analysis'!$C$8)*'Task 2 - Asset lvl analysis'!$L$8),$E22='Task 2 - Asset lvl analysis'!$B$9,(($F22/'Task 2 - Asset lvl analysis'!$C$9)*'Task 2 - Asset lvl analysis'!$L$9),$E22='Task 2 - Asset lvl analysis'!$B$10,(($F22/'Task 2 - Asset lvl analysis'!$C$10)*'Task 2 - Asset lvl analysis'!$L$10))</f>
        <v>0</v>
      </c>
      <c r="P22" s="125" cm="1">
        <f t="array" ref="P22">_xlfn.IFS($E22='Task 2 - Asset lvl analysis'!$B$8,(($F22/'Task 2 - Asset lvl analysis'!$C$8)*'Task 2 - Asset lvl analysis'!$M$8),$E22='Task 2 - Asset lvl analysis'!$B$9,(($F22/'Task 2 - Asset lvl analysis'!$C$9)*'Task 2 - Asset lvl analysis'!$M$9),$E22='Task 2 - Asset lvl analysis'!$B$10,(($F22/'Task 2 - Asset lvl analysis'!$C$10)*'Task 2 - Asset lvl analysis'!$M$10))</f>
        <v>0</v>
      </c>
      <c r="Q22" s="125" cm="1">
        <f t="array" ref="Q22">_xlfn.IFS($E22='Task 2 - Asset lvl analysis'!$B$8,(($F22/'Task 2 - Asset lvl analysis'!$C$8)*'Task 2 - Asset lvl analysis'!$N$8),$E22='Task 2 - Asset lvl analysis'!$B$9,(($F22/'Task 2 - Asset lvl analysis'!$C$9)*'Task 2 - Asset lvl analysis'!$N$9),$E22='Task 2 - Asset lvl analysis'!$B$10,(($F22/'Task 2 - Asset lvl analysis'!$C$10)*'Task 2 - Asset lvl analysis'!$N$10))</f>
        <v>0</v>
      </c>
      <c r="R22" s="125" cm="1">
        <f t="array" ref="R22">_xlfn.IFS($E22='Task 2 - Asset lvl analysis'!$B$8,(($F22/'Task 2 - Asset lvl analysis'!$C$8)*'Task 2 - Asset lvl analysis'!$O$8),$E22='Task 2 - Asset lvl analysis'!$B$9,(($F22/'Task 2 - Asset lvl analysis'!$C$9)*'Task 2 - Asset lvl analysis'!$O$9),$E22='Task 2 - Asset lvl analysis'!$B$10,(($F22/'Task 2 - Asset lvl analysis'!$C$10)*'Task 2 - Asset lvl analysis'!$O$10))</f>
        <v>259.5288718638073</v>
      </c>
      <c r="S22" s="125" cm="1">
        <f t="array" ref="S22">_xlfn.IFS($E22='Task 2 - Asset lvl analysis'!$B$8,(($F22/'Task 2 - Asset lvl analysis'!$C$8)*'Task 2 - Asset lvl analysis'!$P$8),$E22='Task 2 - Asset lvl analysis'!$B$9,(($F22/'Task 2 - Asset lvl analysis'!$C$9)*'Task 2 - Asset lvl analysis'!$P$9),$E22='Task 2 - Asset lvl analysis'!$B$10,(($F22/'Task 2 - Asset lvl analysis'!$C$10)*'Task 2 - Asset lvl analysis'!$P$10))</f>
        <v>0</v>
      </c>
      <c r="T22" s="125" cm="1">
        <f t="array" ref="T22">_xlfn.IFS($E22='Task 2 - Asset lvl analysis'!$B$8,(($F22/'Task 2 - Asset lvl analysis'!$C$8)*'Task 2 - Asset lvl analysis'!$Q$8),$E22='Task 2 - Asset lvl analysis'!$B$9,(($F22/'Task 2 - Asset lvl analysis'!$C$9)*'Task 2 - Asset lvl analysis'!$Q$9),$E22='Task 2 - Asset lvl analysis'!$B$10,(($F22/'Task 2 - Asset lvl analysis'!$C$10)*'Task 2 - Asset lvl analysis'!$Q$10))</f>
        <v>0</v>
      </c>
      <c r="U22" s="125" cm="1">
        <f t="array" ref="U22">_xlfn.IFS($E22='Task 2 - Asset lvl analysis'!$B$8,(($F22/'Task 2 - Asset lvl analysis'!$C$8)*'Task 2 - Asset lvl analysis'!$R$8),$E22='Task 2 - Asset lvl analysis'!$B$9,(($F22/'Task 2 - Asset lvl analysis'!$C$9)*'Task 2 - Asset lvl analysis'!$R$9),$E22='Task 2 - Asset lvl analysis'!$B$10,(($F22/'Task 2 - Asset lvl analysis'!$C$10)*'Task 2 - Asset lvl analysis'!$R$10))</f>
        <v>0</v>
      </c>
      <c r="V22" s="125" cm="1">
        <f t="array" ref="V22">_xlfn.IFS($E22='Task 2 - Asset lvl analysis'!$B$8,(($F22/'Task 2 - Asset lvl analysis'!$C$8)*'Task 2 - Asset lvl analysis'!$S$8),$E22='Task 2 - Asset lvl analysis'!$B$9,(($F22/'Task 2 - Asset lvl analysis'!$C$9)*'Task 2 - Asset lvl analysis'!$S$9),$E22='Task 2 - Asset lvl analysis'!$B$10,(($F22/'Task 2 - Asset lvl analysis'!$C$10)*'Task 2 - Asset lvl analysis'!$S$10))</f>
        <v>1.8177561665747655</v>
      </c>
      <c r="W22" s="125" cm="1">
        <f t="array" ref="W22">_xlfn.IFS($E22='Task 2 - Asset lvl analysis'!$B$8,(($F22/'Task 2 - Asset lvl analysis'!$C$8)*'Task 2 - Asset lvl analysis'!$T$8),$E22='Task 2 - Asset lvl analysis'!$B$9,(($F22/'Task 2 - Asset lvl analysis'!$C$9)*'Task 2 - Asset lvl analysis'!$T$9),$E22='Task 2 - Asset lvl analysis'!$B$10,(($F22/'Task 2 - Asset lvl analysis'!$C$10)*'Task 2 - Asset lvl analysis'!$T$10))</f>
        <v>0</v>
      </c>
      <c r="X22" s="219">
        <f t="shared" si="0"/>
        <v>287.29193346944658</v>
      </c>
    </row>
    <row r="23" spans="1:24" ht="28" x14ac:dyDescent="0.35">
      <c r="A23" s="18"/>
      <c r="B23" s="218" t="s">
        <v>301</v>
      </c>
      <c r="C23" s="213" t="s">
        <v>44</v>
      </c>
      <c r="D23" s="119" t="s">
        <v>277</v>
      </c>
      <c r="E23" s="124" t="s">
        <v>16</v>
      </c>
      <c r="F23" s="124">
        <f>_xlfn.XLOOKUP(B23,'Structure dimensions'!$C$6:$C$49,'Structure dimensions'!$L$6:$L$49)</f>
        <v>215.25</v>
      </c>
      <c r="G23" s="120">
        <f>SUMIF(CAUB!$C$59:$C$79,'Task 2 - Asset lvl analysis'!G14,CAUB!$I$59:$I$79)</f>
        <v>0</v>
      </c>
      <c r="H23" s="120">
        <f>SUMIF(CAUB!$C$59:$C$79,'Task 2 - Asset lvl analysis'!H14,CAUB!$I$59:$I$79)</f>
        <v>2.0916999999999999</v>
      </c>
      <c r="I23" s="120">
        <f>SUMIF(CAUB!$C$59:$C$79,'Task 2 - Asset lvl analysis'!I14,CAUB!$I$59:$I$79)</f>
        <v>15.505299999999998</v>
      </c>
      <c r="J23" s="120">
        <f>SUMIF(CAUB!$C$59:$C$79,'Task 2 - Asset lvl analysis'!J14,CAUB!$I$59:$I$79)</f>
        <v>11.7079</v>
      </c>
      <c r="K23" s="120">
        <f>SUMIF(CAUB!$C$59:$C$79,'Task 2 - Asset lvl analysis'!K14,CAUB!$I$59:$I$79)</f>
        <v>0</v>
      </c>
      <c r="L23" s="120">
        <f>SUMIF(CAUB!$C$59:$C$79,'Task 2 - Asset lvl analysis'!L14,CAUB!$I$59:$I$79)</f>
        <v>0.1537</v>
      </c>
      <c r="M23" s="120">
        <f>SUMIF(CAUB!$C$59:$C$79,'Task 2 - Asset lvl analysis'!M14,CAUB!$I$59:$I$79)</f>
        <v>0.52500000000000002</v>
      </c>
      <c r="N23" s="120">
        <f>SUMIF(CAUB!$C$59:$C$79,'Task 2 - Asset lvl analysis'!N14,CAUB!$I$59:$I$79)</f>
        <v>0</v>
      </c>
      <c r="O23" s="120">
        <f>SUMIF(CAUB!$C$59:$C$79,'Task 2 - Asset lvl analysis'!O14,CAUB!$I$59:$I$79)</f>
        <v>0</v>
      </c>
      <c r="P23" s="120">
        <f>SUMIF(CAUB!$C$59:$C$79,'Task 2 - Asset lvl analysis'!P14,CAUB!$I$59:$I$79)</f>
        <v>5.4733999999999998</v>
      </c>
      <c r="Q23" s="120">
        <f>SUMIF(CAUB!$C$59:$C$79,'Task 2 - Asset lvl analysis'!Q14,CAUB!$I$59:$I$79)</f>
        <v>0</v>
      </c>
      <c r="R23" s="120">
        <f>SUMIF(CAUB!$C$59:$C$79,'Task 2 - Asset lvl analysis'!R14,CAUB!$I$59:$I$79)</f>
        <v>533.33720000000005</v>
      </c>
      <c r="S23" s="120">
        <f>SUMIF(CAUB!$C$59:$C$79,'Task 2 - Asset lvl analysis'!S14,CAUB!$I$59:$I$79)</f>
        <v>0</v>
      </c>
      <c r="T23" s="120">
        <f>SUMIF(CAUB!$C$59:$C$79,'Task 2 - Asset lvl analysis'!T14,CAUB!$I$59:$I$79)</f>
        <v>0</v>
      </c>
      <c r="U23" s="120">
        <f>SUMIF(CAUB!$C$59:$C$79,'Task 2 - Asset lvl analysis'!U14,CAUB!$I$59:$I$79)</f>
        <v>0</v>
      </c>
      <c r="V23" s="120">
        <f>SUMIF(CAUB!$C$59:$C$79,'Task 2 - Asset lvl analysis'!V14,CAUB!$I$59:$I$79)</f>
        <v>1.3280000000000001</v>
      </c>
      <c r="W23" s="120">
        <f>SUMIF(CAUB!$C$59:$C$79,'Task 2 - Asset lvl analysis'!W14,CAUB!$I$59:$I$79)</f>
        <v>0</v>
      </c>
      <c r="X23" s="219">
        <f t="shared" si="0"/>
        <v>570.12220000000002</v>
      </c>
    </row>
    <row r="24" spans="1:24" ht="28" x14ac:dyDescent="0.35">
      <c r="A24" s="18"/>
      <c r="B24" s="218" t="s">
        <v>284</v>
      </c>
      <c r="C24" s="213" t="s">
        <v>41</v>
      </c>
      <c r="D24" s="119" t="s">
        <v>277</v>
      </c>
      <c r="E24" s="124" t="s">
        <v>14</v>
      </c>
      <c r="F24" s="552">
        <f>_xlfn.XLOOKUP(B24,'Structure dimensions'!$C$6:$C$49,'Structure dimensions'!$L$6:$L$49)</f>
        <v>133</v>
      </c>
      <c r="G24" s="120">
        <f>SUMIF(AUB!$C$94:$C$109,'Task 2 - Asset lvl analysis'!G14,AUB!$I$94:$I$109)</f>
        <v>0.51659999999999995</v>
      </c>
      <c r="H24" s="120">
        <f>SUMIF(AUB!$C$94:$C$109,'Task 2 - Asset lvl analysis'!H14,AUB!$I$94:$I$109)</f>
        <v>0</v>
      </c>
      <c r="I24" s="120">
        <f>SUMIF(AUB!$C$94:$C$109,'Task 2 - Asset lvl analysis'!I14,AUB!$I$94:$I$109)</f>
        <v>3.9116</v>
      </c>
      <c r="J24" s="120">
        <f>SUMIF(AUB!$C$94:$C$109,'Task 2 - Asset lvl analysis'!J14,AUB!$I$94:$I$109)</f>
        <v>15.1524</v>
      </c>
      <c r="K24" s="120">
        <f>SUMIF(AUB!$C$94:$C$109,'Task 2 - Asset lvl analysis'!K14,AUB!$I$94:$I$109)</f>
        <v>0</v>
      </c>
      <c r="L24" s="120">
        <f>SUMIF(AUB!$C$94:$C$109,'Task 2 - Asset lvl analysis'!L14,AUB!$I$94:$I$109)</f>
        <v>0.29530000000000001</v>
      </c>
      <c r="M24" s="120">
        <f>SUMIF(AUB!$C$94:$C$109,'Task 2 - Asset lvl analysis'!M14,AUB!$I$94:$I$109)</f>
        <v>0.48359999999999997</v>
      </c>
      <c r="N24" s="120">
        <f>SUMIF(AUB!$C$94:$C$109,'Task 2 - Asset lvl analysis'!N14,AUB!$I$94:$I$109)</f>
        <v>0</v>
      </c>
      <c r="O24" s="120">
        <f>SUMIF(AUB!$C$94:$C$109,'Task 2 - Asset lvl analysis'!O14,AUB!$I$94:$I$109)</f>
        <v>0</v>
      </c>
      <c r="P24" s="120">
        <f>SUMIF(AUB!$C$94:$C$109,'Task 2 - Asset lvl analysis'!P14,AUB!$I$94:$I$109)</f>
        <v>0</v>
      </c>
      <c r="Q24" s="120">
        <f>SUMIF(AUB!$C$94:$C$109,'Task 2 - Asset lvl analysis'!Q14,AUB!$I$94:$I$109)</f>
        <v>0</v>
      </c>
      <c r="R24" s="120">
        <f>SUMIF(AUB!$C$94:$C$109,'Task 2 - Asset lvl analysis'!R14,AUB!$I$94:$I$109)</f>
        <v>233.97969999999998</v>
      </c>
      <c r="S24" s="120">
        <f>SUMIF(AUB!$C$94:$C$109,'Task 2 - Asset lvl analysis'!S14,AUB!$I$94:$I$109)</f>
        <v>0</v>
      </c>
      <c r="T24" s="120">
        <f>SUMIF(AUB!$C$94:$C$109,'Task 2 - Asset lvl analysis'!T14,AUB!$I$94:$I$109)</f>
        <v>0</v>
      </c>
      <c r="U24" s="120">
        <f>SUMIF(AUB!$C$94:$C$109,'Task 2 - Asset lvl analysis'!U14,AUB!$I$94:$I$109)</f>
        <v>0</v>
      </c>
      <c r="V24" s="120">
        <f>SUMIF(AUB!$C$94:$C$109,'Task 2 - Asset lvl analysis'!V14,AUB!$I$94:$I$109)</f>
        <v>2.9907999999999997</v>
      </c>
      <c r="W24" s="120">
        <f>SUMIF(AUB!$C$94:$C$109,'Task 2 - Asset lvl analysis'!W14,AUB!$I$94:$I$109)</f>
        <v>0</v>
      </c>
      <c r="X24" s="219">
        <f t="shared" si="0"/>
        <v>257.33</v>
      </c>
    </row>
    <row r="25" spans="1:24" ht="28" x14ac:dyDescent="0.35">
      <c r="A25" s="18"/>
      <c r="B25" s="218" t="s">
        <v>124</v>
      </c>
      <c r="C25" s="213" t="s">
        <v>106</v>
      </c>
      <c r="D25" s="119" t="s">
        <v>278</v>
      </c>
      <c r="E25" s="124" t="s">
        <v>14</v>
      </c>
      <c r="F25" s="552">
        <f>_xlfn.XLOOKUP(B25,'Structure dimensions'!$C$6:$C$49,'Structure dimensions'!$L$6:$L$49)</f>
        <v>94.809999999999988</v>
      </c>
      <c r="G25" s="125" cm="1">
        <f t="array" ref="G25">_xlfn.IFS(E25='Task 2 - Asset lvl analysis'!$B$8,((F25/'Task 2 - Asset lvl analysis'!$C$8)*'Task 2 - Asset lvl analysis'!$D$8),E25='Task 2 - Asset lvl analysis'!$B$9,((F25/'Task 2 - Asset lvl analysis'!$C$9)*'Task 2 - Asset lvl analysis'!$D$9),E25='Task 2 - Asset lvl analysis'!$B$10,((F25/'Task 2 - Asset lvl analysis'!$C$10)*'Task 2 - Asset lvl analysis'!$D$10))</f>
        <v>0.27586959624711666</v>
      </c>
      <c r="H25" s="125" cm="1">
        <f t="array" ref="H25">_xlfn.IFS(E25='Task 2 - Asset lvl analysis'!$B$8,((F25/'Task 2 - Asset lvl analysis'!$C$8)*'Task 2 - Asset lvl analysis'!$E$8),E25='Task 2 - Asset lvl analysis'!$B$9,((F25/'Task 2 - Asset lvl analysis'!$C$9)*'Task 2 - Asset lvl analysis'!$E$9),E25='Task 2 - Asset lvl analysis'!$B$10,((F25/'Task 2 - Asset lvl analysis'!$C$10)*'Task 2 - Asset lvl analysis'!$E$10))</f>
        <v>0</v>
      </c>
      <c r="I25" s="125" cm="1">
        <f t="array" ref="I25">_xlfn.IFS(E25='Task 2 - Asset lvl analysis'!$B$8,((F25/'Task 2 - Asset lvl analysis'!$C$8)*'Task 2 - Asset lvl analysis'!$F$8),E25='Task 2 - Asset lvl analysis'!$B$9,((F25/'Task 2 - Asset lvl analysis'!$C$9)*'Task 2 - Asset lvl analysis'!$F$9),E25='Task 2 - Asset lvl analysis'!$B$10,((F25/'Task 2 - Asset lvl analysis'!$C$10)*'Task 2 - Asset lvl analysis'!$F$10))</f>
        <v>6.0433422607269192</v>
      </c>
      <c r="J25" s="125" cm="1">
        <f t="array" ref="J25">_xlfn.IFS(E25='Task 2 - Asset lvl analysis'!$B$8,((F25/'Task 2 - Asset lvl analysis'!$C$8)*'Task 2 - Asset lvl analysis'!$G$8),E25='Task 2 - Asset lvl analysis'!$B$9,((F25/'Task 2 - Asset lvl analysis'!$C$9)*'Task 2 - Asset lvl analysis'!$G$9),E25='Task 2 - Asset lvl analysis'!$B$10,((F25/'Task 2 - Asset lvl analysis'!$C$10)*'Task 2 - Asset lvl analysis'!$G$10))</f>
        <v>8.4123376181952345</v>
      </c>
      <c r="K25" s="125" cm="1">
        <f t="array" ref="K25">_xlfn.IFS($E25='Task 2 - Asset lvl analysis'!$B$8,(($F25/'Task 2 - Asset lvl analysis'!$C$8)*'Task 2 - Asset lvl analysis'!$H$8),$E25='Task 2 - Asset lvl analysis'!$B$9,((F25/'Task 2 - Asset lvl analysis'!$C$9)*'Task 2 - Asset lvl analysis'!$H$9),$E25='Task 2 - Asset lvl analysis'!$B$10,(($F25/'Task 2 - Asset lvl analysis'!$C$10)*'Task 2 - Asset lvl analysis'!$H$10))</f>
        <v>0</v>
      </c>
      <c r="L25" s="125" cm="1">
        <f t="array" ref="L25">_xlfn.IFS($E25='Task 2 - Asset lvl analysis'!$B$8,(($F25/'Task 2 - Asset lvl analysis'!$C$8)*'Task 2 - Asset lvl analysis'!$I$8),$E25='Task 2 - Asset lvl analysis'!$B$9,(($F25/'Task 2 - Asset lvl analysis'!$C$9)*'Task 2 - Asset lvl analysis'!$I$9),$E25='Task 2 - Asset lvl analysis'!$B$10,(($F25/'Task 2 - Asset lvl analysis'!$C$10)*'Task 2 - Asset lvl analysis'!$I$10))</f>
        <v>0.12429726553724704</v>
      </c>
      <c r="M25" s="125" cm="1">
        <f t="array" ref="M25">_xlfn.IFS($E25='Task 2 - Asset lvl analysis'!$B$8,(($F25/'Task 2 - Asset lvl analysis'!$C$8)*'Task 2 - Asset lvl analysis'!$J$8),$E25='Task 2 - Asset lvl analysis'!$B$9,(($F25/'Task 2 - Asset lvl analysis'!$C$9)*'Task 2 - Asset lvl analysis'!$J$9),$E25='Task 2 - Asset lvl analysis'!$B$10,(($F25/'Task 2 - Asset lvl analysis'!$C$10)*'Task 2 - Asset lvl analysis'!$J$10))</f>
        <v>0.30161658792963836</v>
      </c>
      <c r="N25" s="125" cm="1">
        <f t="array" ref="N25">_xlfn.IFS($E25='Task 2 - Asset lvl analysis'!$B$8,(($F25/'Task 2 - Asset lvl analysis'!$C$8)*'Task 2 - Asset lvl analysis'!$K$8),$E25='Task 2 - Asset lvl analysis'!$B$9,(($F25/'Task 2 - Asset lvl analysis'!$C$9)*'Task 2 - Asset lvl analysis'!$K$9),$E25='Task 2 - Asset lvl analysis'!$B$10,(($F25/'Task 2 - Asset lvl analysis'!$C$10)*'Task 2 - Asset lvl analysis'!$K$10))</f>
        <v>0</v>
      </c>
      <c r="O25" s="125" cm="1">
        <f t="array" ref="O25">_xlfn.IFS($E25='Task 2 - Asset lvl analysis'!$B$8,(($F25/'Task 2 - Asset lvl analysis'!$C$8)*'Task 2 - Asset lvl analysis'!$L$8),$E25='Task 2 - Asset lvl analysis'!$B$9,(($F25/'Task 2 - Asset lvl analysis'!$C$9)*'Task 2 - Asset lvl analysis'!$L$9),$E25='Task 2 - Asset lvl analysis'!$B$10,(($F25/'Task 2 - Asset lvl analysis'!$C$10)*'Task 2 - Asset lvl analysis'!$L$10))</f>
        <v>0</v>
      </c>
      <c r="P25" s="125" cm="1">
        <f t="array" ref="P25">_xlfn.IFS($E25='Task 2 - Asset lvl analysis'!$B$8,(($F25/'Task 2 - Asset lvl analysis'!$C$8)*'Task 2 - Asset lvl analysis'!$M$8),$E25='Task 2 - Asset lvl analysis'!$B$9,(($F25/'Task 2 - Asset lvl analysis'!$C$9)*'Task 2 - Asset lvl analysis'!$M$9),$E25='Task 2 - Asset lvl analysis'!$B$10,(($F25/'Task 2 - Asset lvl analysis'!$C$10)*'Task 2 - Asset lvl analysis'!$M$10))</f>
        <v>0</v>
      </c>
      <c r="Q25" s="125" cm="1">
        <f t="array" ref="Q25">_xlfn.IFS($E25='Task 2 - Asset lvl analysis'!$B$8,(($F25/'Task 2 - Asset lvl analysis'!$C$8)*'Task 2 - Asset lvl analysis'!$N$8),$E25='Task 2 - Asset lvl analysis'!$B$9,(($F25/'Task 2 - Asset lvl analysis'!$C$9)*'Task 2 - Asset lvl analysis'!$N$9),$E25='Task 2 - Asset lvl analysis'!$B$10,(($F25/'Task 2 - Asset lvl analysis'!$C$10)*'Task 2 - Asset lvl analysis'!$N$10))</f>
        <v>0</v>
      </c>
      <c r="R25" s="125" cm="1">
        <f t="array" ref="R25">_xlfn.IFS($E25='Task 2 - Asset lvl analysis'!$B$8,(($F25/'Task 2 - Asset lvl analysis'!$C$8)*'Task 2 - Asset lvl analysis'!$O$8),$E25='Task 2 - Asset lvl analysis'!$B$9,(($F25/'Task 2 - Asset lvl analysis'!$C$9)*'Task 2 - Asset lvl analysis'!$O$9),$E25='Task 2 - Asset lvl analysis'!$B$10,(($F25/'Task 2 - Asset lvl analysis'!$C$10)*'Task 2 - Asset lvl analysis'!$O$10))</f>
        <v>151.61892648506091</v>
      </c>
      <c r="S25" s="125" cm="1">
        <f t="array" ref="S25">_xlfn.IFS($E25='Task 2 - Asset lvl analysis'!$B$8,(($F25/'Task 2 - Asset lvl analysis'!$C$8)*'Task 2 - Asset lvl analysis'!$P$8),$E25='Task 2 - Asset lvl analysis'!$B$9,(($F25/'Task 2 - Asset lvl analysis'!$C$9)*'Task 2 - Asset lvl analysis'!$P$9),$E25='Task 2 - Asset lvl analysis'!$B$10,(($F25/'Task 2 - Asset lvl analysis'!$C$10)*'Task 2 - Asset lvl analysis'!$P$10))</f>
        <v>0</v>
      </c>
      <c r="T25" s="125" cm="1">
        <f t="array" ref="T25">_xlfn.IFS($E25='Task 2 - Asset lvl analysis'!$B$8,(($F25/'Task 2 - Asset lvl analysis'!$C$8)*'Task 2 - Asset lvl analysis'!$Q$8),$E25='Task 2 - Asset lvl analysis'!$B$9,(($F25/'Task 2 - Asset lvl analysis'!$C$9)*'Task 2 - Asset lvl analysis'!$Q$9),$E25='Task 2 - Asset lvl analysis'!$B$10,(($F25/'Task 2 - Asset lvl analysis'!$C$10)*'Task 2 - Asset lvl analysis'!$Q$10))</f>
        <v>0</v>
      </c>
      <c r="U25" s="125" cm="1">
        <f t="array" ref="U25">_xlfn.IFS($E25='Task 2 - Asset lvl analysis'!$B$8,(($F25/'Task 2 - Asset lvl analysis'!$C$8)*'Task 2 - Asset lvl analysis'!$R$8),$E25='Task 2 - Asset lvl analysis'!$B$9,(($F25/'Task 2 - Asset lvl analysis'!$C$9)*'Task 2 - Asset lvl analysis'!$R$9),$E25='Task 2 - Asset lvl analysis'!$B$10,(($F25/'Task 2 - Asset lvl analysis'!$C$10)*'Task 2 - Asset lvl analysis'!$R$10))</f>
        <v>0</v>
      </c>
      <c r="V25" s="125" cm="1">
        <f t="array" ref="V25">_xlfn.IFS($E25='Task 2 - Asset lvl analysis'!$B$8,(($F25/'Task 2 - Asset lvl analysis'!$C$8)*'Task 2 - Asset lvl analysis'!$S$8),$E25='Task 2 - Asset lvl analysis'!$B$9,(($F25/'Task 2 - Asset lvl analysis'!$C$9)*'Task 2 - Asset lvl analysis'!$S$9),$E25='Task 2 - Asset lvl analysis'!$B$10,(($F25/'Task 2 - Asset lvl analysis'!$C$10)*'Task 2 - Asset lvl analysis'!$S$10))</f>
        <v>1.0619482780794236</v>
      </c>
      <c r="W25" s="125" cm="1">
        <f t="array" ref="W25">_xlfn.IFS($E25='Task 2 - Asset lvl analysis'!$B$8,(($F25/'Task 2 - Asset lvl analysis'!$C$8)*'Task 2 - Asset lvl analysis'!$T$8),$E25='Task 2 - Asset lvl analysis'!$B$9,(($F25/'Task 2 - Asset lvl analysis'!$C$9)*'Task 2 - Asset lvl analysis'!$T$9),$E25='Task 2 - Asset lvl analysis'!$B$10,(($F25/'Task 2 - Asset lvl analysis'!$C$10)*'Task 2 - Asset lvl analysis'!$T$10))</f>
        <v>0</v>
      </c>
      <c r="X25" s="219">
        <f t="shared" si="0"/>
        <v>167.83833809177651</v>
      </c>
    </row>
    <row r="26" spans="1:24" ht="28" x14ac:dyDescent="0.35">
      <c r="A26" s="18"/>
      <c r="B26" s="218" t="s">
        <v>125</v>
      </c>
      <c r="C26" s="213" t="s">
        <v>107</v>
      </c>
      <c r="D26" s="119" t="s">
        <v>278</v>
      </c>
      <c r="E26" s="124" t="s">
        <v>14</v>
      </c>
      <c r="F26" s="552">
        <f>_xlfn.XLOOKUP(B26,'Structure dimensions'!$C$6:$C$49,'Structure dimensions'!$L$6:$L$49)</f>
        <v>123.312</v>
      </c>
      <c r="G26" s="125" cm="1">
        <f t="array" ref="G26">_xlfn.IFS(E26='Task 2 - Asset lvl analysis'!$B$8,((F26/'Task 2 - Asset lvl analysis'!$C$8)*'Task 2 - Asset lvl analysis'!$D$8),E26='Task 2 - Asset lvl analysis'!$B$9,((F26/'Task 2 - Asset lvl analysis'!$C$9)*'Task 2 - Asset lvl analysis'!$D$9),E26='Task 2 - Asset lvl analysis'!$B$10,((F26/'Task 2 - Asset lvl analysis'!$C$10)*'Task 2 - Asset lvl analysis'!$D$10))</f>
        <v>0.3588021480057425</v>
      </c>
      <c r="H26" s="125" cm="1">
        <f t="array" ref="H26">_xlfn.IFS(E26='Task 2 - Asset lvl analysis'!$B$8,((F26/'Task 2 - Asset lvl analysis'!$C$8)*'Task 2 - Asset lvl analysis'!$E$8),E26='Task 2 - Asset lvl analysis'!$B$9,((F26/'Task 2 - Asset lvl analysis'!$C$9)*'Task 2 - Asset lvl analysis'!$E$9),E26='Task 2 - Asset lvl analysis'!$B$10,((F26/'Task 2 - Asset lvl analysis'!$C$10)*'Task 2 - Asset lvl analysis'!$E$10))</f>
        <v>0</v>
      </c>
      <c r="I26" s="125" cm="1">
        <f t="array" ref="I26">_xlfn.IFS(E26='Task 2 - Asset lvl analysis'!$B$8,((F26/'Task 2 - Asset lvl analysis'!$C$8)*'Task 2 - Asset lvl analysis'!$F$8),E26='Task 2 - Asset lvl analysis'!$B$9,((F26/'Task 2 - Asset lvl analysis'!$C$9)*'Task 2 - Asset lvl analysis'!$F$9),E26='Task 2 - Asset lvl analysis'!$B$10,((F26/'Task 2 - Asset lvl analysis'!$C$10)*'Task 2 - Asset lvl analysis'!$F$10))</f>
        <v>7.8601056940698015</v>
      </c>
      <c r="J26" s="125" cm="1">
        <f t="array" ref="J26">_xlfn.IFS(E26='Task 2 - Asset lvl analysis'!$B$8,((F26/'Task 2 - Asset lvl analysis'!$C$8)*'Task 2 - Asset lvl analysis'!$G$8),E26='Task 2 - Asset lvl analysis'!$B$9,((F26/'Task 2 - Asset lvl analysis'!$C$9)*'Task 2 - Asset lvl analysis'!$G$9),E26='Task 2 - Asset lvl analysis'!$B$10,((F26/'Task 2 - Asset lvl analysis'!$C$10)*'Task 2 - Asset lvl analysis'!$G$10))</f>
        <v>10.941273878018045</v>
      </c>
      <c r="K26" s="125" cm="1">
        <f t="array" ref="K26">_xlfn.IFS($E26='Task 2 - Asset lvl analysis'!$B$8,(($F26/'Task 2 - Asset lvl analysis'!$C$8)*'Task 2 - Asset lvl analysis'!$H$8),$E26='Task 2 - Asset lvl analysis'!$B$9,((F26/'Task 2 - Asset lvl analysis'!$C$9)*'Task 2 - Asset lvl analysis'!$H$9),$E26='Task 2 - Asset lvl analysis'!$B$10,(($F26/'Task 2 - Asset lvl analysis'!$C$10)*'Task 2 - Asset lvl analysis'!$H$10))</f>
        <v>0</v>
      </c>
      <c r="L26" s="125" cm="1">
        <f t="array" ref="L26">_xlfn.IFS($E26='Task 2 - Asset lvl analysis'!$B$8,(($F26/'Task 2 - Asset lvl analysis'!$C$8)*'Task 2 - Asset lvl analysis'!$I$8),$E26='Task 2 - Asset lvl analysis'!$B$9,(($F26/'Task 2 - Asset lvl analysis'!$C$9)*'Task 2 - Asset lvl analysis'!$I$9),$E26='Task 2 - Asset lvl analysis'!$B$10,(($F26/'Task 2 - Asset lvl analysis'!$C$10)*'Task 2 - Asset lvl analysis'!$I$10))</f>
        <v>0.16166379504196823</v>
      </c>
      <c r="M26" s="125" cm="1">
        <f t="array" ref="M26">_xlfn.IFS($E26='Task 2 - Asset lvl analysis'!$B$8,(($F26/'Task 2 - Asset lvl analysis'!$C$8)*'Task 2 - Asset lvl analysis'!$J$8),$E26='Task 2 - Asset lvl analysis'!$B$9,(($F26/'Task 2 - Asset lvl analysis'!$C$9)*'Task 2 - Asset lvl analysis'!$J$9),$E26='Task 2 - Asset lvl analysis'!$B$10,(($F26/'Task 2 - Asset lvl analysis'!$C$10)*'Task 2 - Asset lvl analysis'!$J$10))</f>
        <v>0.39228925947452342</v>
      </c>
      <c r="N26" s="125" cm="1">
        <f t="array" ref="N26">_xlfn.IFS($E26='Task 2 - Asset lvl analysis'!$B$8,(($F26/'Task 2 - Asset lvl analysis'!$C$8)*'Task 2 - Asset lvl analysis'!$K$8),$E26='Task 2 - Asset lvl analysis'!$B$9,(($F26/'Task 2 - Asset lvl analysis'!$C$9)*'Task 2 - Asset lvl analysis'!$K$9),$E26='Task 2 - Asset lvl analysis'!$B$10,(($F26/'Task 2 - Asset lvl analysis'!$C$10)*'Task 2 - Asset lvl analysis'!$K$10))</f>
        <v>0</v>
      </c>
      <c r="O26" s="125" cm="1">
        <f t="array" ref="O26">_xlfn.IFS($E26='Task 2 - Asset lvl analysis'!$B$8,(($F26/'Task 2 - Asset lvl analysis'!$C$8)*'Task 2 - Asset lvl analysis'!$L$8),$E26='Task 2 - Asset lvl analysis'!$B$9,(($F26/'Task 2 - Asset lvl analysis'!$C$9)*'Task 2 - Asset lvl analysis'!$L$9),$E26='Task 2 - Asset lvl analysis'!$B$10,(($F26/'Task 2 - Asset lvl analysis'!$C$10)*'Task 2 - Asset lvl analysis'!$L$10))</f>
        <v>0</v>
      </c>
      <c r="P26" s="125" cm="1">
        <f t="array" ref="P26">_xlfn.IFS($E26='Task 2 - Asset lvl analysis'!$B$8,(($F26/'Task 2 - Asset lvl analysis'!$C$8)*'Task 2 - Asset lvl analysis'!$M$8),$E26='Task 2 - Asset lvl analysis'!$B$9,(($F26/'Task 2 - Asset lvl analysis'!$C$9)*'Task 2 - Asset lvl analysis'!$M$9),$E26='Task 2 - Asset lvl analysis'!$B$10,(($F26/'Task 2 - Asset lvl analysis'!$C$10)*'Task 2 - Asset lvl analysis'!$M$10))</f>
        <v>0</v>
      </c>
      <c r="Q26" s="125" cm="1">
        <f t="array" ref="Q26">_xlfn.IFS($E26='Task 2 - Asset lvl analysis'!$B$8,(($F26/'Task 2 - Asset lvl analysis'!$C$8)*'Task 2 - Asset lvl analysis'!$N$8),$E26='Task 2 - Asset lvl analysis'!$B$9,(($F26/'Task 2 - Asset lvl analysis'!$C$9)*'Task 2 - Asset lvl analysis'!$N$9),$E26='Task 2 - Asset lvl analysis'!$B$10,(($F26/'Task 2 - Asset lvl analysis'!$C$10)*'Task 2 - Asset lvl analysis'!$N$10))</f>
        <v>0</v>
      </c>
      <c r="R26" s="125" cm="1">
        <f t="array" ref="R26">_xlfn.IFS($E26='Task 2 - Asset lvl analysis'!$B$8,(($F26/'Task 2 - Asset lvl analysis'!$C$8)*'Task 2 - Asset lvl analysis'!$O$8),$E26='Task 2 - Asset lvl analysis'!$B$9,(($F26/'Task 2 - Asset lvl analysis'!$C$9)*'Task 2 - Asset lvl analysis'!$O$9),$E26='Task 2 - Asset lvl analysis'!$B$10,(($F26/'Task 2 - Asset lvl analysis'!$C$10)*'Task 2 - Asset lvl analysis'!$O$10))</f>
        <v>197.19895646794464</v>
      </c>
      <c r="S26" s="125" cm="1">
        <f t="array" ref="S26">_xlfn.IFS($E26='Task 2 - Asset lvl analysis'!$B$8,(($F26/'Task 2 - Asset lvl analysis'!$C$8)*'Task 2 - Asset lvl analysis'!$P$8),$E26='Task 2 - Asset lvl analysis'!$B$9,(($F26/'Task 2 - Asset lvl analysis'!$C$9)*'Task 2 - Asset lvl analysis'!$P$9),$E26='Task 2 - Asset lvl analysis'!$B$10,(($F26/'Task 2 - Asset lvl analysis'!$C$10)*'Task 2 - Asset lvl analysis'!$P$10))</f>
        <v>0</v>
      </c>
      <c r="T26" s="125" cm="1">
        <f t="array" ref="T26">_xlfn.IFS($E26='Task 2 - Asset lvl analysis'!$B$8,(($F26/'Task 2 - Asset lvl analysis'!$C$8)*'Task 2 - Asset lvl analysis'!$Q$8),$E26='Task 2 - Asset lvl analysis'!$B$9,(($F26/'Task 2 - Asset lvl analysis'!$C$9)*'Task 2 - Asset lvl analysis'!$Q$9),$E26='Task 2 - Asset lvl analysis'!$B$10,(($F26/'Task 2 - Asset lvl analysis'!$C$10)*'Task 2 - Asset lvl analysis'!$Q$10))</f>
        <v>0</v>
      </c>
      <c r="U26" s="125" cm="1">
        <f t="array" ref="U26">_xlfn.IFS($E26='Task 2 - Asset lvl analysis'!$B$8,(($F26/'Task 2 - Asset lvl analysis'!$C$8)*'Task 2 - Asset lvl analysis'!$R$8),$E26='Task 2 - Asset lvl analysis'!$B$9,(($F26/'Task 2 - Asset lvl analysis'!$C$9)*'Task 2 - Asset lvl analysis'!$R$9),$E26='Task 2 - Asset lvl analysis'!$B$10,(($F26/'Task 2 - Asset lvl analysis'!$C$10)*'Task 2 - Asset lvl analysis'!$R$10))</f>
        <v>0</v>
      </c>
      <c r="V26" s="125" cm="1">
        <f t="array" ref="V26">_xlfn.IFS($E26='Task 2 - Asset lvl analysis'!$B$8,(($F26/'Task 2 - Asset lvl analysis'!$C$8)*'Task 2 - Asset lvl analysis'!$S$8),$E26='Task 2 - Asset lvl analysis'!$B$9,(($F26/'Task 2 - Asset lvl analysis'!$C$9)*'Task 2 - Asset lvl analysis'!$S$9),$E26='Task 2 - Asset lvl analysis'!$B$10,(($F26/'Task 2 - Asset lvl analysis'!$C$10)*'Task 2 - Asset lvl analysis'!$S$10))</f>
        <v>1.3811936089708878</v>
      </c>
      <c r="W26" s="125" cm="1">
        <f t="array" ref="W26">_xlfn.IFS($E26='Task 2 - Asset lvl analysis'!$B$8,(($F26/'Task 2 - Asset lvl analysis'!$C$8)*'Task 2 - Asset lvl analysis'!$T$8),$E26='Task 2 - Asset lvl analysis'!$B$9,(($F26/'Task 2 - Asset lvl analysis'!$C$9)*'Task 2 - Asset lvl analysis'!$T$9),$E26='Task 2 - Asset lvl analysis'!$B$10,(($F26/'Task 2 - Asset lvl analysis'!$C$10)*'Task 2 - Asset lvl analysis'!$T$10))</f>
        <v>0</v>
      </c>
      <c r="X26" s="219">
        <f t="shared" si="0"/>
        <v>218.29428485152559</v>
      </c>
    </row>
    <row r="27" spans="1:24" ht="28" x14ac:dyDescent="0.35">
      <c r="A27" s="18"/>
      <c r="B27" s="218" t="s">
        <v>126</v>
      </c>
      <c r="C27" s="213" t="s">
        <v>108</v>
      </c>
      <c r="D27" s="119" t="s">
        <v>278</v>
      </c>
      <c r="E27" s="124" t="s">
        <v>14</v>
      </c>
      <c r="F27" s="552">
        <f>_xlfn.XLOOKUP(B27,'Structure dimensions'!$C$6:$C$49,'Structure dimensions'!$L$6:$L$49)</f>
        <v>114.744</v>
      </c>
      <c r="G27" s="125" cm="1">
        <f t="array" ref="G27">_xlfn.IFS(E27='Task 2 - Asset lvl analysis'!$B$8,((F27/'Task 2 - Asset lvl analysis'!$C$8)*'Task 2 - Asset lvl analysis'!$D$8),E27='Task 2 - Asset lvl analysis'!$B$9,((F27/'Task 2 - Asset lvl analysis'!$C$9)*'Task 2 - Asset lvl analysis'!$D$9),E27='Task 2 - Asset lvl analysis'!$B$10,((F27/'Task 2 - Asset lvl analysis'!$C$10)*'Task 2 - Asset lvl analysis'!$D$10))</f>
        <v>0.33387175352577952</v>
      </c>
      <c r="H27" s="125" cm="1">
        <f t="array" ref="H27">_xlfn.IFS(E27='Task 2 - Asset lvl analysis'!$B$8,((F27/'Task 2 - Asset lvl analysis'!$C$8)*'Task 2 - Asset lvl analysis'!$E$8),E27='Task 2 - Asset lvl analysis'!$B$9,((F27/'Task 2 - Asset lvl analysis'!$C$9)*'Task 2 - Asset lvl analysis'!$E$9),E27='Task 2 - Asset lvl analysis'!$B$10,((F27/'Task 2 - Asset lvl analysis'!$C$10)*'Task 2 - Asset lvl analysis'!$E$10))</f>
        <v>0</v>
      </c>
      <c r="I27" s="125" cm="1">
        <f t="array" ref="I27">_xlfn.IFS(E27='Task 2 - Asset lvl analysis'!$B$8,((F27/'Task 2 - Asset lvl analysis'!$C$8)*'Task 2 - Asset lvl analysis'!$F$8),E27='Task 2 - Asset lvl analysis'!$B$9,((F27/'Task 2 - Asset lvl analysis'!$C$9)*'Task 2 - Asset lvl analysis'!$F$9),E27='Task 2 - Asset lvl analysis'!$B$10,((F27/'Task 2 - Asset lvl analysis'!$C$10)*'Task 2 - Asset lvl analysis'!$F$10))</f>
        <v>7.3139675600131815</v>
      </c>
      <c r="J27" s="125" cm="1">
        <f t="array" ref="J27">_xlfn.IFS(E27='Task 2 - Asset lvl analysis'!$B$8,((F27/'Task 2 - Asset lvl analysis'!$C$8)*'Task 2 - Asset lvl analysis'!$G$8),E27='Task 2 - Asset lvl analysis'!$B$9,((F27/'Task 2 - Asset lvl analysis'!$C$9)*'Task 2 - Asset lvl analysis'!$G$9),E27='Task 2 - Asset lvl analysis'!$B$10,((F27/'Task 2 - Asset lvl analysis'!$C$10)*'Task 2 - Asset lvl analysis'!$G$10))</f>
        <v>10.181049126275648</v>
      </c>
      <c r="K27" s="125" cm="1">
        <f t="array" ref="K27">_xlfn.IFS($E27='Task 2 - Asset lvl analysis'!$B$8,(($F27/'Task 2 - Asset lvl analysis'!$C$8)*'Task 2 - Asset lvl analysis'!$H$8),$E27='Task 2 - Asset lvl analysis'!$B$9,((F27/'Task 2 - Asset lvl analysis'!$C$9)*'Task 2 - Asset lvl analysis'!$H$9),$E27='Task 2 - Asset lvl analysis'!$B$10,(($F27/'Task 2 - Asset lvl analysis'!$C$10)*'Task 2 - Asset lvl analysis'!$H$10))</f>
        <v>0</v>
      </c>
      <c r="L27" s="125" cm="1">
        <f t="array" ref="L27">_xlfn.IFS($E27='Task 2 - Asset lvl analysis'!$B$8,(($F27/'Task 2 - Asset lvl analysis'!$C$8)*'Task 2 - Asset lvl analysis'!$I$8),$E27='Task 2 - Asset lvl analysis'!$B$9,(($F27/'Task 2 - Asset lvl analysis'!$C$9)*'Task 2 - Asset lvl analysis'!$I$9),$E27='Task 2 - Asset lvl analysis'!$B$10,(($F27/'Task 2 - Asset lvl analysis'!$C$10)*'Task 2 - Asset lvl analysis'!$I$10))</f>
        <v>0.15043102454177698</v>
      </c>
      <c r="M27" s="125" cm="1">
        <f t="array" ref="M27">_xlfn.IFS($E27='Task 2 - Asset lvl analysis'!$B$8,(($F27/'Task 2 - Asset lvl analysis'!$C$8)*'Task 2 - Asset lvl analysis'!$J$8),$E27='Task 2 - Asset lvl analysis'!$B$9,(($F27/'Task 2 - Asset lvl analysis'!$C$9)*'Task 2 - Asset lvl analysis'!$J$9),$E27='Task 2 - Asset lvl analysis'!$B$10,(($F27/'Task 2 - Asset lvl analysis'!$C$10)*'Task 2 - Asset lvl analysis'!$J$10))</f>
        <v>0.36503210384345985</v>
      </c>
      <c r="N27" s="125" cm="1">
        <f t="array" ref="N27">_xlfn.IFS($E27='Task 2 - Asset lvl analysis'!$B$8,(($F27/'Task 2 - Asset lvl analysis'!$C$8)*'Task 2 - Asset lvl analysis'!$K$8),$E27='Task 2 - Asset lvl analysis'!$B$9,(($F27/'Task 2 - Asset lvl analysis'!$C$9)*'Task 2 - Asset lvl analysis'!$K$9),$E27='Task 2 - Asset lvl analysis'!$B$10,(($F27/'Task 2 - Asset lvl analysis'!$C$10)*'Task 2 - Asset lvl analysis'!$K$10))</f>
        <v>0</v>
      </c>
      <c r="O27" s="125" cm="1">
        <f t="array" ref="O27">_xlfn.IFS($E27='Task 2 - Asset lvl analysis'!$B$8,(($F27/'Task 2 - Asset lvl analysis'!$C$8)*'Task 2 - Asset lvl analysis'!$L$8),$E27='Task 2 - Asset lvl analysis'!$B$9,(($F27/'Task 2 - Asset lvl analysis'!$C$9)*'Task 2 - Asset lvl analysis'!$L$9),$E27='Task 2 - Asset lvl analysis'!$B$10,(($F27/'Task 2 - Asset lvl analysis'!$C$10)*'Task 2 - Asset lvl analysis'!$L$10))</f>
        <v>0</v>
      </c>
      <c r="P27" s="125" cm="1">
        <f t="array" ref="P27">_xlfn.IFS($E27='Task 2 - Asset lvl analysis'!$B$8,(($F27/'Task 2 - Asset lvl analysis'!$C$8)*'Task 2 - Asset lvl analysis'!$M$8),$E27='Task 2 - Asset lvl analysis'!$B$9,(($F27/'Task 2 - Asset lvl analysis'!$C$9)*'Task 2 - Asset lvl analysis'!$M$9),$E27='Task 2 - Asset lvl analysis'!$B$10,(($F27/'Task 2 - Asset lvl analysis'!$C$10)*'Task 2 - Asset lvl analysis'!$M$10))</f>
        <v>0</v>
      </c>
      <c r="Q27" s="125" cm="1">
        <f t="array" ref="Q27">_xlfn.IFS($E27='Task 2 - Asset lvl analysis'!$B$8,(($F27/'Task 2 - Asset lvl analysis'!$C$8)*'Task 2 - Asset lvl analysis'!$N$8),$E27='Task 2 - Asset lvl analysis'!$B$9,(($F27/'Task 2 - Asset lvl analysis'!$C$9)*'Task 2 - Asset lvl analysis'!$N$9),$E27='Task 2 - Asset lvl analysis'!$B$10,(($F27/'Task 2 - Asset lvl analysis'!$C$10)*'Task 2 - Asset lvl analysis'!$N$10))</f>
        <v>0</v>
      </c>
      <c r="R27" s="125" cm="1">
        <f t="array" ref="R27">_xlfn.IFS($E27='Task 2 - Asset lvl analysis'!$B$8,(($F27/'Task 2 - Asset lvl analysis'!$C$8)*'Task 2 - Asset lvl analysis'!$O$8),$E27='Task 2 - Asset lvl analysis'!$B$9,(($F27/'Task 2 - Asset lvl analysis'!$C$9)*'Task 2 - Asset lvl analysis'!$O$9),$E27='Task 2 - Asset lvl analysis'!$B$10,(($F27/'Task 2 - Asset lvl analysis'!$C$10)*'Task 2 - Asset lvl analysis'!$O$10))</f>
        <v>183.49712161799209</v>
      </c>
      <c r="S27" s="125" cm="1">
        <f t="array" ref="S27">_xlfn.IFS($E27='Task 2 - Asset lvl analysis'!$B$8,(($F27/'Task 2 - Asset lvl analysis'!$C$8)*'Task 2 - Asset lvl analysis'!$P$8),$E27='Task 2 - Asset lvl analysis'!$B$9,(($F27/'Task 2 - Asset lvl analysis'!$C$9)*'Task 2 - Asset lvl analysis'!$P$9),$E27='Task 2 - Asset lvl analysis'!$B$10,(($F27/'Task 2 - Asset lvl analysis'!$C$10)*'Task 2 - Asset lvl analysis'!$P$10))</f>
        <v>0</v>
      </c>
      <c r="T27" s="125" cm="1">
        <f t="array" ref="T27">_xlfn.IFS($E27='Task 2 - Asset lvl analysis'!$B$8,(($F27/'Task 2 - Asset lvl analysis'!$C$8)*'Task 2 - Asset lvl analysis'!$Q$8),$E27='Task 2 - Asset lvl analysis'!$B$9,(($F27/'Task 2 - Asset lvl analysis'!$C$9)*'Task 2 - Asset lvl analysis'!$Q$9),$E27='Task 2 - Asset lvl analysis'!$B$10,(($F27/'Task 2 - Asset lvl analysis'!$C$10)*'Task 2 - Asset lvl analysis'!$Q$10))</f>
        <v>0</v>
      </c>
      <c r="U27" s="125" cm="1">
        <f t="array" ref="U27">_xlfn.IFS($E27='Task 2 - Asset lvl analysis'!$B$8,(($F27/'Task 2 - Asset lvl analysis'!$C$8)*'Task 2 - Asset lvl analysis'!$R$8),$E27='Task 2 - Asset lvl analysis'!$B$9,(($F27/'Task 2 - Asset lvl analysis'!$C$9)*'Task 2 - Asset lvl analysis'!$R$9),$E27='Task 2 - Asset lvl analysis'!$B$10,(($F27/'Task 2 - Asset lvl analysis'!$C$10)*'Task 2 - Asset lvl analysis'!$R$10))</f>
        <v>0</v>
      </c>
      <c r="V27" s="125" cm="1">
        <f t="array" ref="V27">_xlfn.IFS($E27='Task 2 - Asset lvl analysis'!$B$8,(($F27/'Task 2 - Asset lvl analysis'!$C$8)*'Task 2 - Asset lvl analysis'!$S$8),$E27='Task 2 - Asset lvl analysis'!$B$9,(($F27/'Task 2 - Asset lvl analysis'!$C$9)*'Task 2 - Asset lvl analysis'!$S$9),$E27='Task 2 - Asset lvl analysis'!$B$10,(($F27/'Task 2 - Asset lvl analysis'!$C$10)*'Task 2 - Asset lvl analysis'!$S$10))</f>
        <v>1.2852251157045185</v>
      </c>
      <c r="W27" s="125" cm="1">
        <f t="array" ref="W27">_xlfn.IFS($E27='Task 2 - Asset lvl analysis'!$B$8,(($F27/'Task 2 - Asset lvl analysis'!$C$8)*'Task 2 - Asset lvl analysis'!$T$8),$E27='Task 2 - Asset lvl analysis'!$B$9,(($F27/'Task 2 - Asset lvl analysis'!$C$9)*'Task 2 - Asset lvl analysis'!$T$9),$E27='Task 2 - Asset lvl analysis'!$B$10,(($F27/'Task 2 - Asset lvl analysis'!$C$10)*'Task 2 - Asset lvl analysis'!$T$10))</f>
        <v>0</v>
      </c>
      <c r="X27" s="219">
        <f t="shared" si="0"/>
        <v>203.12669830189645</v>
      </c>
    </row>
    <row r="28" spans="1:24" ht="28" x14ac:dyDescent="0.35">
      <c r="A28" s="214"/>
      <c r="B28" s="220" t="s">
        <v>285</v>
      </c>
      <c r="C28" s="215" t="s">
        <v>42</v>
      </c>
      <c r="D28" s="126" t="s">
        <v>277</v>
      </c>
      <c r="E28" s="124" t="s">
        <v>14</v>
      </c>
      <c r="F28" s="552">
        <f>_xlfn.XLOOKUP(B28,'Structure dimensions'!$C$6:$C$49,'Structure dimensions'!$L$6:$L$49)</f>
        <v>113.47199999999999</v>
      </c>
      <c r="G28" s="120">
        <f>SUMIF(AUB!$C$111:$C$127,'Task 2 - Asset lvl analysis'!G14,AUB!$I$111:$I$127)</f>
        <v>0.31630000000000003</v>
      </c>
      <c r="H28" s="120">
        <f>SUMIF(AUB!$C$111:$C$127,'Task 2 - Asset lvl analysis'!H14,AUB!$I$111:$I$127)</f>
        <v>0</v>
      </c>
      <c r="I28" s="120">
        <f>SUMIF(AUB!$C$111:$C$127,'Task 2 - Asset lvl analysis'!I14,AUB!$I$111:$I$127)</f>
        <v>6.9369999999999994</v>
      </c>
      <c r="J28" s="120">
        <f>SUMIF(AUB!$C$111:$C$127,'Task 2 - Asset lvl analysis'!J14,AUB!$I$111:$I$127)</f>
        <v>5.6959999999999997</v>
      </c>
      <c r="K28" s="120">
        <f>SUMIF(AUB!$C$111:$C$127,'Task 2 - Asset lvl analysis'!K14,AUB!$I$111:$I$127)</f>
        <v>0</v>
      </c>
      <c r="L28" s="120">
        <f>SUMIF(AUB!$C$111:$C$127,'Task 2 - Asset lvl analysis'!L14,AUB!$I$111:$I$127)</f>
        <v>7.5600000000000001E-2</v>
      </c>
      <c r="M28" s="120">
        <f>SUMIF(AUB!$C$111:$C$127,'Task 2 - Asset lvl analysis'!M14,AUB!$I$111:$I$127)</f>
        <v>0.2636</v>
      </c>
      <c r="N28" s="120">
        <f>SUMIF(AUB!$C$111:$C$127,'Task 2 - Asset lvl analysis'!N14,AUB!$I$111:$I$127)</f>
        <v>0</v>
      </c>
      <c r="O28" s="120">
        <f>SUMIF(AUB!$C$111:$C$127,'Task 2 - Asset lvl analysis'!O14,AUB!$I$111:$I$127)</f>
        <v>0</v>
      </c>
      <c r="P28" s="120">
        <f>SUMIF(AUB!$C$111:$C$127,'Task 2 - Asset lvl analysis'!P14,AUB!$I$111:$I$127)</f>
        <v>0</v>
      </c>
      <c r="Q28" s="120">
        <f>SUMIF(AUB!$C$111:$C$127,'Task 2 - Asset lvl analysis'!Q14,AUB!$I$111:$I$127)</f>
        <v>0</v>
      </c>
      <c r="R28" s="120">
        <f>SUMIF(AUB!$C$111:$C$127,'Task 2 - Asset lvl analysis'!R14,AUB!$I$111:$I$127)</f>
        <v>46.598599999999998</v>
      </c>
      <c r="S28" s="120">
        <f>SUMIF(AUB!$C$111:$C$127,'Task 2 - Asset lvl analysis'!S14,AUB!$I$111:$I$127)</f>
        <v>0</v>
      </c>
      <c r="T28" s="120">
        <f>SUMIF(AUB!$C$111:$C$127,'Task 2 - Asset lvl analysis'!T14,AUB!$I$111:$I$127)</f>
        <v>0</v>
      </c>
      <c r="U28" s="120">
        <f>SUMIF(AUB!$C$111:$C$127,'Task 2 - Asset lvl analysis'!U14,AUB!$I$111:$I$127)</f>
        <v>0</v>
      </c>
      <c r="V28" s="120">
        <f>SUMIF(AUB!$C$111:$C$127,'Task 2 - Asset lvl analysis'!V14,AUB!$I$111:$I$127)</f>
        <v>0.20929999999999999</v>
      </c>
      <c r="W28" s="120">
        <f>SUMIF(AUB!$C$111:$C$127,'Task 2 - Asset lvl analysis'!W14,AUB!$I$111:$I$127)</f>
        <v>0</v>
      </c>
      <c r="X28" s="219">
        <f t="shared" si="0"/>
        <v>60.096399999999996</v>
      </c>
    </row>
    <row r="29" spans="1:24" ht="28" x14ac:dyDescent="0.35">
      <c r="A29" s="18"/>
      <c r="B29" s="218" t="s">
        <v>127</v>
      </c>
      <c r="C29" s="213" t="s">
        <v>109</v>
      </c>
      <c r="D29" s="119" t="s">
        <v>278</v>
      </c>
      <c r="E29" s="124" t="s">
        <v>14</v>
      </c>
      <c r="F29" s="552">
        <f>_xlfn.XLOOKUP(B29,'Structure dimensions'!$C$6:$C$49,'Structure dimensions'!$L$6:$L$49)</f>
        <v>114.19800000000001</v>
      </c>
      <c r="G29" s="127" cm="1">
        <f t="array" ref="G29">_xlfn.IFS(E29='Task 2 - Asset lvl analysis'!$B$8,((F29/'Task 2 - Asset lvl analysis'!$C$8)*'Task 2 - Asset lvl analysis'!$D$8),E29='Task 2 - Asset lvl analysis'!$B$9,((F29/'Task 2 - Asset lvl analysis'!$C$9)*'Task 2 - Asset lvl analysis'!$D$9),E29='Task 2 - Asset lvl analysis'!$B$10,((F29/'Task 2 - Asset lvl analysis'!$C$10)*'Task 2 - Asset lvl analysis'!$D$10))</f>
        <v>0.33228305191676227</v>
      </c>
      <c r="H29" s="125" cm="1">
        <f t="array" ref="H29">_xlfn.IFS(E29='Task 2 - Asset lvl analysis'!$B$8,((F29/'Task 2 - Asset lvl analysis'!$C$8)*'Task 2 - Asset lvl analysis'!$E$8),E29='Task 2 - Asset lvl analysis'!$B$9,((F29/'Task 2 - Asset lvl analysis'!$C$9)*'Task 2 - Asset lvl analysis'!$E$9),E29='Task 2 - Asset lvl analysis'!$B$10,((F29/'Task 2 - Asset lvl analysis'!$C$10)*'Task 2 - Asset lvl analysis'!$E$10))</f>
        <v>0</v>
      </c>
      <c r="I29" s="125" cm="1">
        <f t="array" ref="I29">_xlfn.IFS(E29='Task 2 - Asset lvl analysis'!$B$8,((F29/'Task 2 - Asset lvl analysis'!$C$8)*'Task 2 - Asset lvl analysis'!$F$8),E29='Task 2 - Asset lvl analysis'!$B$9,((F29/'Task 2 - Asset lvl analysis'!$C$9)*'Task 2 - Asset lvl analysis'!$F$9),E29='Task 2 - Asset lvl analysis'!$B$10,((F29/'Task 2 - Asset lvl analysis'!$C$10)*'Task 2 - Asset lvl analysis'!$F$10))</f>
        <v>7.2791646397056526</v>
      </c>
      <c r="J29" s="125" cm="1">
        <f t="array" ref="J29">_xlfn.IFS(E29='Task 2 - Asset lvl analysis'!$B$8,((F29/'Task 2 - Asset lvl analysis'!$C$8)*'Task 2 - Asset lvl analysis'!$G$8),E29='Task 2 - Asset lvl analysis'!$B$9,((F29/'Task 2 - Asset lvl analysis'!$C$9)*'Task 2 - Asset lvl analysis'!$G$9),E29='Task 2 - Asset lvl analysis'!$B$10,((F29/'Task 2 - Asset lvl analysis'!$C$10)*'Task 2 - Asset lvl analysis'!$G$10))</f>
        <v>10.132603431311672</v>
      </c>
      <c r="K29" s="125" cm="1">
        <f t="array" ref="K29">_xlfn.IFS($E29='Task 2 - Asset lvl analysis'!$B$8,(($F29/'Task 2 - Asset lvl analysis'!$C$8)*'Task 2 - Asset lvl analysis'!$H$8),$E29='Task 2 - Asset lvl analysis'!$B$9,((F29/'Task 2 - Asset lvl analysis'!$C$9)*'Task 2 - Asset lvl analysis'!$H$9),$E29='Task 2 - Asset lvl analysis'!$B$10,(($F29/'Task 2 - Asset lvl analysis'!$C$10)*'Task 2 - Asset lvl analysis'!$H$10))</f>
        <v>0</v>
      </c>
      <c r="L29" s="125" cm="1">
        <f t="array" ref="L29">_xlfn.IFS($E29='Task 2 - Asset lvl analysis'!$B$8,(($F29/'Task 2 - Asset lvl analysis'!$C$8)*'Task 2 - Asset lvl analysis'!$I$8),$E29='Task 2 - Asset lvl analysis'!$B$9,(($F29/'Task 2 - Asset lvl analysis'!$C$9)*'Task 2 - Asset lvl analysis'!$I$9),$E29='Task 2 - Asset lvl analysis'!$B$10,(($F29/'Task 2 - Asset lvl analysis'!$C$10)*'Task 2 - Asset lvl analysis'!$I$10))</f>
        <v>0.14971521073539226</v>
      </c>
      <c r="M29" s="125" cm="1">
        <f t="array" ref="M29">_xlfn.IFS($E29='Task 2 - Asset lvl analysis'!$B$8,(($F29/'Task 2 - Asset lvl analysis'!$C$8)*'Task 2 - Asset lvl analysis'!$J$8),$E29='Task 2 - Asset lvl analysis'!$B$9,(($F29/'Task 2 - Asset lvl analysis'!$C$9)*'Task 2 - Asset lvl analysis'!$J$9),$E29='Task 2 - Asset lvl analysis'!$B$10,(($F29/'Task 2 - Asset lvl analysis'!$C$10)*'Task 2 - Asset lvl analysis'!$J$10))</f>
        <v>0.36329512823951959</v>
      </c>
      <c r="N29" s="125" cm="1">
        <f t="array" ref="N29">_xlfn.IFS($E29='Task 2 - Asset lvl analysis'!$B$8,(($F29/'Task 2 - Asset lvl analysis'!$C$8)*'Task 2 - Asset lvl analysis'!$K$8),$E29='Task 2 - Asset lvl analysis'!$B$9,(($F29/'Task 2 - Asset lvl analysis'!$C$9)*'Task 2 - Asset lvl analysis'!$K$9),$E29='Task 2 - Asset lvl analysis'!$B$10,(($F29/'Task 2 - Asset lvl analysis'!$C$10)*'Task 2 - Asset lvl analysis'!$K$10))</f>
        <v>0</v>
      </c>
      <c r="O29" s="125" cm="1">
        <f t="array" ref="O29">_xlfn.IFS($E29='Task 2 - Asset lvl analysis'!$B$8,(($F29/'Task 2 - Asset lvl analysis'!$C$8)*'Task 2 - Asset lvl analysis'!$L$8),$E29='Task 2 - Asset lvl analysis'!$B$9,(($F29/'Task 2 - Asset lvl analysis'!$C$9)*'Task 2 - Asset lvl analysis'!$L$9),$E29='Task 2 - Asset lvl analysis'!$B$10,(($F29/'Task 2 - Asset lvl analysis'!$C$10)*'Task 2 - Asset lvl analysis'!$L$10))</f>
        <v>0</v>
      </c>
      <c r="P29" s="125" cm="1">
        <f t="array" ref="P29">_xlfn.IFS($E29='Task 2 - Asset lvl analysis'!$B$8,(($F29/'Task 2 - Asset lvl analysis'!$C$8)*'Task 2 - Asset lvl analysis'!$M$8),$E29='Task 2 - Asset lvl analysis'!$B$9,(($F29/'Task 2 - Asset lvl analysis'!$C$9)*'Task 2 - Asset lvl analysis'!$M$9),$E29='Task 2 - Asset lvl analysis'!$B$10,(($F29/'Task 2 - Asset lvl analysis'!$C$10)*'Task 2 - Asset lvl analysis'!$M$10))</f>
        <v>0</v>
      </c>
      <c r="Q29" s="125" cm="1">
        <f t="array" ref="Q29">_xlfn.IFS($E29='Task 2 - Asset lvl analysis'!$B$8,(($F29/'Task 2 - Asset lvl analysis'!$C$8)*'Task 2 - Asset lvl analysis'!$N$8),$E29='Task 2 - Asset lvl analysis'!$B$9,(($F29/'Task 2 - Asset lvl analysis'!$C$9)*'Task 2 - Asset lvl analysis'!$N$9),$E29='Task 2 - Asset lvl analysis'!$B$10,(($F29/'Task 2 - Asset lvl analysis'!$C$10)*'Task 2 - Asset lvl analysis'!$N$10))</f>
        <v>0</v>
      </c>
      <c r="R29" s="125" cm="1">
        <f t="array" ref="R29">_xlfn.IFS($E29='Task 2 - Asset lvl analysis'!$B$8,(($F29/'Task 2 - Asset lvl analysis'!$C$8)*'Task 2 - Asset lvl analysis'!$O$8),$E29='Task 2 - Asset lvl analysis'!$B$9,(($F29/'Task 2 - Asset lvl analysis'!$C$9)*'Task 2 - Asset lvl analysis'!$O$9),$E29='Task 2 - Asset lvl analysis'!$B$10,(($F29/'Task 2 - Asset lvl analysis'!$C$10)*'Task 2 - Asset lvl analysis'!$O$10))</f>
        <v>182.6239654755932</v>
      </c>
      <c r="S29" s="125" cm="1">
        <f t="array" ref="S29">_xlfn.IFS($E29='Task 2 - Asset lvl analysis'!$B$8,(($F29/'Task 2 - Asset lvl analysis'!$C$8)*'Task 2 - Asset lvl analysis'!$P$8),$E29='Task 2 - Asset lvl analysis'!$B$9,(($F29/'Task 2 - Asset lvl analysis'!$C$9)*'Task 2 - Asset lvl analysis'!$P$9),$E29='Task 2 - Asset lvl analysis'!$B$10,(($F29/'Task 2 - Asset lvl analysis'!$C$10)*'Task 2 - Asset lvl analysis'!$P$10))</f>
        <v>0</v>
      </c>
      <c r="T29" s="125" cm="1">
        <f t="array" ref="T29">_xlfn.IFS($E29='Task 2 - Asset lvl analysis'!$B$8,(($F29/'Task 2 - Asset lvl analysis'!$C$8)*'Task 2 - Asset lvl analysis'!$Q$8),$E29='Task 2 - Asset lvl analysis'!$B$9,(($F29/'Task 2 - Asset lvl analysis'!$C$9)*'Task 2 - Asset lvl analysis'!$Q$9),$E29='Task 2 - Asset lvl analysis'!$B$10,(($F29/'Task 2 - Asset lvl analysis'!$C$10)*'Task 2 - Asset lvl analysis'!$Q$10))</f>
        <v>0</v>
      </c>
      <c r="U29" s="125" cm="1">
        <f t="array" ref="U29">_xlfn.IFS($E29='Task 2 - Asset lvl analysis'!$B$8,(($F29/'Task 2 - Asset lvl analysis'!$C$8)*'Task 2 - Asset lvl analysis'!$R$8),$E29='Task 2 - Asset lvl analysis'!$B$9,(($F29/'Task 2 - Asset lvl analysis'!$C$9)*'Task 2 - Asset lvl analysis'!$R$9),$E29='Task 2 - Asset lvl analysis'!$B$10,(($F29/'Task 2 - Asset lvl analysis'!$C$10)*'Task 2 - Asset lvl analysis'!$R$10))</f>
        <v>0</v>
      </c>
      <c r="V29" s="125" cm="1">
        <f t="array" ref="V29">_xlfn.IFS($E29='Task 2 - Asset lvl analysis'!$B$8,(($F29/'Task 2 - Asset lvl analysis'!$C$8)*'Task 2 - Asset lvl analysis'!$S$8),$E29='Task 2 - Asset lvl analysis'!$B$9,(($F29/'Task 2 - Asset lvl analysis'!$C$9)*'Task 2 - Asset lvl analysis'!$S$9),$E29='Task 2 - Asset lvl analysis'!$B$10,(($F29/'Task 2 - Asset lvl analysis'!$C$10)*'Task 2 - Asset lvl analysis'!$S$10))</f>
        <v>1.27910947642774</v>
      </c>
      <c r="W29" s="125" cm="1">
        <f t="array" ref="W29">_xlfn.IFS($E29='Task 2 - Asset lvl analysis'!$B$8,(($F29/'Task 2 - Asset lvl analysis'!$C$8)*'Task 2 - Asset lvl analysis'!$T$8),$E29='Task 2 - Asset lvl analysis'!$B$9,(($F29/'Task 2 - Asset lvl analysis'!$C$9)*'Task 2 - Asset lvl analysis'!$T$9),$E29='Task 2 - Asset lvl analysis'!$B$10,(($F29/'Task 2 - Asset lvl analysis'!$C$10)*'Task 2 - Asset lvl analysis'!$T$10))</f>
        <v>0</v>
      </c>
      <c r="X29" s="219">
        <f t="shared" si="0"/>
        <v>202.16013641392993</v>
      </c>
    </row>
    <row r="30" spans="1:24" ht="28" x14ac:dyDescent="0.35">
      <c r="A30" s="18"/>
      <c r="B30" s="218" t="s">
        <v>128</v>
      </c>
      <c r="C30" s="213" t="s">
        <v>110</v>
      </c>
      <c r="D30" s="119" t="s">
        <v>278</v>
      </c>
      <c r="E30" s="124" t="s">
        <v>14</v>
      </c>
      <c r="F30" s="552">
        <f>_xlfn.XLOOKUP(B30,'Structure dimensions'!$C$6:$C$49,'Structure dimensions'!$L$6:$L$49)</f>
        <v>118.86000000000001</v>
      </c>
      <c r="G30" s="127" cm="1">
        <f t="array" ref="G30">_xlfn.IFS(E30='Task 2 - Asset lvl analysis'!$B$8,((F30/'Task 2 - Asset lvl analysis'!$C$8)*'Task 2 - Asset lvl analysis'!$D$8),E30='Task 2 - Asset lvl analysis'!$B$9,((F30/'Task 2 - Asset lvl analysis'!$C$9)*'Task 2 - Asset lvl analysis'!$D$9),E30='Task 2 - Asset lvl analysis'!$B$10,((F30/'Task 2 - Asset lvl analysis'!$C$10)*'Task 2 - Asset lvl analysis'!$D$10))</f>
        <v>0.34584811950144806</v>
      </c>
      <c r="H30" s="125" cm="1">
        <f t="array" ref="H30">_xlfn.IFS(E30='Task 2 - Asset lvl analysis'!$B$8,((F30/'Task 2 - Asset lvl analysis'!$C$8)*'Task 2 - Asset lvl analysis'!$E$8),E30='Task 2 - Asset lvl analysis'!$B$9,((F30/'Task 2 - Asset lvl analysis'!$C$9)*'Task 2 - Asset lvl analysis'!$E$9),E30='Task 2 - Asset lvl analysis'!$B$10,((F30/'Task 2 - Asset lvl analysis'!$C$10)*'Task 2 - Asset lvl analysis'!$E$10))</f>
        <v>0</v>
      </c>
      <c r="I30" s="125" cm="1">
        <f t="array" ref="I30">_xlfn.IFS(E30='Task 2 - Asset lvl analysis'!$B$8,((F30/'Task 2 - Asset lvl analysis'!$C$8)*'Task 2 - Asset lvl analysis'!$F$8),E30='Task 2 - Asset lvl analysis'!$B$9,((F30/'Task 2 - Asset lvl analysis'!$C$9)*'Task 2 - Asset lvl analysis'!$F$9),E30='Task 2 - Asset lvl analysis'!$B$10,((F30/'Task 2 - Asset lvl analysis'!$C$10)*'Task 2 - Asset lvl analysis'!$F$10))</f>
        <v>7.5763280361776379</v>
      </c>
      <c r="J30" s="125" cm="1">
        <f t="array" ref="J30">_xlfn.IFS(E30='Task 2 - Asset lvl analysis'!$B$8,((F30/'Task 2 - Asset lvl analysis'!$C$8)*'Task 2 - Asset lvl analysis'!$G$8),E30='Task 2 - Asset lvl analysis'!$B$9,((F30/'Task 2 - Asset lvl analysis'!$C$9)*'Task 2 - Asset lvl analysis'!$G$9),E30='Task 2 - Asset lvl analysis'!$B$10,((F30/'Task 2 - Asset lvl analysis'!$C$10)*'Task 2 - Asset lvl analysis'!$G$10))</f>
        <v>10.546255134465623</v>
      </c>
      <c r="K30" s="125" cm="1">
        <f t="array" ref="K30">_xlfn.IFS($E30='Task 2 - Asset lvl analysis'!$B$8,(($F30/'Task 2 - Asset lvl analysis'!$C$8)*'Task 2 - Asset lvl analysis'!$H$8),$E30='Task 2 - Asset lvl analysis'!$B$9,((F30/'Task 2 - Asset lvl analysis'!$C$9)*'Task 2 - Asset lvl analysis'!$H$9),$E30='Task 2 - Asset lvl analysis'!$B$10,(($F30/'Task 2 - Asset lvl analysis'!$C$10)*'Task 2 - Asset lvl analysis'!$H$10))</f>
        <v>0</v>
      </c>
      <c r="L30" s="125" cm="1">
        <f t="array" ref="L30">_xlfn.IFS($E30='Task 2 - Asset lvl analysis'!$B$8,(($F30/'Task 2 - Asset lvl analysis'!$C$8)*'Task 2 - Asset lvl analysis'!$I$8),$E30='Task 2 - Asset lvl analysis'!$B$9,(($F30/'Task 2 - Asset lvl analysis'!$C$9)*'Task 2 - Asset lvl analysis'!$I$9),$E30='Task 2 - Asset lvl analysis'!$B$10,(($F30/'Task 2 - Asset lvl analysis'!$C$10)*'Task 2 - Asset lvl analysis'!$I$10))</f>
        <v>0.1558271593899081</v>
      </c>
      <c r="M30" s="125" cm="1">
        <f t="array" ref="M30">_xlfn.IFS($E30='Task 2 - Asset lvl analysis'!$B$8,(($F30/'Task 2 - Asset lvl analysis'!$C$8)*'Task 2 - Asset lvl analysis'!$J$8),$E30='Task 2 - Asset lvl analysis'!$B$9,(($F30/'Task 2 - Asset lvl analysis'!$C$9)*'Task 2 - Asset lvl analysis'!$J$9),$E30='Task 2 - Asset lvl analysis'!$B$10,(($F30/'Task 2 - Asset lvl analysis'!$C$10)*'Task 2 - Asset lvl analysis'!$J$10))</f>
        <v>0.37812622762701009</v>
      </c>
      <c r="N30" s="125" cm="1">
        <f t="array" ref="N30">_xlfn.IFS($E30='Task 2 - Asset lvl analysis'!$B$8,(($F30/'Task 2 - Asset lvl analysis'!$C$8)*'Task 2 - Asset lvl analysis'!$K$8),$E30='Task 2 - Asset lvl analysis'!$B$9,(($F30/'Task 2 - Asset lvl analysis'!$C$9)*'Task 2 - Asset lvl analysis'!$K$9),$E30='Task 2 - Asset lvl analysis'!$B$10,(($F30/'Task 2 - Asset lvl analysis'!$C$10)*'Task 2 - Asset lvl analysis'!$K$10))</f>
        <v>0</v>
      </c>
      <c r="O30" s="125" cm="1">
        <f t="array" ref="O30">_xlfn.IFS($E30='Task 2 - Asset lvl analysis'!$B$8,(($F30/'Task 2 - Asset lvl analysis'!$C$8)*'Task 2 - Asset lvl analysis'!$L$8),$E30='Task 2 - Asset lvl analysis'!$B$9,(($F30/'Task 2 - Asset lvl analysis'!$C$9)*'Task 2 - Asset lvl analysis'!$L$9),$E30='Task 2 - Asset lvl analysis'!$B$10,(($F30/'Task 2 - Asset lvl analysis'!$C$10)*'Task 2 - Asset lvl analysis'!$L$10))</f>
        <v>0</v>
      </c>
      <c r="P30" s="125" cm="1">
        <f t="array" ref="P30">_xlfn.IFS($E30='Task 2 - Asset lvl analysis'!$B$8,(($F30/'Task 2 - Asset lvl analysis'!$C$8)*'Task 2 - Asset lvl analysis'!$M$8),$E30='Task 2 - Asset lvl analysis'!$B$9,(($F30/'Task 2 - Asset lvl analysis'!$C$9)*'Task 2 - Asset lvl analysis'!$M$9),$E30='Task 2 - Asset lvl analysis'!$B$10,(($F30/'Task 2 - Asset lvl analysis'!$C$10)*'Task 2 - Asset lvl analysis'!$M$10))</f>
        <v>0</v>
      </c>
      <c r="Q30" s="125" cm="1">
        <f t="array" ref="Q30">_xlfn.IFS($E30='Task 2 - Asset lvl analysis'!$B$8,(($F30/'Task 2 - Asset lvl analysis'!$C$8)*'Task 2 - Asset lvl analysis'!$N$8),$E30='Task 2 - Asset lvl analysis'!$B$9,(($F30/'Task 2 - Asset lvl analysis'!$C$9)*'Task 2 - Asset lvl analysis'!$N$9),$E30='Task 2 - Asset lvl analysis'!$B$10,(($F30/'Task 2 - Asset lvl analysis'!$C$10)*'Task 2 - Asset lvl analysis'!$N$10))</f>
        <v>0</v>
      </c>
      <c r="R30" s="125" cm="1">
        <f t="array" ref="R30">_xlfn.IFS($E30='Task 2 - Asset lvl analysis'!$B$8,(($F30/'Task 2 - Asset lvl analysis'!$C$8)*'Task 2 - Asset lvl analysis'!$O$8),$E30='Task 2 - Asset lvl analysis'!$B$9,(($F30/'Task 2 - Asset lvl analysis'!$C$9)*'Task 2 - Asset lvl analysis'!$O$9),$E30='Task 2 - Asset lvl analysis'!$B$10,(($F30/'Task 2 - Asset lvl analysis'!$C$10)*'Task 2 - Asset lvl analysis'!$O$10))</f>
        <v>190.07937561453795</v>
      </c>
      <c r="S30" s="125" cm="1">
        <f t="array" ref="S30">_xlfn.IFS($E30='Task 2 - Asset lvl analysis'!$B$8,(($F30/'Task 2 - Asset lvl analysis'!$C$8)*'Task 2 - Asset lvl analysis'!$P$8),$E30='Task 2 - Asset lvl analysis'!$B$9,(($F30/'Task 2 - Asset lvl analysis'!$C$9)*'Task 2 - Asset lvl analysis'!$P$9),$E30='Task 2 - Asset lvl analysis'!$B$10,(($F30/'Task 2 - Asset lvl analysis'!$C$10)*'Task 2 - Asset lvl analysis'!$P$10))</f>
        <v>0</v>
      </c>
      <c r="T30" s="125" cm="1">
        <f t="array" ref="T30">_xlfn.IFS($E30='Task 2 - Asset lvl analysis'!$B$8,(($F30/'Task 2 - Asset lvl analysis'!$C$8)*'Task 2 - Asset lvl analysis'!$Q$8),$E30='Task 2 - Asset lvl analysis'!$B$9,(($F30/'Task 2 - Asset lvl analysis'!$C$9)*'Task 2 - Asset lvl analysis'!$Q$9),$E30='Task 2 - Asset lvl analysis'!$B$10,(($F30/'Task 2 - Asset lvl analysis'!$C$10)*'Task 2 - Asset lvl analysis'!$Q$10))</f>
        <v>0</v>
      </c>
      <c r="U30" s="125" cm="1">
        <f t="array" ref="U30">_xlfn.IFS($E30='Task 2 - Asset lvl analysis'!$B$8,(($F30/'Task 2 - Asset lvl analysis'!$C$8)*'Task 2 - Asset lvl analysis'!$R$8),$E30='Task 2 - Asset lvl analysis'!$B$9,(($F30/'Task 2 - Asset lvl analysis'!$C$9)*'Task 2 - Asset lvl analysis'!$R$9),$E30='Task 2 - Asset lvl analysis'!$B$10,(($F30/'Task 2 - Asset lvl analysis'!$C$10)*'Task 2 - Asset lvl analysis'!$R$10))</f>
        <v>0</v>
      </c>
      <c r="V30" s="125" cm="1">
        <f t="array" ref="V30">_xlfn.IFS($E30='Task 2 - Asset lvl analysis'!$B$8,(($F30/'Task 2 - Asset lvl analysis'!$C$8)*'Task 2 - Asset lvl analysis'!$S$8),$E30='Task 2 - Asset lvl analysis'!$B$9,(($F30/'Task 2 - Asset lvl analysis'!$C$9)*'Task 2 - Asset lvl analysis'!$S$9),$E30='Task 2 - Asset lvl analysis'!$B$10,(($F30/'Task 2 - Asset lvl analysis'!$C$10)*'Task 2 - Asset lvl analysis'!$S$10))</f>
        <v>1.3313276271756176</v>
      </c>
      <c r="W30" s="125" cm="1">
        <f t="array" ref="W30">_xlfn.IFS($E30='Task 2 - Asset lvl analysis'!$B$8,(($F30/'Task 2 - Asset lvl analysis'!$C$8)*'Task 2 - Asset lvl analysis'!$T$8),$E30='Task 2 - Asset lvl analysis'!$B$9,(($F30/'Task 2 - Asset lvl analysis'!$C$9)*'Task 2 - Asset lvl analysis'!$T$9),$E30='Task 2 - Asset lvl analysis'!$B$10,(($F30/'Task 2 - Asset lvl analysis'!$C$10)*'Task 2 - Asset lvl analysis'!$T$10))</f>
        <v>0</v>
      </c>
      <c r="X30" s="219">
        <f t="shared" si="0"/>
        <v>210.41308791887519</v>
      </c>
    </row>
    <row r="31" spans="1:24" ht="28" x14ac:dyDescent="0.35">
      <c r="A31" s="18"/>
      <c r="B31" s="221"/>
      <c r="C31" s="216" t="s">
        <v>164</v>
      </c>
      <c r="D31" s="122" t="s">
        <v>275</v>
      </c>
      <c r="E31" s="128" t="s">
        <v>14</v>
      </c>
      <c r="F31" s="552">
        <f>_xlfn.XLOOKUP(B31,'Structure dimensions'!$C$6:$C$49,'Structure dimensions'!$L$6:$L$49)</f>
        <v>0</v>
      </c>
      <c r="G31" s="123" t="s">
        <v>275</v>
      </c>
      <c r="H31" s="123" t="s">
        <v>275</v>
      </c>
      <c r="I31" s="123" t="s">
        <v>275</v>
      </c>
      <c r="J31" s="123" t="s">
        <v>275</v>
      </c>
      <c r="K31" s="123" t="s">
        <v>275</v>
      </c>
      <c r="L31" s="123" t="s">
        <v>275</v>
      </c>
      <c r="M31" s="123" t="s">
        <v>275</v>
      </c>
      <c r="N31" s="123" t="s">
        <v>275</v>
      </c>
      <c r="O31" s="123" t="s">
        <v>275</v>
      </c>
      <c r="P31" s="123" t="s">
        <v>275</v>
      </c>
      <c r="Q31" s="123" t="s">
        <v>275</v>
      </c>
      <c r="R31" s="123" t="s">
        <v>275</v>
      </c>
      <c r="S31" s="123" t="s">
        <v>275</v>
      </c>
      <c r="T31" s="123" t="s">
        <v>275</v>
      </c>
      <c r="U31" s="123" t="s">
        <v>275</v>
      </c>
      <c r="V31" s="123" t="s">
        <v>275</v>
      </c>
      <c r="W31" s="123" t="s">
        <v>275</v>
      </c>
      <c r="X31" s="219">
        <f t="shared" si="0"/>
        <v>0</v>
      </c>
    </row>
    <row r="32" spans="1:24" ht="28" x14ac:dyDescent="0.35">
      <c r="A32" s="214"/>
      <c r="B32" s="220" t="s">
        <v>286</v>
      </c>
      <c r="C32" s="215" t="s">
        <v>43</v>
      </c>
      <c r="D32" s="126" t="s">
        <v>277</v>
      </c>
      <c r="E32" s="124" t="s">
        <v>14</v>
      </c>
      <c r="F32" s="552">
        <f>_xlfn.XLOOKUP(B32,'Structure dimensions'!$C$6:$C$49,'Structure dimensions'!$L$6:$L$49)</f>
        <v>120.624</v>
      </c>
      <c r="G32" s="120">
        <f>SUMIF(AUB!$C$129:$C$144,'Task 2 - Asset lvl analysis'!G14,AUB!$I$129:$I$144)</f>
        <v>0.48499999999999999</v>
      </c>
      <c r="H32" s="120">
        <f>SUMIF(AUB!$C$129:$C$144,'Task 2 - Asset lvl analysis'!H14,AUB!$I$129:$I$144)</f>
        <v>0</v>
      </c>
      <c r="I32" s="120">
        <f>SUMIF(AUB!$C$129:$C$144,'Task 2 - Asset lvl analysis'!I14,AUB!$I$129:$I$144)</f>
        <v>8.3285999999999998</v>
      </c>
      <c r="J32" s="120">
        <f>SUMIF(AUB!$C$129:$C$144,'Task 2 - Asset lvl analysis'!J14,AUB!$I$129:$I$144)</f>
        <v>9.9422999999999995</v>
      </c>
      <c r="K32" s="120">
        <f>SUMIF(AUB!$C$129:$C$144,'Task 2 - Asset lvl analysis'!K14,AUB!$I$129:$I$144)</f>
        <v>0</v>
      </c>
      <c r="L32" s="120">
        <f>SUMIF(AUB!$C$129:$C$144,'Task 2 - Asset lvl analysis'!L14,AUB!$I$129:$I$144)</f>
        <v>0.1072</v>
      </c>
      <c r="M32" s="120">
        <f>SUMIF(AUB!$C$129:$C$144,'Task 2 - Asset lvl analysis'!M14,AUB!$I$129:$I$144)</f>
        <v>0.30059999999999998</v>
      </c>
      <c r="N32" s="120">
        <f>SUMIF(AUB!$C$129:$C$144,'Task 2 - Asset lvl analysis'!N14,AUB!$I$129:$I$144)</f>
        <v>0</v>
      </c>
      <c r="O32" s="120">
        <f>SUMIF(AUB!$C$129:$C$144,'Task 2 - Asset lvl analysis'!O14,AUB!$I$129:$I$144)</f>
        <v>0</v>
      </c>
      <c r="P32" s="120">
        <f>SUMIF(AUB!$C$129:$C$144,'Task 2 - Asset lvl analysis'!P14,AUB!$I$129:$I$144)</f>
        <v>0</v>
      </c>
      <c r="Q32" s="120">
        <f>SUMIF(AUB!$C$129:$C$144,'Task 2 - Asset lvl analysis'!Q14,AUB!$I$129:$I$144)</f>
        <v>0</v>
      </c>
      <c r="R32" s="120">
        <f>SUMIF(AUB!$C$129:$C$144,'Task 2 - Asset lvl analysis'!R14,AUB!$I$129:$I$144)</f>
        <v>102.3107</v>
      </c>
      <c r="S32" s="120">
        <f>SUMIF(AUB!$C$129:$C$144,'Task 2 - Asset lvl analysis'!S14,AUB!$I$129:$I$144)</f>
        <v>0</v>
      </c>
      <c r="T32" s="120">
        <f>SUMIF(AUB!$C$129:$C$144,'Task 2 - Asset lvl analysis'!T14,AUB!$I$129:$I$144)</f>
        <v>0</v>
      </c>
      <c r="U32" s="120">
        <f>SUMIF(AUB!$C$129:$C$144,'Task 2 - Asset lvl analysis'!U14,AUB!$I$129:$I$144)</f>
        <v>0</v>
      </c>
      <c r="V32" s="120">
        <f>SUMIF(AUB!$C$129:$C$144,'Task 2 - Asset lvl analysis'!V14,AUB!$I$129:$I$144)</f>
        <v>0.52810000000000001</v>
      </c>
      <c r="W32" s="120">
        <f>SUMIF(AUB!$C$129:$C$144,'Task 2 - Asset lvl analysis'!W14,AUB!$I$129:$I$144)</f>
        <v>0</v>
      </c>
      <c r="X32" s="219">
        <f t="shared" si="0"/>
        <v>122.00249999999998</v>
      </c>
    </row>
    <row r="33" spans="1:24" ht="28" x14ac:dyDescent="0.35">
      <c r="A33" s="18"/>
      <c r="B33" s="218" t="s">
        <v>287</v>
      </c>
      <c r="C33" s="213" t="s">
        <v>45</v>
      </c>
      <c r="D33" s="119" t="s">
        <v>277</v>
      </c>
      <c r="E33" s="124" t="s">
        <v>16</v>
      </c>
      <c r="F33" s="552">
        <f>_xlfn.XLOOKUP(B33,'Structure dimensions'!$C$6:$C$49,'Structure dimensions'!$L$6:$L$49)</f>
        <v>183.47499999999999</v>
      </c>
      <c r="G33" s="120">
        <f>SUMIF(CAUB!$C$81:$C$101,'Task 2 - Asset lvl analysis'!G14,CAUB!$I$81:$I$101)</f>
        <v>0</v>
      </c>
      <c r="H33" s="120">
        <f>SUMIF(CAUB!$C$81:$C$101,'Task 2 - Asset lvl analysis'!H14,CAUB!$I$81:$I$101)</f>
        <v>1.8455999999999999</v>
      </c>
      <c r="I33" s="120">
        <f>SUMIF(CAUB!$C$81:$C$101,'Task 2 - Asset lvl analysis'!I14,CAUB!$I$81:$I$101)</f>
        <v>15.044499999999999</v>
      </c>
      <c r="J33" s="120">
        <f>SUMIF(CAUB!$C$81:$C$101,'Task 2 - Asset lvl analysis'!J14,CAUB!$I$81:$I$101)</f>
        <v>9.8040000000000003</v>
      </c>
      <c r="K33" s="120">
        <f>SUMIF(CAUB!$C$81:$C$101,'Task 2 - Asset lvl analysis'!K14,CAUB!$I$81:$I$101)</f>
        <v>0</v>
      </c>
      <c r="L33" s="120">
        <f>SUMIF(CAUB!$C$81:$C$101,'Task 2 - Asset lvl analysis'!L14,CAUB!$I$81:$I$101)</f>
        <v>4.1700000000000001E-2</v>
      </c>
      <c r="M33" s="120">
        <f>SUMIF(CAUB!$C$81:$C$101,'Task 2 - Asset lvl analysis'!M14,CAUB!$I$81:$I$101)</f>
        <v>0.38180000000000003</v>
      </c>
      <c r="N33" s="120">
        <f>SUMIF(CAUB!$C$81:$C$101,'Task 2 - Asset lvl analysis'!N14,CAUB!$I$81:$I$101)</f>
        <v>0</v>
      </c>
      <c r="O33" s="120">
        <f>SUMIF(CAUB!$C$81:$C$101,'Task 2 - Asset lvl analysis'!O14,CAUB!$I$81:$I$101)</f>
        <v>0</v>
      </c>
      <c r="P33" s="120">
        <f>SUMIF(CAUB!$C$81:$C$101,'Task 2 - Asset lvl analysis'!P14,CAUB!$I$81:$I$101)</f>
        <v>2.5884999999999998</v>
      </c>
      <c r="Q33" s="120">
        <f>SUMIF(CAUB!$C$81:$C$101,'Task 2 - Asset lvl analysis'!Q14,CAUB!$I$81:$I$101)</f>
        <v>0</v>
      </c>
      <c r="R33" s="120">
        <f>SUMIF(CAUB!$C$81:$C$101,'Task 2 - Asset lvl analysis'!R14,CAUB!$I$81:$I$101)</f>
        <v>417.98900000000003</v>
      </c>
      <c r="S33" s="120">
        <f>SUMIF(CAUB!$C$81:$C$101,'Task 2 - Asset lvl analysis'!S14,CAUB!$I$81:$I$101)</f>
        <v>0</v>
      </c>
      <c r="T33" s="120">
        <f>SUMIF(CAUB!$C$81:$C$101,'Task 2 - Asset lvl analysis'!T14,CAUB!$I$81:$I$101)</f>
        <v>0</v>
      </c>
      <c r="U33" s="120">
        <f>SUMIF(CAUB!$C$81:$C$101,'Task 2 - Asset lvl analysis'!U14,CAUB!$I$81:$I$101)</f>
        <v>0</v>
      </c>
      <c r="V33" s="120">
        <f>SUMIF(CAUB!$C$81:$C$101,'Task 2 - Asset lvl analysis'!V14,CAUB!$I$81:$I$101)</f>
        <v>0.9749000000000001</v>
      </c>
      <c r="W33" s="120">
        <f>SUMIF(CAUB!$C$81:$C$101,'Task 2 - Asset lvl analysis'!W14,CAUB!$I$81:$I$101)</f>
        <v>0</v>
      </c>
      <c r="X33" s="219">
        <f t="shared" si="0"/>
        <v>448.67</v>
      </c>
    </row>
    <row r="34" spans="1:24" ht="28" x14ac:dyDescent="0.35">
      <c r="A34" s="18"/>
      <c r="B34" s="218" t="s">
        <v>302</v>
      </c>
      <c r="C34" s="213" t="s">
        <v>46</v>
      </c>
      <c r="D34" s="119" t="s">
        <v>277</v>
      </c>
      <c r="E34" s="124" t="s">
        <v>16</v>
      </c>
      <c r="F34" s="552">
        <f>_xlfn.XLOOKUP(B34,'Structure dimensions'!$C$6:$C$49,'Structure dimensions'!$L$6:$L$49)</f>
        <v>231.65</v>
      </c>
      <c r="G34" s="120">
        <f>SUMIF(CAUB!$C$103:$C$123,'Task 2 - Asset lvl analysis'!G14,CAUB!$I$103:$I$123)</f>
        <v>0</v>
      </c>
      <c r="H34" s="120">
        <f>SUMIF(CAUB!$C$103:$C$123,'Task 2 - Asset lvl analysis'!H14,CAUB!$I$103:$I$123)</f>
        <v>2.6454</v>
      </c>
      <c r="I34" s="120">
        <f>SUMIF(CAUB!$C$103:$C$123,'Task 2 - Asset lvl analysis'!I14,CAUB!$I$103:$I$123)</f>
        <v>15.5974</v>
      </c>
      <c r="J34" s="120">
        <f>SUMIF(CAUB!$C$103:$C$123,'Task 2 - Asset lvl analysis'!J14,CAUB!$I$103:$I$123)</f>
        <v>11.305</v>
      </c>
      <c r="K34" s="120">
        <f>SUMIF(CAUB!$C$103:$C$123,'Task 2 - Asset lvl analysis'!K14,CAUB!$I$103:$I$123)</f>
        <v>0</v>
      </c>
      <c r="L34" s="120">
        <f>SUMIF(CAUB!$C$103:$C$123,'Task 2 - Asset lvl analysis'!L14,CAUB!$I$103:$I$123)</f>
        <v>0.32079999999999997</v>
      </c>
      <c r="M34" s="120">
        <f>SUMIF(CAUB!$C$103:$C$123,'Task 2 - Asset lvl analysis'!M14,CAUB!$I$103:$I$123)</f>
        <v>0.74390000000000001</v>
      </c>
      <c r="N34" s="120">
        <f>SUMIF(CAUB!$C$103:$C$123,'Task 2 - Asset lvl analysis'!N14,CAUB!$I$103:$I$123)</f>
        <v>0</v>
      </c>
      <c r="O34" s="120">
        <f>SUMIF(CAUB!$C$103:$C$123,'Task 2 - Asset lvl analysis'!O14,CAUB!$I$103:$I$123)</f>
        <v>0</v>
      </c>
      <c r="P34" s="120">
        <f>SUMIF(CAUB!$C$103:$C$123,'Task 2 - Asset lvl analysis'!P14,CAUB!$I$103:$I$123)</f>
        <v>3.2357</v>
      </c>
      <c r="Q34" s="120">
        <f>SUMIF(CAUB!$C$103:$C$123,'Task 2 - Asset lvl analysis'!Q14,CAUB!$I$103:$I$123)</f>
        <v>0</v>
      </c>
      <c r="R34" s="120">
        <f>SUMIF(CAUB!$C$103:$C$123,'Task 2 - Asset lvl analysis'!R14,CAUB!$I$103:$I$123)</f>
        <v>700.94060000000002</v>
      </c>
      <c r="S34" s="120">
        <f>SUMIF(CAUB!$C$103:$C$123,'Task 2 - Asset lvl analysis'!S14,CAUB!$I$103:$I$123)</f>
        <v>0</v>
      </c>
      <c r="T34" s="120">
        <f>SUMIF(CAUB!$C$103:$C$123,'Task 2 - Asset lvl analysis'!T14,CAUB!$I$103:$I$123)</f>
        <v>0</v>
      </c>
      <c r="U34" s="120">
        <f>SUMIF(CAUB!$C$103:$C$123,'Task 2 - Asset lvl analysis'!U14,CAUB!$I$103:$I$123)</f>
        <v>0</v>
      </c>
      <c r="V34" s="120">
        <f>SUMIF(CAUB!$C$103:$C$123,'Task 2 - Asset lvl analysis'!V14,CAUB!$I$103:$I$123)</f>
        <v>0.53469999999999995</v>
      </c>
      <c r="W34" s="120">
        <f>SUMIF(CAUB!$C$103:$C$123,'Task 2 - Asset lvl analysis'!W14,CAUB!$I$103:$I$123)</f>
        <v>0</v>
      </c>
      <c r="X34" s="219">
        <f t="shared" si="0"/>
        <v>735.32350000000008</v>
      </c>
    </row>
    <row r="35" spans="1:24" ht="32.5" customHeight="1" x14ac:dyDescent="0.35">
      <c r="A35" s="18"/>
      <c r="B35" s="218" t="s">
        <v>129</v>
      </c>
      <c r="C35" s="213" t="s">
        <v>111</v>
      </c>
      <c r="D35" s="119" t="s">
        <v>278</v>
      </c>
      <c r="E35" s="124" t="s">
        <v>20</v>
      </c>
      <c r="F35" s="552">
        <f>_xlfn.XLOOKUP(B35,'Structure dimensions'!$C$6:$C$49,'Structure dimensions'!$L$6:$L$49)</f>
        <v>295.2</v>
      </c>
      <c r="G35" s="127" cm="1">
        <f t="array" ref="G35">_xlfn.IFS(E35='Task 2 - Asset lvl analysis'!$B$8,((F35/'Task 2 - Asset lvl analysis'!$C$8)*'Task 2 - Asset lvl analysis'!$D$8),E35='Task 2 - Asset lvl analysis'!$B$9,((F35/'Task 2 - Asset lvl analysis'!$C$9)*'Task 2 - Asset lvl analysis'!$D$9),E35='Task 2 - Asset lvl analysis'!$B$10,((F35/'Task 2 - Asset lvl analysis'!$C$10)*'Task 2 - Asset lvl analysis'!$D$10))</f>
        <v>0</v>
      </c>
      <c r="H35" s="125" cm="1">
        <f t="array" ref="H35">_xlfn.IFS(E35='Task 2 - Asset lvl analysis'!$B$8,((F35/'Task 2 - Asset lvl analysis'!$C$8)*'Task 2 - Asset lvl analysis'!$E$8),E35='Task 2 - Asset lvl analysis'!$B$9,((F35/'Task 2 - Asset lvl analysis'!$C$9)*'Task 2 - Asset lvl analysis'!$E$9),E35='Task 2 - Asset lvl analysis'!$B$10,((F35/'Task 2 - Asset lvl analysis'!$C$10)*'Task 2 - Asset lvl analysis'!$E$10))</f>
        <v>3.5381414634146346</v>
      </c>
      <c r="I35" s="125" cm="1">
        <f t="array" ref="I35">_xlfn.IFS(E35='Task 2 - Asset lvl analysis'!$B$8,((F35/'Task 2 - Asset lvl analysis'!$C$8)*'Task 2 - Asset lvl analysis'!$F$8),E35='Task 2 - Asset lvl analysis'!$B$9,((F35/'Task 2 - Asset lvl analysis'!$C$9)*'Task 2 - Asset lvl analysis'!$F$9),E35='Task 2 - Asset lvl analysis'!$B$10,((F35/'Task 2 - Asset lvl analysis'!$C$10)*'Task 2 - Asset lvl analysis'!$F$10))</f>
        <v>16.034663414634146</v>
      </c>
      <c r="J35" s="125" cm="1">
        <f t="array" ref="J35">_xlfn.IFS(E35='Task 2 - Asset lvl analysis'!$B$8,((F35/'Task 2 - Asset lvl analysis'!$C$8)*'Task 2 - Asset lvl analysis'!$G$8),E35='Task 2 - Asset lvl analysis'!$B$9,((F35/'Task 2 - Asset lvl analysis'!$C$9)*'Task 2 - Asset lvl analysis'!$G$9),E35='Task 2 - Asset lvl analysis'!$B$10,((F35/'Task 2 - Asset lvl analysis'!$C$10)*'Task 2 - Asset lvl analysis'!$G$10))</f>
        <v>15.990804878048779</v>
      </c>
      <c r="K35" s="125" cm="1">
        <f t="array" ref="K35">_xlfn.IFS($E35='Task 2 - Asset lvl analysis'!$B$8,(($F35/'Task 2 - Asset lvl analysis'!$C$8)*'Task 2 - Asset lvl analysis'!$H$8),$E35='Task 2 - Asset lvl analysis'!$B$9,((F35/'Task 2 - Asset lvl analysis'!$C$9)*'Task 2 - Asset lvl analysis'!$H$9),$E35='Task 2 - Asset lvl analysis'!$B$10,(($F35/'Task 2 - Asset lvl analysis'!$C$10)*'Task 2 - Asset lvl analysis'!$H$10))</f>
        <v>0</v>
      </c>
      <c r="L35" s="125" cm="1">
        <f t="array" ref="L35">_xlfn.IFS($E35='Task 2 - Asset lvl analysis'!$B$8,(($F35/'Task 2 - Asset lvl analysis'!$C$8)*'Task 2 - Asset lvl analysis'!$I$8),$E35='Task 2 - Asset lvl analysis'!$B$9,(($F35/'Task 2 - Asset lvl analysis'!$C$9)*'Task 2 - Asset lvl analysis'!$I$9),$E35='Task 2 - Asset lvl analysis'!$B$10,(($F35/'Task 2 - Asset lvl analysis'!$C$10)*'Task 2 - Asset lvl analysis'!$I$10))</f>
        <v>0.16072682926829268</v>
      </c>
      <c r="M35" s="125" cm="1">
        <f t="array" ref="M35">_xlfn.IFS($E35='Task 2 - Asset lvl analysis'!$B$8,(($F35/'Task 2 - Asset lvl analysis'!$C$8)*'Task 2 - Asset lvl analysis'!$J$8),$E35='Task 2 - Asset lvl analysis'!$B$9,(($F35/'Task 2 - Asset lvl analysis'!$C$9)*'Task 2 - Asset lvl analysis'!$J$9),$E35='Task 2 - Asset lvl analysis'!$B$10,(($F35/'Task 2 - Asset lvl analysis'!$C$10)*'Task 2 - Asset lvl analysis'!$J$10))</f>
        <v>0.68738048780487804</v>
      </c>
      <c r="N35" s="125" cm="1">
        <f t="array" ref="N35">_xlfn.IFS($E35='Task 2 - Asset lvl analysis'!$B$8,(($F35/'Task 2 - Asset lvl analysis'!$C$8)*'Task 2 - Asset lvl analysis'!$K$8),$E35='Task 2 - Asset lvl analysis'!$B$9,(($F35/'Task 2 - Asset lvl analysis'!$C$9)*'Task 2 - Asset lvl analysis'!$K$9),$E35='Task 2 - Asset lvl analysis'!$B$10,(($F35/'Task 2 - Asset lvl analysis'!$C$10)*'Task 2 - Asset lvl analysis'!$K$10))</f>
        <v>0</v>
      </c>
      <c r="O35" s="125" cm="1">
        <f t="array" ref="O35">_xlfn.IFS($E35='Task 2 - Asset lvl analysis'!$B$8,(($F35/'Task 2 - Asset lvl analysis'!$C$8)*'Task 2 - Asset lvl analysis'!$L$8),$E35='Task 2 - Asset lvl analysis'!$B$9,(($F35/'Task 2 - Asset lvl analysis'!$C$9)*'Task 2 - Asset lvl analysis'!$L$9),$E35='Task 2 - Asset lvl analysis'!$B$10,(($F35/'Task 2 - Asset lvl analysis'!$C$10)*'Task 2 - Asset lvl analysis'!$L$10))</f>
        <v>0</v>
      </c>
      <c r="P35" s="125" cm="1">
        <f t="array" ref="P35">_xlfn.IFS($E35='Task 2 - Asset lvl analysis'!$B$8,(($F35/'Task 2 - Asset lvl analysis'!$C$8)*'Task 2 - Asset lvl analysis'!$M$8),$E35='Task 2 - Asset lvl analysis'!$B$9,(($F35/'Task 2 - Asset lvl analysis'!$C$9)*'Task 2 - Asset lvl analysis'!$M$9),$E35='Task 2 - Asset lvl analysis'!$B$10,(($F35/'Task 2 - Asset lvl analysis'!$C$10)*'Task 2 - Asset lvl analysis'!$M$10))</f>
        <v>3.0588146341463416</v>
      </c>
      <c r="Q35" s="125" cm="1">
        <f t="array" ref="Q35">_xlfn.IFS($E35='Task 2 - Asset lvl analysis'!$B$8,(($F35/'Task 2 - Asset lvl analysis'!$C$8)*'Task 2 - Asset lvl analysis'!$N$8),$E35='Task 2 - Asset lvl analysis'!$B$9,(($F35/'Task 2 - Asset lvl analysis'!$C$9)*'Task 2 - Asset lvl analysis'!$N$9),$E35='Task 2 - Asset lvl analysis'!$B$10,(($F35/'Task 2 - Asset lvl analysis'!$C$10)*'Task 2 - Asset lvl analysis'!$N$10))</f>
        <v>0</v>
      </c>
      <c r="R35" s="125" cm="1">
        <f t="array" ref="R35">_xlfn.IFS($E35='Task 2 - Asset lvl analysis'!$B$8,(($F35/'Task 2 - Asset lvl analysis'!$C$8)*'Task 2 - Asset lvl analysis'!$O$8),$E35='Task 2 - Asset lvl analysis'!$B$9,(($F35/'Task 2 - Asset lvl analysis'!$C$9)*'Task 2 - Asset lvl analysis'!$O$9),$E35='Task 2 - Asset lvl analysis'!$B$10,(($F35/'Task 2 - Asset lvl analysis'!$C$10)*'Task 2 - Asset lvl analysis'!$O$10))</f>
        <v>2082.1306390243903</v>
      </c>
      <c r="S35" s="125" cm="1">
        <f t="array" ref="S35">_xlfn.IFS($E35='Task 2 - Asset lvl analysis'!$B$8,(($F35/'Task 2 - Asset lvl analysis'!$C$8)*'Task 2 - Asset lvl analysis'!$P$8),$E35='Task 2 - Asset lvl analysis'!$B$9,(($F35/'Task 2 - Asset lvl analysis'!$C$9)*'Task 2 - Asset lvl analysis'!$P$9),$E35='Task 2 - Asset lvl analysis'!$B$10,(($F35/'Task 2 - Asset lvl analysis'!$C$10)*'Task 2 - Asset lvl analysis'!$P$10))</f>
        <v>0</v>
      </c>
      <c r="T35" s="125" cm="1">
        <f t="array" ref="T35">_xlfn.IFS($E35='Task 2 - Asset lvl analysis'!$B$8,(($F35/'Task 2 - Asset lvl analysis'!$C$8)*'Task 2 - Asset lvl analysis'!$Q$8),$E35='Task 2 - Asset lvl analysis'!$B$9,(($F35/'Task 2 - Asset lvl analysis'!$C$9)*'Task 2 - Asset lvl analysis'!$Q$9),$E35='Task 2 - Asset lvl analysis'!$B$10,(($F35/'Task 2 - Asset lvl analysis'!$C$10)*'Task 2 - Asset lvl analysis'!$Q$10))</f>
        <v>0</v>
      </c>
      <c r="U35" s="125" cm="1">
        <f t="array" ref="U35">_xlfn.IFS($E35='Task 2 - Asset lvl analysis'!$B$8,(($F35/'Task 2 - Asset lvl analysis'!$C$8)*'Task 2 - Asset lvl analysis'!$R$8),$E35='Task 2 - Asset lvl analysis'!$B$9,(($F35/'Task 2 - Asset lvl analysis'!$C$9)*'Task 2 - Asset lvl analysis'!$R$9),$E35='Task 2 - Asset lvl analysis'!$B$10,(($F35/'Task 2 - Asset lvl analysis'!$C$10)*'Task 2 - Asset lvl analysis'!$R$10))</f>
        <v>0</v>
      </c>
      <c r="V35" s="125" cm="1">
        <f t="array" ref="V35">_xlfn.IFS($E35='Task 2 - Asset lvl analysis'!$B$8,(($F35/'Task 2 - Asset lvl analysis'!$C$8)*'Task 2 - Asset lvl analysis'!$S$8),$E35='Task 2 - Asset lvl analysis'!$B$9,(($F35/'Task 2 - Asset lvl analysis'!$C$9)*'Task 2 - Asset lvl analysis'!$S$9),$E35='Task 2 - Asset lvl analysis'!$B$10,(($F35/'Task 2 - Asset lvl analysis'!$C$10)*'Task 2 - Asset lvl analysis'!$S$10))</f>
        <v>1.0106341463414634</v>
      </c>
      <c r="W35" s="125" cm="1">
        <f t="array" ref="W35">_xlfn.IFS($E35='Task 2 - Asset lvl analysis'!$B$8,(($F35/'Task 2 - Asset lvl analysis'!$C$8)*'Task 2 - Asset lvl analysis'!$T$8),$E35='Task 2 - Asset lvl analysis'!$B$9,(($F35/'Task 2 - Asset lvl analysis'!$C$9)*'Task 2 - Asset lvl analysis'!$T$9),$E35='Task 2 - Asset lvl analysis'!$B$10,(($F35/'Task 2 - Asset lvl analysis'!$C$10)*'Task 2 - Asset lvl analysis'!$T$10))</f>
        <v>0</v>
      </c>
      <c r="X35" s="219">
        <f t="shared" si="0"/>
        <v>2122.611804878049</v>
      </c>
    </row>
    <row r="36" spans="1:24" ht="32.5" customHeight="1" x14ac:dyDescent="0.35">
      <c r="A36" s="18"/>
      <c r="B36" s="218" t="s">
        <v>130</v>
      </c>
      <c r="C36" s="213" t="s">
        <v>112</v>
      </c>
      <c r="D36" s="119" t="s">
        <v>278</v>
      </c>
      <c r="E36" s="124" t="s">
        <v>20</v>
      </c>
      <c r="F36" s="552">
        <f>_xlfn.XLOOKUP(B36,'Structure dimensions'!$C$6:$C$49,'Structure dimensions'!$L$6:$L$49)</f>
        <v>309.55</v>
      </c>
      <c r="G36" s="127" cm="1">
        <f t="array" ref="G36">_xlfn.IFS(E36='Task 2 - Asset lvl analysis'!$B$8,((F36/'Task 2 - Asset lvl analysis'!$C$8)*'Task 2 - Asset lvl analysis'!$D$8),E36='Task 2 - Asset lvl analysis'!$B$9,((F36/'Task 2 - Asset lvl analysis'!$C$9)*'Task 2 - Asset lvl analysis'!$D$9),E36='Task 2 - Asset lvl analysis'!$B$10,((F36/'Task 2 - Asset lvl analysis'!$C$10)*'Task 2 - Asset lvl analysis'!$D$10))</f>
        <v>0</v>
      </c>
      <c r="H36" s="125" cm="1">
        <f t="array" ref="H36">_xlfn.IFS(E36='Task 2 - Asset lvl analysis'!$B$8,((F36/'Task 2 - Asset lvl analysis'!$C$8)*'Task 2 - Asset lvl analysis'!$E$8),E36='Task 2 - Asset lvl analysis'!$B$9,((F36/'Task 2 - Asset lvl analysis'!$C$9)*'Task 2 - Asset lvl analysis'!$E$9),E36='Task 2 - Asset lvl analysis'!$B$10,((F36/'Task 2 - Asset lvl analysis'!$C$10)*'Task 2 - Asset lvl analysis'!$E$10))</f>
        <v>3.7101344512195129</v>
      </c>
      <c r="I36" s="125" cm="1">
        <f t="array" ref="I36">_xlfn.IFS(E36='Task 2 - Asset lvl analysis'!$B$8,((F36/'Task 2 - Asset lvl analysis'!$C$8)*'Task 2 - Asset lvl analysis'!$F$8),E36='Task 2 - Asset lvl analysis'!$B$9,((F36/'Task 2 - Asset lvl analysis'!$C$9)*'Task 2 - Asset lvl analysis'!$F$9),E36='Task 2 - Asset lvl analysis'!$B$10,((F36/'Task 2 - Asset lvl analysis'!$C$10)*'Task 2 - Asset lvl analysis'!$F$10))</f>
        <v>16.814126219512193</v>
      </c>
      <c r="J36" s="125" cm="1">
        <f t="array" ref="J36">_xlfn.IFS(E36='Task 2 - Asset lvl analysis'!$B$8,((F36/'Task 2 - Asset lvl analysis'!$C$8)*'Task 2 - Asset lvl analysis'!$G$8),E36='Task 2 - Asset lvl analysis'!$B$9,((F36/'Task 2 - Asset lvl analysis'!$C$9)*'Task 2 - Asset lvl analysis'!$G$9),E36='Task 2 - Asset lvl analysis'!$B$10,((F36/'Task 2 - Asset lvl analysis'!$C$10)*'Task 2 - Asset lvl analysis'!$G$10))</f>
        <v>16.768135670731706</v>
      </c>
      <c r="K36" s="125" cm="1">
        <f t="array" ref="K36">_xlfn.IFS($E36='Task 2 - Asset lvl analysis'!$B$8,(($F36/'Task 2 - Asset lvl analysis'!$C$8)*'Task 2 - Asset lvl analysis'!$H$8),$E36='Task 2 - Asset lvl analysis'!$B$9,((F36/'Task 2 - Asset lvl analysis'!$C$9)*'Task 2 - Asset lvl analysis'!$H$9),$E36='Task 2 - Asset lvl analysis'!$B$10,(($F36/'Task 2 - Asset lvl analysis'!$C$10)*'Task 2 - Asset lvl analysis'!$H$10))</f>
        <v>0</v>
      </c>
      <c r="L36" s="125" cm="1">
        <f t="array" ref="L36">_xlfn.IFS($E36='Task 2 - Asset lvl analysis'!$B$8,(($F36/'Task 2 - Asset lvl analysis'!$C$8)*'Task 2 - Asset lvl analysis'!$I$8),$E36='Task 2 - Asset lvl analysis'!$B$9,(($F36/'Task 2 - Asset lvl analysis'!$C$9)*'Task 2 - Asset lvl analysis'!$I$9),$E36='Task 2 - Asset lvl analysis'!$B$10,(($F36/'Task 2 - Asset lvl analysis'!$C$10)*'Task 2 - Asset lvl analysis'!$I$10))</f>
        <v>0.16853993902439024</v>
      </c>
      <c r="M36" s="125" cm="1">
        <f t="array" ref="M36">_xlfn.IFS($E36='Task 2 - Asset lvl analysis'!$B$8,(($F36/'Task 2 - Asset lvl analysis'!$C$8)*'Task 2 - Asset lvl analysis'!$J$8),$E36='Task 2 - Asset lvl analysis'!$B$9,(($F36/'Task 2 - Asset lvl analysis'!$C$9)*'Task 2 - Asset lvl analysis'!$J$9),$E36='Task 2 - Asset lvl analysis'!$B$10,(($F36/'Task 2 - Asset lvl analysis'!$C$10)*'Task 2 - Asset lvl analysis'!$J$10))</f>
        <v>0.72079481707317083</v>
      </c>
      <c r="N36" s="125" cm="1">
        <f t="array" ref="N36">_xlfn.IFS($E36='Task 2 - Asset lvl analysis'!$B$8,(($F36/'Task 2 - Asset lvl analysis'!$C$8)*'Task 2 - Asset lvl analysis'!$K$8),$E36='Task 2 - Asset lvl analysis'!$B$9,(($F36/'Task 2 - Asset lvl analysis'!$C$9)*'Task 2 - Asset lvl analysis'!$K$9),$E36='Task 2 - Asset lvl analysis'!$B$10,(($F36/'Task 2 - Asset lvl analysis'!$C$10)*'Task 2 - Asset lvl analysis'!$K$10))</f>
        <v>0</v>
      </c>
      <c r="O36" s="125" cm="1">
        <f t="array" ref="O36">_xlfn.IFS($E36='Task 2 - Asset lvl analysis'!$B$8,(($F36/'Task 2 - Asset lvl analysis'!$C$8)*'Task 2 - Asset lvl analysis'!$L$8),$E36='Task 2 - Asset lvl analysis'!$B$9,(($F36/'Task 2 - Asset lvl analysis'!$C$9)*'Task 2 - Asset lvl analysis'!$L$9),$E36='Task 2 - Asset lvl analysis'!$B$10,(($F36/'Task 2 - Asset lvl analysis'!$C$10)*'Task 2 - Asset lvl analysis'!$L$10))</f>
        <v>0</v>
      </c>
      <c r="P36" s="125" cm="1">
        <f t="array" ref="P36">_xlfn.IFS($E36='Task 2 - Asset lvl analysis'!$B$8,(($F36/'Task 2 - Asset lvl analysis'!$C$8)*'Task 2 - Asset lvl analysis'!$M$8),$E36='Task 2 - Asset lvl analysis'!$B$9,(($F36/'Task 2 - Asset lvl analysis'!$C$9)*'Task 2 - Asset lvl analysis'!$M$9),$E36='Task 2 - Asset lvl analysis'!$B$10,(($F36/'Task 2 - Asset lvl analysis'!$C$10)*'Task 2 - Asset lvl analysis'!$M$10))</f>
        <v>3.2075070121951219</v>
      </c>
      <c r="Q36" s="125" cm="1">
        <f t="array" ref="Q36">_xlfn.IFS($E36='Task 2 - Asset lvl analysis'!$B$8,(($F36/'Task 2 - Asset lvl analysis'!$C$8)*'Task 2 - Asset lvl analysis'!$N$8),$E36='Task 2 - Asset lvl analysis'!$B$9,(($F36/'Task 2 - Asset lvl analysis'!$C$9)*'Task 2 - Asset lvl analysis'!$N$9),$E36='Task 2 - Asset lvl analysis'!$B$10,(($F36/'Task 2 - Asset lvl analysis'!$C$10)*'Task 2 - Asset lvl analysis'!$N$10))</f>
        <v>0</v>
      </c>
      <c r="R36" s="125" cm="1">
        <f t="array" ref="R36">_xlfn.IFS($E36='Task 2 - Asset lvl analysis'!$B$8,(($F36/'Task 2 - Asset lvl analysis'!$C$8)*'Task 2 - Asset lvl analysis'!$O$8),$E36='Task 2 - Asset lvl analysis'!$B$9,(($F36/'Task 2 - Asset lvl analysis'!$C$9)*'Task 2 - Asset lvl analysis'!$O$9),$E36='Task 2 - Asset lvl analysis'!$B$10,(($F36/'Task 2 - Asset lvl analysis'!$C$10)*'Task 2 - Asset lvl analysis'!$O$10))</f>
        <v>2183.3453228658536</v>
      </c>
      <c r="S36" s="125" cm="1">
        <f t="array" ref="S36">_xlfn.IFS($E36='Task 2 - Asset lvl analysis'!$B$8,(($F36/'Task 2 - Asset lvl analysis'!$C$8)*'Task 2 - Asset lvl analysis'!$P$8),$E36='Task 2 - Asset lvl analysis'!$B$9,(($F36/'Task 2 - Asset lvl analysis'!$C$9)*'Task 2 - Asset lvl analysis'!$P$9),$E36='Task 2 - Asset lvl analysis'!$B$10,(($F36/'Task 2 - Asset lvl analysis'!$C$10)*'Task 2 - Asset lvl analysis'!$P$10))</f>
        <v>0</v>
      </c>
      <c r="T36" s="125" cm="1">
        <f t="array" ref="T36">_xlfn.IFS($E36='Task 2 - Asset lvl analysis'!$B$8,(($F36/'Task 2 - Asset lvl analysis'!$C$8)*'Task 2 - Asset lvl analysis'!$Q$8),$E36='Task 2 - Asset lvl analysis'!$B$9,(($F36/'Task 2 - Asset lvl analysis'!$C$9)*'Task 2 - Asset lvl analysis'!$Q$9),$E36='Task 2 - Asset lvl analysis'!$B$10,(($F36/'Task 2 - Asset lvl analysis'!$C$10)*'Task 2 - Asset lvl analysis'!$Q$10))</f>
        <v>0</v>
      </c>
      <c r="U36" s="125" cm="1">
        <f t="array" ref="U36">_xlfn.IFS($E36='Task 2 - Asset lvl analysis'!$B$8,(($F36/'Task 2 - Asset lvl analysis'!$C$8)*'Task 2 - Asset lvl analysis'!$R$8),$E36='Task 2 - Asset lvl analysis'!$B$9,(($F36/'Task 2 - Asset lvl analysis'!$C$9)*'Task 2 - Asset lvl analysis'!$R$9),$E36='Task 2 - Asset lvl analysis'!$B$10,(($F36/'Task 2 - Asset lvl analysis'!$C$10)*'Task 2 - Asset lvl analysis'!$R$10))</f>
        <v>0</v>
      </c>
      <c r="V36" s="125" cm="1">
        <f t="array" ref="V36">_xlfn.IFS($E36='Task 2 - Asset lvl analysis'!$B$8,(($F36/'Task 2 - Asset lvl analysis'!$C$8)*'Task 2 - Asset lvl analysis'!$S$8),$E36='Task 2 - Asset lvl analysis'!$B$9,(($F36/'Task 2 - Asset lvl analysis'!$C$9)*'Task 2 - Asset lvl analysis'!$S$9),$E36='Task 2 - Asset lvl analysis'!$B$10,(($F36/'Task 2 - Asset lvl analysis'!$C$10)*'Task 2 - Asset lvl analysis'!$S$10))</f>
        <v>1.0597621951219514</v>
      </c>
      <c r="W36" s="125" cm="1">
        <f t="array" ref="W36">_xlfn.IFS($E36='Task 2 - Asset lvl analysis'!$B$8,(($F36/'Task 2 - Asset lvl analysis'!$C$8)*'Task 2 - Asset lvl analysis'!$T$8),$E36='Task 2 - Asset lvl analysis'!$B$9,(($F36/'Task 2 - Asset lvl analysis'!$C$9)*'Task 2 - Asset lvl analysis'!$T$9),$E36='Task 2 - Asset lvl analysis'!$B$10,(($F36/'Task 2 - Asset lvl analysis'!$C$10)*'Task 2 - Asset lvl analysis'!$T$10))</f>
        <v>0</v>
      </c>
      <c r="X36" s="219">
        <f t="shared" si="0"/>
        <v>2225.7943231707318</v>
      </c>
    </row>
    <row r="37" spans="1:24" ht="32.5" customHeight="1" x14ac:dyDescent="0.35">
      <c r="A37" s="18"/>
      <c r="B37" s="218" t="s">
        <v>288</v>
      </c>
      <c r="C37" s="213" t="s">
        <v>165</v>
      </c>
      <c r="D37" s="119" t="s">
        <v>277</v>
      </c>
      <c r="E37" s="124" t="s">
        <v>22</v>
      </c>
      <c r="F37" s="552">
        <f>_xlfn.XLOOKUP(B37,'Structure dimensions'!$C$6:$C$49,'Structure dimensions'!$L$6:$L$49)</f>
        <v>423</v>
      </c>
      <c r="G37" s="120">
        <f>SUMIF(OB!$C$62:$C$84,'Task 2 - Asset lvl analysis'!G14,OB!$I$62:$I$84)</f>
        <v>0</v>
      </c>
      <c r="H37" s="120">
        <f>SUMIF(OB!$C$62:$C$84,'Task 2 - Asset lvl analysis'!H14,OB!$I$62:$I$84)</f>
        <v>7.8746</v>
      </c>
      <c r="I37" s="120">
        <f>SUMIF(OB!$C$62:$C$84,'Task 2 - Asset lvl analysis'!I14,OB!$I$62:$I$84)</f>
        <v>20.1967</v>
      </c>
      <c r="J37" s="120">
        <f>SUMIF(OB!$C$62:$C$84,'Task 2 - Asset lvl analysis'!J14,OB!$I$62:$I$84)</f>
        <v>3.9382000000000001</v>
      </c>
      <c r="K37" s="120">
        <f>SUMIF(OB!$C$62:$C$84,'Task 2 - Asset lvl analysis'!K14,OB!$I$62:$I$84)</f>
        <v>0</v>
      </c>
      <c r="L37" s="120">
        <f>SUMIF(OB!$C$62:$C$84,'Task 2 - Asset lvl analysis'!L14,OB!$I$62:$I$84)</f>
        <v>0.22850000000000001</v>
      </c>
      <c r="M37" s="120">
        <f>SUMIF(OB!$C$62:$C$84,'Task 2 - Asset lvl analysis'!M14,OB!$I$62:$I$84)</f>
        <v>0.60299999999999998</v>
      </c>
      <c r="N37" s="120">
        <f>SUMIF(OB!$C$62:$C$84,'Task 2 - Asset lvl analysis'!N14,OB!$I$62:$I$84)</f>
        <v>0</v>
      </c>
      <c r="O37" s="120">
        <f>SUMIF(OB!$C$62:$C$84,'Task 2 - Asset lvl analysis'!O14,OB!$I$62:$I$84)</f>
        <v>0</v>
      </c>
      <c r="P37" s="120">
        <f>SUMIF(OB!$C$62:$C$84,'Task 2 - Asset lvl analysis'!P14,OB!$I$62:$I$84)</f>
        <v>3.6107</v>
      </c>
      <c r="Q37" s="120">
        <f>SUMIF(OB!$C$62:$C$84,'Task 2 - Asset lvl analysis'!Q14,OB!$I$62:$I$84)</f>
        <v>0</v>
      </c>
      <c r="R37" s="120">
        <f>SUMIF(OB!$C$62:$C$84,'Task 2 - Asset lvl analysis'!R14,OB!$I$62:$I$84)</f>
        <v>1313.7773999999999</v>
      </c>
      <c r="S37" s="120">
        <f>SUMIF(OB!$C$62:$C$84,'Task 2 - Asset lvl analysis'!S14,OB!$I$62:$I$84)</f>
        <v>0</v>
      </c>
      <c r="T37" s="120">
        <f>SUMIF(OB!$C$62:$C$84,'Task 2 - Asset lvl analysis'!T14,OB!$I$62:$I$84)</f>
        <v>0</v>
      </c>
      <c r="U37" s="120">
        <f>SUMIF(OB!$C$62:$C$84,'Task 2 - Asset lvl analysis'!U14,OB!$I$62:$I$84)</f>
        <v>0</v>
      </c>
      <c r="V37" s="120">
        <f>SUMIF(OB!$C$62:$C$84,'Task 2 - Asset lvl analysis'!V14,OB!$I$62:$I$84)</f>
        <v>0.99629999999999996</v>
      </c>
      <c r="W37" s="120">
        <f>SUMIF(OB!$C$62:$C$84,'Task 2 - Asset lvl analysis'!W14,OB!$I$62:$I$84)</f>
        <v>0</v>
      </c>
      <c r="X37" s="219">
        <f t="shared" si="0"/>
        <v>1351.2254</v>
      </c>
    </row>
    <row r="38" spans="1:24" ht="32.5" customHeight="1" x14ac:dyDescent="0.35">
      <c r="A38" s="18"/>
      <c r="B38" s="218" t="s">
        <v>126</v>
      </c>
      <c r="C38" s="213" t="s">
        <v>48</v>
      </c>
      <c r="D38" s="119" t="s">
        <v>277</v>
      </c>
      <c r="E38" s="124" t="s">
        <v>22</v>
      </c>
      <c r="F38" s="552">
        <f>_xlfn.XLOOKUP(B38,'Structure dimensions'!$C$6:$C$49,'Structure dimensions'!$L$6:$L$49)</f>
        <v>114.744</v>
      </c>
      <c r="G38" s="120">
        <f>SUMIF(OB!$C$86:$C$108,'Task 2 - Asset lvl analysis'!G14,OB!$I$86:$I$108)</f>
        <v>0</v>
      </c>
      <c r="H38" s="120">
        <f>SUMIF(OB!$C$86:$C$108,'Task 2 - Asset lvl analysis'!H14,OB!$I$86:$I$108)</f>
        <v>7.6901000000000002</v>
      </c>
      <c r="I38" s="120">
        <f>SUMIF(OB!$C$86:$C$108,'Task 2 - Asset lvl analysis'!I14,OB!$I$86:$I$108)</f>
        <v>19.895699999999998</v>
      </c>
      <c r="J38" s="120">
        <f>SUMIF(OB!$C$86:$C$108,'Task 2 - Asset lvl analysis'!J14,OB!$I$86:$I$108)</f>
        <v>1.0033000000000001</v>
      </c>
      <c r="K38" s="120">
        <f>SUMIF(OB!$C$86:$C$108,'Task 2 - Asset lvl analysis'!K14,OB!$I$86:$I$108)</f>
        <v>0</v>
      </c>
      <c r="L38" s="120">
        <f>SUMIF(OB!$C$86:$C$108,'Task 2 - Asset lvl analysis'!L14,OB!$I$86:$I$108)</f>
        <v>0.1467</v>
      </c>
      <c r="M38" s="120">
        <f>SUMIF(OB!$C$86:$C$108,'Task 2 - Asset lvl analysis'!M14,OB!$I$86:$I$108)</f>
        <v>0.47920000000000001</v>
      </c>
      <c r="N38" s="120">
        <f>SUMIF(OB!$C$86:$C$108,'Task 2 - Asset lvl analysis'!N14,OB!$I$86:$I$108)</f>
        <v>0</v>
      </c>
      <c r="O38" s="120">
        <f>SUMIF(OB!$C$86:$C$108,'Task 2 - Asset lvl analysis'!O14,OB!$I$86:$I$108)</f>
        <v>0</v>
      </c>
      <c r="P38" s="120">
        <f>SUMIF(OB!$C$86:$C$108,'Task 2 - Asset lvl analysis'!P14,OB!$I$86:$I$108)</f>
        <v>0.44450000000000001</v>
      </c>
      <c r="Q38" s="120">
        <f>SUMIF(OB!$C$86:$C$108,'Task 2 - Asset lvl analysis'!Q14,OB!$I$86:$I$108)</f>
        <v>0</v>
      </c>
      <c r="R38" s="120">
        <f>SUMIF(OB!$C$86:$C$108,'Task 2 - Asset lvl analysis'!R14,OB!$I$86:$I$108)</f>
        <v>859.86119999999994</v>
      </c>
      <c r="S38" s="120">
        <f>SUMIF(OB!$C$86:$C$108,'Task 2 - Asset lvl analysis'!S14,OB!$I$86:$I$108)</f>
        <v>0</v>
      </c>
      <c r="T38" s="120">
        <f>SUMIF(OB!$C$86:$C$108,'Task 2 - Asset lvl analysis'!T14,OB!$I$86:$I$108)</f>
        <v>0</v>
      </c>
      <c r="U38" s="120">
        <f>SUMIF(OB!$C$86:$C$108,'Task 2 - Asset lvl analysis'!U14,OB!$I$86:$I$108)</f>
        <v>0</v>
      </c>
      <c r="V38" s="120">
        <f>SUMIF(OB!$C$86:$C$108,'Task 2 - Asset lvl analysis'!V14,OB!$I$86:$I$108)</f>
        <v>1.0824</v>
      </c>
      <c r="W38" s="120">
        <f>SUMIF(OB!$C$86:$C$108,'Task 2 - Asset lvl analysis'!W14,OB!$I$86:$I$108)</f>
        <v>0</v>
      </c>
      <c r="X38" s="219">
        <f t="shared" si="0"/>
        <v>890.60309999999993</v>
      </c>
    </row>
    <row r="39" spans="1:24" ht="32.5" customHeight="1" x14ac:dyDescent="0.35">
      <c r="A39" s="18"/>
      <c r="B39" s="218" t="s">
        <v>127</v>
      </c>
      <c r="C39" s="213" t="s">
        <v>49</v>
      </c>
      <c r="D39" s="119" t="s">
        <v>277</v>
      </c>
      <c r="E39" s="124" t="s">
        <v>22</v>
      </c>
      <c r="F39" s="552">
        <f>_xlfn.XLOOKUP(B39,'Structure dimensions'!$C$6:$C$49,'Structure dimensions'!$L$6:$L$49)</f>
        <v>114.19800000000001</v>
      </c>
      <c r="G39" s="120">
        <f>SUMIF(OB!$C$110:$C$131,'Task 2 - Asset lvl analysis'!G14,OB!$I$110:$I$131)</f>
        <v>0</v>
      </c>
      <c r="H39" s="120">
        <f>SUMIF(OB!$C$110:$C$131,'Task 2 - Asset lvl analysis'!H14,OB!$I$110:$I$131)</f>
        <v>8.8589000000000002</v>
      </c>
      <c r="I39" s="120">
        <f>SUMIF(OB!$C$110:$C$131,'Task 2 - Asset lvl analysis'!I14,OB!$I$110:$I$131)</f>
        <v>21.1829</v>
      </c>
      <c r="J39" s="120">
        <f>SUMIF(OB!$C$110:$C$131,'Task 2 - Asset lvl analysis'!J14,OB!$I$110:$I$131)</f>
        <v>6.8888999999999996</v>
      </c>
      <c r="K39" s="120">
        <f>SUMIF(OB!$C$110:$C$131,'Task 2 - Asset lvl analysis'!K14,OB!$I$110:$I$131)</f>
        <v>0</v>
      </c>
      <c r="L39" s="120">
        <f>SUMIF(OB!$C$110:$C$131,'Task 2 - Asset lvl analysis'!L14,OB!$I$110:$I$131)</f>
        <v>0.52490000000000003</v>
      </c>
      <c r="M39" s="120">
        <f>SUMIF(OB!$C$110:$C$131,'Task 2 - Asset lvl analysis'!M14,OB!$I$110:$I$131)</f>
        <v>0.52779999999999994</v>
      </c>
      <c r="N39" s="120">
        <f>SUMIF(OB!$C$110:$C$131,'Task 2 - Asset lvl analysis'!N14,OB!$I$110:$I$131)</f>
        <v>0</v>
      </c>
      <c r="O39" s="120">
        <f>SUMIF(OB!$C$110:$C$131,'Task 2 - Asset lvl analysis'!O14,OB!$I$110:$I$131)</f>
        <v>0</v>
      </c>
      <c r="P39" s="120">
        <f>SUMIF(OB!$C$110:$C$131,'Task 2 - Asset lvl analysis'!P14,OB!$I$110:$I$131)</f>
        <v>3.0421</v>
      </c>
      <c r="Q39" s="120">
        <f>SUMIF(OB!$C$110:$C$131,'Task 2 - Asset lvl analysis'!Q14,OB!$I$110:$I$131)</f>
        <v>0</v>
      </c>
      <c r="R39" s="120">
        <f>SUMIF(OB!$C$110:$C$131,'Task 2 - Asset lvl analysis'!R14,OB!$I$110:$I$131)</f>
        <v>1420.4025999999999</v>
      </c>
      <c r="S39" s="120">
        <f>SUMIF(OB!$C$110:$C$131,'Task 2 - Asset lvl analysis'!S14,OB!$I$110:$I$131)</f>
        <v>0</v>
      </c>
      <c r="T39" s="120">
        <f>SUMIF(OB!$C$110:$C$131,'Task 2 - Asset lvl analysis'!T14,OB!$I$110:$I$131)</f>
        <v>0</v>
      </c>
      <c r="U39" s="120">
        <f>SUMIF(OB!$C$110:$C$131,'Task 2 - Asset lvl analysis'!U14,OB!$I$110:$I$131)</f>
        <v>0</v>
      </c>
      <c r="V39" s="120">
        <f>SUMIF(OB!$C$110:$C$131,'Task 2 - Asset lvl analysis'!V14,OB!$I$110:$I$131)</f>
        <v>1.8150999999999999</v>
      </c>
      <c r="W39" s="120">
        <f>SUMIF(OB!$C$110:$C$131,'Task 2 - Asset lvl analysis'!W14,OB!$I$110:$I$131)</f>
        <v>0</v>
      </c>
      <c r="X39" s="219">
        <f t="shared" si="0"/>
        <v>1463.2431999999999</v>
      </c>
    </row>
    <row r="40" spans="1:24" ht="32.5" customHeight="1" x14ac:dyDescent="0.35">
      <c r="A40" s="18"/>
      <c r="B40" s="218" t="s">
        <v>289</v>
      </c>
      <c r="C40" s="213" t="s">
        <v>50</v>
      </c>
      <c r="D40" s="119" t="s">
        <v>277</v>
      </c>
      <c r="E40" s="124" t="s">
        <v>22</v>
      </c>
      <c r="F40" s="552">
        <f>_xlfn.XLOOKUP(B40,'Structure dimensions'!$C$6:$C$49,'Structure dimensions'!$L$6:$L$49)</f>
        <v>632.4</v>
      </c>
      <c r="G40" s="120">
        <f>SUMIF(OB!$C$133:$C$155,'Task 2 - Asset lvl analysis'!G14,OB!$I$133:$I$155)</f>
        <v>0</v>
      </c>
      <c r="H40" s="120">
        <f>SUMIF(OB!$C$133:$C$155,'Task 2 - Asset lvl analysis'!H14,OB!$I$133:$I$155)</f>
        <v>7.6901000000000002</v>
      </c>
      <c r="I40" s="120">
        <f>SUMIF(OB!$C$133:$C$155,'Task 2 - Asset lvl analysis'!I14,OB!$I$133:$I$155)</f>
        <v>28.508300000000002</v>
      </c>
      <c r="J40" s="120">
        <f>SUMIF(OB!$C$133:$C$155,'Task 2 - Asset lvl analysis'!J14,OB!$I$133:$I$155)</f>
        <v>4.4794</v>
      </c>
      <c r="K40" s="120">
        <f>SUMIF(OB!$C$133:$C$155,'Task 2 - Asset lvl analysis'!K14,OB!$I$133:$I$155)</f>
        <v>0</v>
      </c>
      <c r="L40" s="120">
        <f>SUMIF(OB!$C$133:$C$155,'Task 2 - Asset lvl analysis'!L14,OB!$I$133:$I$155)</f>
        <v>0.39850000000000002</v>
      </c>
      <c r="M40" s="120">
        <f>SUMIF(OB!$C$133:$C$155,'Task 2 - Asset lvl analysis'!M14,OB!$I$133:$I$155)</f>
        <v>0.86609999999999998</v>
      </c>
      <c r="N40" s="120">
        <f>SUMIF(OB!$C$133:$C$155,'Task 2 - Asset lvl analysis'!N14,OB!$I$133:$I$155)</f>
        <v>0</v>
      </c>
      <c r="O40" s="120">
        <f>SUMIF(OB!$C$133:$C$155,'Task 2 - Asset lvl analysis'!O14,OB!$I$133:$I$155)</f>
        <v>0</v>
      </c>
      <c r="P40" s="120">
        <f>SUMIF(OB!$C$133:$C$155,'Task 2 - Asset lvl analysis'!P14,OB!$I$133:$I$155)</f>
        <v>11.975</v>
      </c>
      <c r="Q40" s="120">
        <f>SUMIF(OB!$C$133:$C$155,'Task 2 - Asset lvl analysis'!Q14,OB!$I$133:$I$155)</f>
        <v>0</v>
      </c>
      <c r="R40" s="120">
        <f>SUMIF(OB!$C$133:$C$155,'Task 2 - Asset lvl analysis'!R14,OB!$I$133:$I$155)</f>
        <v>1533.0169000000001</v>
      </c>
      <c r="S40" s="120">
        <f>SUMIF(OB!$C$133:$C$155,'Task 2 - Asset lvl analysis'!S14,OB!$I$133:$I$155)</f>
        <v>0</v>
      </c>
      <c r="T40" s="120">
        <f>SUMIF(OB!$C$133:$C$155,'Task 2 - Asset lvl analysis'!T14,OB!$I$133:$I$155)</f>
        <v>0</v>
      </c>
      <c r="U40" s="120">
        <f>SUMIF(OB!$C$133:$C$155,'Task 2 - Asset lvl analysis'!U14,OB!$I$133:$I$155)</f>
        <v>0</v>
      </c>
      <c r="V40" s="120">
        <f>SUMIF(OB!$C$133:$C$155,'Task 2 - Asset lvl analysis'!V14,OB!$I$133:$I$155)</f>
        <v>2.1806000000000001</v>
      </c>
      <c r="W40" s="120">
        <f>SUMIF(OB!$C$133:$C$155,'Task 2 - Asset lvl analysis'!W14,OB!$I$133:$I$155)</f>
        <v>0</v>
      </c>
      <c r="X40" s="219">
        <f t="shared" si="0"/>
        <v>1589.1149</v>
      </c>
    </row>
    <row r="41" spans="1:24" ht="32.5" customHeight="1" x14ac:dyDescent="0.35">
      <c r="A41" s="18"/>
      <c r="B41" s="218" t="s">
        <v>290</v>
      </c>
      <c r="C41" s="213" t="s">
        <v>51</v>
      </c>
      <c r="D41" s="119" t="s">
        <v>277</v>
      </c>
      <c r="E41" s="124" t="s">
        <v>24</v>
      </c>
      <c r="F41" s="552">
        <f>_xlfn.XLOOKUP(B41,'Structure dimensions'!$C$6:$C$49,'Structure dimensions'!$L$6:$L$49)</f>
        <v>98.625</v>
      </c>
      <c r="G41" s="120">
        <f>SUMIF(PUP!$C$60:$C$74,'Task 2 - Asset lvl analysis'!G14,PUP!$I$60:$I$74)</f>
        <v>0.31630000000000003</v>
      </c>
      <c r="H41" s="120">
        <f>SUMIF(PUP!$C$60:$C$74,'Task 2 - Asset lvl analysis'!H14,PUP!$I$60:$I$74)</f>
        <v>0</v>
      </c>
      <c r="I41" s="120">
        <f>SUMIF(PUP!$C$60:$C$74,'Task 2 - Asset lvl analysis'!I14,PUP!$I$60:$I$74)</f>
        <v>12.922699999999999</v>
      </c>
      <c r="J41" s="120">
        <f>SUMIF(PUP!$C$60:$C$74,'Task 2 - Asset lvl analysis'!J14,PUP!$I$60:$I$74)</f>
        <v>5.8342000000000001</v>
      </c>
      <c r="K41" s="120">
        <f>SUMIF(PUP!$C$60:$C$74,'Task 2 - Asset lvl analysis'!K14,PUP!$I$60:$I$74)</f>
        <v>0</v>
      </c>
      <c r="L41" s="120">
        <f>SUMIF(PUP!$C$60:$C$74,'Task 2 - Asset lvl analysis'!L14,PUP!$I$60:$I$74)</f>
        <v>9.8299999999999998E-2</v>
      </c>
      <c r="M41" s="120">
        <f>SUMIF(PUP!$C$60:$C$74,'Task 2 - Asset lvl analysis'!M14,PUP!$I$60:$I$74)</f>
        <v>0.28079999999999999</v>
      </c>
      <c r="N41" s="120">
        <f>SUMIF(PUP!$C$60:$C$74,'Task 2 - Asset lvl analysis'!N14,PUP!$I$60:$I$74)</f>
        <v>0</v>
      </c>
      <c r="O41" s="120">
        <f>SUMIF(PUP!$C$60:$C$74,'Task 2 - Asset lvl analysis'!O14,PUP!$I$60:$I$74)</f>
        <v>0</v>
      </c>
      <c r="P41" s="120">
        <f>SUMIF(PUP!$C$60:$C$74,'Task 2 - Asset lvl analysis'!P14,PUP!$I$60:$I$74)</f>
        <v>0</v>
      </c>
      <c r="Q41" s="120">
        <f>SUMIF(PUP!$C$60:$C$74,'Task 2 - Asset lvl analysis'!Q14,PUP!$I$60:$I$74)</f>
        <v>0</v>
      </c>
      <c r="R41" s="120">
        <f>SUMIF(PUP!$C$60:$C$74,'Task 2 - Asset lvl analysis'!R14,PUP!$I$60:$I$74)</f>
        <v>101.9332</v>
      </c>
      <c r="S41" s="120">
        <f>SUMIF(PUP!$C$60:$C$74,'Task 2 - Asset lvl analysis'!S14,PUP!$I$60:$I$74)</f>
        <v>0</v>
      </c>
      <c r="T41" s="120">
        <f>SUMIF(PUP!$C$60:$C$74,'Task 2 - Asset lvl analysis'!T14,PUP!$I$60:$I$74)</f>
        <v>0</v>
      </c>
      <c r="U41" s="120">
        <f>SUMIF(PUP!$C$60:$C$74,'Task 2 - Asset lvl analysis'!U14,PUP!$I$60:$I$74)</f>
        <v>0</v>
      </c>
      <c r="V41" s="120">
        <f>SUMIF(PUP!$C$60:$C$74,'Task 2 - Asset lvl analysis'!V14,PUP!$I$60:$I$74)</f>
        <v>1.1387</v>
      </c>
      <c r="W41" s="120">
        <f>SUMIF(PUP!$C$60:$C$74,'Task 2 - Asset lvl analysis'!W14,PUP!$I$60:$I$74)</f>
        <v>0</v>
      </c>
      <c r="X41" s="219">
        <f t="shared" si="0"/>
        <v>122.52419999999999</v>
      </c>
    </row>
    <row r="42" spans="1:24" ht="32.5" customHeight="1" x14ac:dyDescent="0.35">
      <c r="A42" s="18"/>
      <c r="B42" s="218" t="s">
        <v>291</v>
      </c>
      <c r="C42" s="213" t="s">
        <v>52</v>
      </c>
      <c r="D42" s="119" t="s">
        <v>277</v>
      </c>
      <c r="E42" s="124" t="s">
        <v>27</v>
      </c>
      <c r="F42" s="552">
        <f>_xlfn.XLOOKUP(B42,'Structure dimensions'!$C$6:$C$49,'Structure dimensions'!$L$6:$L$49)</f>
        <v>2480.5</v>
      </c>
      <c r="G42" s="120">
        <f>SUMIF(RB!$C$61:$C$88,'Task 2 - Asset lvl analysis'!G14,RB!$I$61:$I$88)</f>
        <v>0.61150000000000004</v>
      </c>
      <c r="H42" s="120">
        <f>SUMIF(RB!$C$61:$C$88,'Task 2 - Asset lvl analysis'!H14,RB!$I$61:$I$88)</f>
        <v>26.535699999999999</v>
      </c>
      <c r="I42" s="120">
        <f>SUMIF(RB!$C$61:$C$88,'Task 2 - Asset lvl analysis'!I14,RB!$I$61:$I$88)</f>
        <v>31.415700000000001</v>
      </c>
      <c r="J42" s="120">
        <f>SUMIF(RB!$C$61:$C$88,'Task 2 - Asset lvl analysis'!J14,RB!$I$61:$I$88)</f>
        <v>93.837400000000002</v>
      </c>
      <c r="K42" s="120">
        <f>SUMIF(RB!$C$61:$C$88,'Task 2 - Asset lvl analysis'!K14,RB!$I$61:$I$88)</f>
        <v>0</v>
      </c>
      <c r="L42" s="120">
        <f>SUMIF(RB!$C$61:$C$88,'Task 2 - Asset lvl analysis'!L14,RB!$I$61:$I$88)</f>
        <v>1.3252999999999999</v>
      </c>
      <c r="M42" s="120">
        <f>SUMIF(RB!$C$61:$C$88,'Task 2 - Asset lvl analysis'!M14,RB!$I$61:$I$88)</f>
        <v>2.2568999999999999</v>
      </c>
      <c r="N42" s="120">
        <f>SUMIF(RB!$C$61:$C$88,'Task 2 - Asset lvl analysis'!N14,RB!$I$61:$I$88)</f>
        <v>0</v>
      </c>
      <c r="O42" s="120">
        <f>SUMIF(RB!$C$61:$C$88,'Task 2 - Asset lvl analysis'!O14,RB!$I$61:$I$88)</f>
        <v>0</v>
      </c>
      <c r="P42" s="120">
        <f>SUMIF(RB!$C$61:$C$88,'Task 2 - Asset lvl analysis'!P14,RB!$I$61:$I$88)</f>
        <v>17.188400000000001</v>
      </c>
      <c r="Q42" s="120">
        <f>SUMIF(RB!$C$61:$C$88,'Task 2 - Asset lvl analysis'!Q14,RB!$I$61:$I$88)</f>
        <v>0</v>
      </c>
      <c r="R42" s="120">
        <f>SUMIF(RB!$C$61:$C$88,'Task 2 - Asset lvl analysis'!R14,RB!$I$61:$I$88)</f>
        <v>2843.0518000000002</v>
      </c>
      <c r="S42" s="120">
        <f>SUMIF(RB!$C$61:$C$88,'Task 2 - Asset lvl analysis'!S14,RB!$I$61:$I$88)</f>
        <v>1049.2394999999999</v>
      </c>
      <c r="T42" s="120">
        <f>SUMIF(RB!$C$61:$C$88,'Task 2 - Asset lvl analysis'!T14,RB!$I$61:$I$88)</f>
        <v>336.85599999999999</v>
      </c>
      <c r="U42" s="120">
        <f>SUMIF(RB!$C$61:$C$88,'Task 2 - Asset lvl analysis'!U14,RB!$I$61:$I$88)</f>
        <v>0</v>
      </c>
      <c r="V42" s="120">
        <f>SUMIF(RB!$C$61:$C$88,'Task 2 - Asset lvl analysis'!V14,RB!$I$61:$I$88)</f>
        <v>2.3649</v>
      </c>
      <c r="W42" s="120">
        <f>SUMIF(RB!$C$61:$C$88,'Task 2 - Asset lvl analysis'!W14,RB!$I$61:$I$88)</f>
        <v>0</v>
      </c>
      <c r="X42" s="219">
        <f t="shared" si="0"/>
        <v>4404.6830999999993</v>
      </c>
    </row>
    <row r="43" spans="1:24" ht="32.5" customHeight="1" x14ac:dyDescent="0.35">
      <c r="A43" s="18"/>
      <c r="B43" s="218" t="s">
        <v>292</v>
      </c>
      <c r="C43" s="213" t="s">
        <v>53</v>
      </c>
      <c r="D43" s="119" t="s">
        <v>277</v>
      </c>
      <c r="E43" s="124" t="s">
        <v>27</v>
      </c>
      <c r="F43" s="552">
        <f>_xlfn.XLOOKUP(B43,'Structure dimensions'!$C$6:$C$49,'Structure dimensions'!$L$6:$L$49)</f>
        <v>881.5</v>
      </c>
      <c r="G43" s="120">
        <f>SUMIF(RB!$C$90:$C$111,'Task 2 - Asset lvl analysis'!G14,RB!$I$90:$I$111)</f>
        <v>0</v>
      </c>
      <c r="H43" s="120">
        <f>SUMIF(RB!$C$90:$C$111,'Task 2 - Asset lvl analysis'!H14,RB!$I$90:$I$111)</f>
        <v>6.9518000000000004</v>
      </c>
      <c r="I43" s="120">
        <f>SUMIF(RB!$C$90:$C$111,'Task 2 - Asset lvl analysis'!I14,RB!$I$90:$I$111)</f>
        <v>13.688400000000001</v>
      </c>
      <c r="J43" s="120">
        <f>SUMIF(RB!$C$90:$C$111,'Task 2 - Asset lvl analysis'!J14,RB!$I$90:$I$111)</f>
        <v>5.2022000000000004</v>
      </c>
      <c r="K43" s="120">
        <f>SUMIF(RB!$C$90:$C$111,'Task 2 - Asset lvl analysis'!K14,RB!$I$90:$I$111)</f>
        <v>0</v>
      </c>
      <c r="L43" s="120">
        <f>SUMIF(RB!$C$90:$C$111,'Task 2 - Asset lvl analysis'!L14,RB!$I$90:$I$111)</f>
        <v>0.28270000000000001</v>
      </c>
      <c r="M43" s="120">
        <f>SUMIF(RB!$C$90:$C$111,'Task 2 - Asset lvl analysis'!M14,RB!$I$90:$I$111)</f>
        <v>1.2417</v>
      </c>
      <c r="N43" s="120">
        <f>SUMIF(RB!$C$90:$C$111,'Task 2 - Asset lvl analysis'!N14,RB!$I$90:$I$111)</f>
        <v>0</v>
      </c>
      <c r="O43" s="120">
        <f>SUMIF(RB!$C$90:$C$111,'Task 2 - Asset lvl analysis'!O14,RB!$I$90:$I$111)</f>
        <v>0</v>
      </c>
      <c r="P43" s="120">
        <f>SUMIF(RB!$C$90:$C$111,'Task 2 - Asset lvl analysis'!P14,RB!$I$90:$I$111)</f>
        <v>5.8423999999999996</v>
      </c>
      <c r="Q43" s="120">
        <f>SUMIF(RB!$C$90:$C$111,'Task 2 - Asset lvl analysis'!Q14,RB!$I$90:$I$111)</f>
        <v>0</v>
      </c>
      <c r="R43" s="120">
        <f>SUMIF(RB!$C$90:$C$111,'Task 2 - Asset lvl analysis'!R14,RB!$I$90:$I$111)</f>
        <v>2812.3144000000002</v>
      </c>
      <c r="S43" s="120">
        <f>SUMIF(RB!$C$90:$C$111,'Task 2 - Asset lvl analysis'!S14,RB!$I$90:$I$111)</f>
        <v>0</v>
      </c>
      <c r="T43" s="120">
        <f>SUMIF(RB!$C$90:$C$111,'Task 2 - Asset lvl analysis'!T14,RB!$I$90:$I$111)</f>
        <v>36.814</v>
      </c>
      <c r="U43" s="120">
        <f>SUMIF(RB!$C$90:$C$111,'Task 2 - Asset lvl analysis'!U14,RB!$I$90:$I$111)</f>
        <v>0</v>
      </c>
      <c r="V43" s="120">
        <f>SUMIF(RB!$C$90:$C$111,'Task 2 - Asset lvl analysis'!V14,RB!$I$90:$I$111)</f>
        <v>2.9861000000000004</v>
      </c>
      <c r="W43" s="120">
        <f>SUMIF(RB!$C$90:$C$111,'Task 2 - Asset lvl analysis'!W14,RB!$I$90:$I$111)</f>
        <v>0</v>
      </c>
      <c r="X43" s="219">
        <f t="shared" si="0"/>
        <v>2885.3236999999999</v>
      </c>
    </row>
    <row r="44" spans="1:24" ht="32.5" customHeight="1" x14ac:dyDescent="0.35">
      <c r="A44" s="18"/>
      <c r="B44" s="218" t="s">
        <v>293</v>
      </c>
      <c r="C44" s="213" t="s">
        <v>54</v>
      </c>
      <c r="D44" s="119" t="s">
        <v>277</v>
      </c>
      <c r="E44" s="124" t="s">
        <v>27</v>
      </c>
      <c r="F44" s="552">
        <f>_xlfn.XLOOKUP(B44,'Structure dimensions'!$C$6:$C$49,'Structure dimensions'!$L$6:$L$49)</f>
        <v>1004.5</v>
      </c>
      <c r="G44" s="120">
        <f>SUMIF(RB!$C$113:$C$137,'Task 2 - Asset lvl analysis'!G14,RB!$I$113:$I$137)</f>
        <v>0</v>
      </c>
      <c r="H44" s="120">
        <f>SUMIF(RB!$C$113:$C$137,'Task 2 - Asset lvl analysis'!H14,RB!$I$113:$I$137)</f>
        <v>7.0747999999999998</v>
      </c>
      <c r="I44" s="120">
        <f>SUMIF(RB!$C$113:$C$137,'Task 2 - Asset lvl analysis'!I14,RB!$I$113:$I$137)</f>
        <v>19.281700000000001</v>
      </c>
      <c r="J44" s="120">
        <f>SUMIF(RB!$C$113:$C$137,'Task 2 - Asset lvl analysis'!J14,RB!$I$113:$I$137)</f>
        <v>9.3773999999999997</v>
      </c>
      <c r="K44" s="120">
        <f>SUMIF(RB!$C$113:$C$137,'Task 2 - Asset lvl analysis'!K14,RB!$I$113:$I$137)</f>
        <v>0</v>
      </c>
      <c r="L44" s="120">
        <f>SUMIF(RB!$C$113:$C$137,'Task 2 - Asset lvl analysis'!L14,RB!$I$113:$I$137)</f>
        <v>0.27339999999999998</v>
      </c>
      <c r="M44" s="120">
        <f>SUMIF(RB!$C$113:$C$137,'Task 2 - Asset lvl analysis'!M14,RB!$I$113:$I$137)</f>
        <v>1.0838000000000001</v>
      </c>
      <c r="N44" s="120">
        <f>SUMIF(RB!$C$113:$C$137,'Task 2 - Asset lvl analysis'!N14,RB!$I$113:$I$137)</f>
        <v>0</v>
      </c>
      <c r="O44" s="120">
        <f>SUMIF(RB!$C$113:$C$137,'Task 2 - Asset lvl analysis'!O14,RB!$I$113:$I$137)</f>
        <v>0</v>
      </c>
      <c r="P44" s="120">
        <f>SUMIF(RB!$C$113:$C$137,'Task 2 - Asset lvl analysis'!P14,RB!$I$113:$I$137)</f>
        <v>6.5681000000000003</v>
      </c>
      <c r="Q44" s="120">
        <f>SUMIF(RB!$C$113:$C$137,'Task 2 - Asset lvl analysis'!Q14,RB!$I$113:$I$137)</f>
        <v>209.50219999999999</v>
      </c>
      <c r="R44" s="120">
        <f>SUMIF(RB!$C$113:$C$137,'Task 2 - Asset lvl analysis'!R14,RB!$I$113:$I$137)</f>
        <v>3274.5256000000004</v>
      </c>
      <c r="S44" s="120">
        <f>SUMIF(RB!$C$113:$C$137,'Task 2 - Asset lvl analysis'!S14,RB!$I$113:$I$137)</f>
        <v>0</v>
      </c>
      <c r="T44" s="120">
        <f>SUMIF(RB!$C$113:$C$137,'Task 2 - Asset lvl analysis'!T14,RB!$I$113:$I$137)</f>
        <v>0</v>
      </c>
      <c r="U44" s="120">
        <f>SUMIF(RB!$C$113:$C$137,'Task 2 - Asset lvl analysis'!U14,RB!$I$113:$I$137)</f>
        <v>0</v>
      </c>
      <c r="V44" s="120">
        <f>SUMIF(RB!$C$113:$C$137,'Task 2 - Asset lvl analysis'!V14,RB!$I$113:$I$137)</f>
        <v>3.7900999999999998</v>
      </c>
      <c r="W44" s="120">
        <f>SUMIF(RB!$C$113:$C$137,'Task 2 - Asset lvl analysis'!W14,RB!$I$113:$I$137)</f>
        <v>0</v>
      </c>
      <c r="X44" s="219">
        <f t="shared" si="0"/>
        <v>3531.4771000000005</v>
      </c>
    </row>
    <row r="45" spans="1:24" ht="32.5" customHeight="1" x14ac:dyDescent="0.35">
      <c r="A45" s="18"/>
      <c r="B45" s="218" t="s">
        <v>286</v>
      </c>
      <c r="C45" s="215" t="s">
        <v>55</v>
      </c>
      <c r="D45" s="119" t="s">
        <v>277</v>
      </c>
      <c r="E45" s="129" t="s">
        <v>27</v>
      </c>
      <c r="F45" s="552">
        <f>_xlfn.XLOOKUP(B45,'Structure dimensions'!$C$6:$C$49,'Structure dimensions'!$L$6:$L$49)</f>
        <v>120.624</v>
      </c>
      <c r="G45" s="120">
        <f>SUMIF(RB!$C$139:$C$166,'Task 2 - Asset lvl analysis'!G14,RB!$I$139:$I$166)</f>
        <v>0.84350000000000003</v>
      </c>
      <c r="H45" s="120">
        <f>SUMIF(RB!$C$139:$C$166,'Task 2 - Asset lvl analysis'!H14,RB!$I$139:$I$166)</f>
        <v>23.2803</v>
      </c>
      <c r="I45" s="120">
        <f>SUMIF(RB!$C$139:$C$166,'Task 2 - Asset lvl analysis'!I14,RB!$I$139:$I$166)</f>
        <v>25.448499999999996</v>
      </c>
      <c r="J45" s="120">
        <f>SUMIF(RB!$C$139:$C$166,'Task 2 - Asset lvl analysis'!J14,RB!$I$139:$I$166)</f>
        <v>10.7441</v>
      </c>
      <c r="K45" s="120">
        <f>SUMIF(RB!$C$139:$C$166,'Task 2 - Asset lvl analysis'!K14,RB!$I$139:$I$166)</f>
        <v>0</v>
      </c>
      <c r="L45" s="120">
        <f>SUMIF(RB!$C$139:$C$166,'Task 2 - Asset lvl analysis'!L14,RB!$I$139:$I$166)</f>
        <v>0.79730000000000001</v>
      </c>
      <c r="M45" s="120">
        <f>SUMIF(RB!$C$139:$C$166,'Task 2 - Asset lvl analysis'!M14,RB!$I$139:$I$166)</f>
        <v>1.9581</v>
      </c>
      <c r="N45" s="120">
        <f>SUMIF(RB!$C$139:$C$166,'Task 2 - Asset lvl analysis'!N14,RB!$I$139:$I$166)</f>
        <v>0</v>
      </c>
      <c r="O45" s="120">
        <f>SUMIF(RB!$C$139:$C$166,'Task 2 - Asset lvl analysis'!O14,RB!$I$139:$I$166)</f>
        <v>0</v>
      </c>
      <c r="P45" s="120">
        <f>SUMIF(RB!$C$139:$C$166,'Task 2 - Asset lvl analysis'!P14,RB!$I$139:$I$166)</f>
        <v>11.279500000000001</v>
      </c>
      <c r="Q45" s="120">
        <f>SUMIF(RB!$C$139:$C$166,'Task 2 - Asset lvl analysis'!Q14,RB!$I$139:$I$166)</f>
        <v>403.49129999999997</v>
      </c>
      <c r="R45" s="120">
        <f>SUMIF(RB!$C$139:$C$166,'Task 2 - Asset lvl analysis'!R14,RB!$I$139:$I$166)</f>
        <v>6571.1518999999998</v>
      </c>
      <c r="S45" s="120">
        <f>SUMIF(RB!$C$139:$C$166,'Task 2 - Asset lvl analysis'!S14,RB!$I$139:$I$166)</f>
        <v>0</v>
      </c>
      <c r="T45" s="120">
        <f>SUMIF(RB!$C$139:$C$166,'Task 2 - Asset lvl analysis'!T14,RB!$I$139:$I$166)</f>
        <v>110.44199999999999</v>
      </c>
      <c r="U45" s="120">
        <f>SUMIF(RB!$C$139:$C$166,'Task 2 - Asset lvl analysis'!U14,RB!$I$139:$I$166)</f>
        <v>0</v>
      </c>
      <c r="V45" s="120">
        <f>SUMIF(RB!$C$139:$C$166,'Task 2 - Asset lvl analysis'!V14,RB!$I$139:$I$166)</f>
        <v>1.8273999999999999</v>
      </c>
      <c r="W45" s="120">
        <f>SUMIF(RB!$C$139:$C$166,'Task 2 - Asset lvl analysis'!W14,RB!$I$139:$I$166)</f>
        <v>0</v>
      </c>
      <c r="X45" s="219">
        <f t="shared" si="0"/>
        <v>7161.2638999999999</v>
      </c>
    </row>
    <row r="46" spans="1:24" ht="32.5" customHeight="1" x14ac:dyDescent="0.35">
      <c r="A46" s="18"/>
      <c r="B46" s="218" t="s">
        <v>263</v>
      </c>
      <c r="C46" s="213" t="s">
        <v>113</v>
      </c>
      <c r="D46" s="119" t="s">
        <v>278</v>
      </c>
      <c r="E46" s="124" t="s">
        <v>29</v>
      </c>
      <c r="F46" s="552">
        <f>_xlfn.XLOOKUP(B46,'Structure dimensions'!$C$6:$C$49,'Structure dimensions'!$L$6:$L$49)</f>
        <v>307.5</v>
      </c>
      <c r="G46" s="127" cm="1">
        <f t="array" ref="G46">_xlfn.IFS(E46='Task 2 - Asset lvl analysis'!$B$8,((F46/'Task 2 - Asset lvl analysis'!$C$8)*'Task 2 - Asset lvl analysis'!$D$8),E46='Task 2 - Asset lvl analysis'!$B$9,((F46/'Task 2 - Asset lvl analysis'!$C$9)*'Task 2 - Asset lvl analysis'!$D$9),E46='Task 2 - Asset lvl analysis'!$B$10,((F46/'Task 2 - Asset lvl analysis'!$C$10)*'Task 2 - Asset lvl analysis'!$D$10))</f>
        <v>0</v>
      </c>
      <c r="H46" s="125" cm="1">
        <f t="array" ref="H46">_xlfn.IFS(E46='Task 2 - Asset lvl analysis'!$B$8,((F46/'Task 2 - Asset lvl analysis'!$C$8)*'Task 2 - Asset lvl analysis'!$E$8),E46='Task 2 - Asset lvl analysis'!$B$9,((F46/'Task 2 - Asset lvl analysis'!$C$9)*'Task 2 - Asset lvl analysis'!$E$9),E46='Task 2 - Asset lvl analysis'!$B$10,((F46/'Task 2 - Asset lvl analysis'!$C$10)*'Task 2 - Asset lvl analysis'!$E$10))</f>
        <v>3.8679236739974137</v>
      </c>
      <c r="I46" s="125" cm="1">
        <f t="array" ref="I46">_xlfn.IFS(E46='Task 2 - Asset lvl analysis'!$B$8,((F46/'Task 2 - Asset lvl analysis'!$C$8)*'Task 2 - Asset lvl analysis'!$F$8),E46='Task 2 - Asset lvl analysis'!$B$9,((F46/'Task 2 - Asset lvl analysis'!$C$9)*'Task 2 - Asset lvl analysis'!$F$9),E46='Task 2 - Asset lvl analysis'!$B$10,((F46/'Task 2 - Asset lvl analysis'!$C$10)*'Task 2 - Asset lvl analysis'!$F$10))</f>
        <v>10.967736093143596</v>
      </c>
      <c r="J46" s="125" cm="1">
        <f t="array" ref="J46">_xlfn.IFS(E46='Task 2 - Asset lvl analysis'!$B$8,((F46/'Task 2 - Asset lvl analysis'!$C$8)*'Task 2 - Asset lvl analysis'!$G$8),E46='Task 2 - Asset lvl analysis'!$B$9,((F46/'Task 2 - Asset lvl analysis'!$C$9)*'Task 2 - Asset lvl analysis'!$G$9),E46='Task 2 - Asset lvl analysis'!$B$10,((F46/'Task 2 - Asset lvl analysis'!$C$10)*'Task 2 - Asset lvl analysis'!$G$10))</f>
        <v>11.579592496765848</v>
      </c>
      <c r="K46" s="125" cm="1">
        <f t="array" ref="K46">_xlfn.IFS($E46='Task 2 - Asset lvl analysis'!$B$8,(($F46/'Task 2 - Asset lvl analysis'!$C$8)*'Task 2 - Asset lvl analysis'!$H$8),$E46='Task 2 - Asset lvl analysis'!$B$9,((F46/'Task 2 - Asset lvl analysis'!$C$9)*'Task 2 - Asset lvl analysis'!$H$9),$E46='Task 2 - Asset lvl analysis'!$B$10,(($F46/'Task 2 - Asset lvl analysis'!$C$10)*'Task 2 - Asset lvl analysis'!$H$10))</f>
        <v>0</v>
      </c>
      <c r="L46" s="125" cm="1">
        <f t="array" ref="L46">_xlfn.IFS($E46='Task 2 - Asset lvl analysis'!$B$8,(($F46/'Task 2 - Asset lvl analysis'!$C$8)*'Task 2 - Asset lvl analysis'!$I$8),$E46='Task 2 - Asset lvl analysis'!$B$9,(($F46/'Task 2 - Asset lvl analysis'!$C$9)*'Task 2 - Asset lvl analysis'!$I$9),$E46='Task 2 - Asset lvl analysis'!$B$10,(($F46/'Task 2 - Asset lvl analysis'!$C$10)*'Task 2 - Asset lvl analysis'!$I$10))</f>
        <v>9.78783958602846E-2</v>
      </c>
      <c r="M46" s="125" cm="1">
        <f t="array" ref="M46">_xlfn.IFS($E46='Task 2 - Asset lvl analysis'!$B$8,(($F46/'Task 2 - Asset lvl analysis'!$C$8)*'Task 2 - Asset lvl analysis'!$J$8),$E46='Task 2 - Asset lvl analysis'!$B$9,(($F46/'Task 2 - Asset lvl analysis'!$C$9)*'Task 2 - Asset lvl analysis'!$J$9),$E46='Task 2 - Asset lvl analysis'!$B$10,(($F46/'Task 2 - Asset lvl analysis'!$C$10)*'Task 2 - Asset lvl analysis'!$J$10))</f>
        <v>0.59334411384217345</v>
      </c>
      <c r="N46" s="125" cm="1">
        <f t="array" ref="N46">_xlfn.IFS($E46='Task 2 - Asset lvl analysis'!$B$8,(($F46/'Task 2 - Asset lvl analysis'!$C$8)*'Task 2 - Asset lvl analysis'!$K$8),$E46='Task 2 - Asset lvl analysis'!$B$9,(($F46/'Task 2 - Asset lvl analysis'!$C$9)*'Task 2 - Asset lvl analysis'!$K$9),$E46='Task 2 - Asset lvl analysis'!$B$10,(($F46/'Task 2 - Asset lvl analysis'!$C$10)*'Task 2 - Asset lvl analysis'!$K$10))</f>
        <v>0</v>
      </c>
      <c r="O46" s="125" cm="1">
        <f t="array" ref="O46">_xlfn.IFS($E46='Task 2 - Asset lvl analysis'!$B$8,(($F46/'Task 2 - Asset lvl analysis'!$C$8)*'Task 2 - Asset lvl analysis'!$L$8),$E46='Task 2 - Asset lvl analysis'!$B$9,(($F46/'Task 2 - Asset lvl analysis'!$C$9)*'Task 2 - Asset lvl analysis'!$L$9),$E46='Task 2 - Asset lvl analysis'!$B$10,(($F46/'Task 2 - Asset lvl analysis'!$C$10)*'Task 2 - Asset lvl analysis'!$L$10))</f>
        <v>0</v>
      </c>
      <c r="P46" s="125" cm="1">
        <f t="array" ref="P46">_xlfn.IFS($E46='Task 2 - Asset lvl analysis'!$B$8,(($F46/'Task 2 - Asset lvl analysis'!$C$8)*'Task 2 - Asset lvl analysis'!$M$8),$E46='Task 2 - Asset lvl analysis'!$B$9,(($F46/'Task 2 - Asset lvl analysis'!$C$9)*'Task 2 - Asset lvl analysis'!$M$9),$E46='Task 2 - Asset lvl analysis'!$B$10,(($F46/'Task 2 - Asset lvl analysis'!$C$10)*'Task 2 - Asset lvl analysis'!$M$10))</f>
        <v>5.1450970245795604</v>
      </c>
      <c r="Q46" s="125" cm="1">
        <f t="array" ref="Q46">_xlfn.IFS($E46='Task 2 - Asset lvl analysis'!$B$8,(($F46/'Task 2 - Asset lvl analysis'!$C$8)*'Task 2 - Asset lvl analysis'!$N$8),$E46='Task 2 - Asset lvl analysis'!$B$9,(($F46/'Task 2 - Asset lvl analysis'!$C$9)*'Task 2 - Asset lvl analysis'!$N$9),$E46='Task 2 - Asset lvl analysis'!$B$10,(($F46/'Task 2 - Asset lvl analysis'!$C$10)*'Task 2 - Asset lvl analysis'!$N$10))</f>
        <v>0</v>
      </c>
      <c r="R46" s="125" cm="1">
        <f t="array" ref="R46">_xlfn.IFS($E46='Task 2 - Asset lvl analysis'!$B$8,(($F46/'Task 2 - Asset lvl analysis'!$C$8)*'Task 2 - Asset lvl analysis'!$O$8),$E46='Task 2 - Asset lvl analysis'!$B$9,(($F46/'Task 2 - Asset lvl analysis'!$C$9)*'Task 2 - Asset lvl analysis'!$O$9),$E46='Task 2 - Asset lvl analysis'!$B$10,(($F46/'Task 2 - Asset lvl analysis'!$C$10)*'Task 2 - Asset lvl analysis'!$O$10))</f>
        <v>1831.5718564036222</v>
      </c>
      <c r="S46" s="125" cm="1">
        <f t="array" ref="S46">_xlfn.IFS($E46='Task 2 - Asset lvl analysis'!$B$8,(($F46/'Task 2 - Asset lvl analysis'!$C$8)*'Task 2 - Asset lvl analysis'!$P$8),$E46='Task 2 - Asset lvl analysis'!$B$9,(($F46/'Task 2 - Asset lvl analysis'!$C$9)*'Task 2 - Asset lvl analysis'!$P$9),$E46='Task 2 - Asset lvl analysis'!$B$10,(($F46/'Task 2 - Asset lvl analysis'!$C$10)*'Task 2 - Asset lvl analysis'!$P$10))</f>
        <v>0</v>
      </c>
      <c r="T46" s="125" cm="1">
        <f t="array" ref="T46">_xlfn.IFS($E46='Task 2 - Asset lvl analysis'!$B$8,(($F46/'Task 2 - Asset lvl analysis'!$C$8)*'Task 2 - Asset lvl analysis'!$Q$8),$E46='Task 2 - Asset lvl analysis'!$B$9,(($F46/'Task 2 - Asset lvl analysis'!$C$9)*'Task 2 - Asset lvl analysis'!$Q$9),$E46='Task 2 - Asset lvl analysis'!$B$10,(($F46/'Task 2 - Asset lvl analysis'!$C$10)*'Task 2 - Asset lvl analysis'!$Q$10))</f>
        <v>3.0353169469598962</v>
      </c>
      <c r="U46" s="125" cm="1">
        <f t="array" ref="U46">_xlfn.IFS($E46='Task 2 - Asset lvl analysis'!$B$8,(($F46/'Task 2 - Asset lvl analysis'!$C$8)*'Task 2 - Asset lvl analysis'!$R$8),$E46='Task 2 - Asset lvl analysis'!$B$9,(($F46/'Task 2 - Asset lvl analysis'!$C$9)*'Task 2 - Asset lvl analysis'!$R$9),$E46='Task 2 - Asset lvl analysis'!$B$10,(($F46/'Task 2 - Asset lvl analysis'!$C$10)*'Task 2 - Asset lvl analysis'!$R$10))</f>
        <v>0</v>
      </c>
      <c r="V46" s="125" cm="1">
        <f t="array" ref="V46">_xlfn.IFS($E46='Task 2 - Asset lvl analysis'!$B$8,(($F46/'Task 2 - Asset lvl analysis'!$C$8)*'Task 2 - Asset lvl analysis'!$S$8),$E46='Task 2 - Asset lvl analysis'!$B$9,(($F46/'Task 2 - Asset lvl analysis'!$C$9)*'Task 2 - Asset lvl analysis'!$S$9),$E46='Task 2 - Asset lvl analysis'!$B$10,(($F46/'Task 2 - Asset lvl analysis'!$C$10)*'Task 2 - Asset lvl analysis'!$S$10))</f>
        <v>1.1020439844760672</v>
      </c>
      <c r="W46" s="125" cm="1">
        <f t="array" ref="W46">_xlfn.IFS($E46='Task 2 - Asset lvl analysis'!$B$8,(($F46/'Task 2 - Asset lvl analysis'!$C$8)*'Task 2 - Asset lvl analysis'!$T$8),$E46='Task 2 - Asset lvl analysis'!$B$9,(($F46/'Task 2 - Asset lvl analysis'!$C$9)*'Task 2 - Asset lvl analysis'!$T$9),$E46='Task 2 - Asset lvl analysis'!$B$10,(($F46/'Task 2 - Asset lvl analysis'!$C$10)*'Task 2 - Asset lvl analysis'!$T$10))</f>
        <v>0</v>
      </c>
      <c r="X46" s="219">
        <f t="shared" si="0"/>
        <v>1867.9607891332471</v>
      </c>
    </row>
    <row r="47" spans="1:24" ht="32.5" customHeight="1" x14ac:dyDescent="0.35">
      <c r="A47" s="18"/>
      <c r="B47" s="218" t="s">
        <v>131</v>
      </c>
      <c r="C47" s="213" t="s">
        <v>114</v>
      </c>
      <c r="D47" s="119" t="s">
        <v>278</v>
      </c>
      <c r="E47" s="124" t="s">
        <v>29</v>
      </c>
      <c r="F47" s="552">
        <f>_xlfn.XLOOKUP(B47,'Structure dimensions'!$C$6:$C$49,'Structure dimensions'!$L$6:$L$49)</f>
        <v>133.25</v>
      </c>
      <c r="G47" s="127" cm="1">
        <f t="array" ref="G47">_xlfn.IFS(E47='Task 2 - Asset lvl analysis'!$B$8,((F47/'Task 2 - Asset lvl analysis'!$C$8)*'Task 2 - Asset lvl analysis'!$D$8),E47='Task 2 - Asset lvl analysis'!$B$9,((F47/'Task 2 - Asset lvl analysis'!$C$9)*'Task 2 - Asset lvl analysis'!$D$9),E47='Task 2 - Asset lvl analysis'!$B$10,((F47/'Task 2 - Asset lvl analysis'!$C$10)*'Task 2 - Asset lvl analysis'!$D$10))</f>
        <v>0</v>
      </c>
      <c r="H47" s="125" cm="1">
        <f t="array" ref="H47">_xlfn.IFS(E47='Task 2 - Asset lvl analysis'!$B$8,((F47/'Task 2 - Asset lvl analysis'!$C$8)*'Task 2 - Asset lvl analysis'!$E$8),E47='Task 2 - Asset lvl analysis'!$B$9,((F47/'Task 2 - Asset lvl analysis'!$C$9)*'Task 2 - Asset lvl analysis'!$E$9),E47='Task 2 - Asset lvl analysis'!$B$10,((F47/'Task 2 - Asset lvl analysis'!$C$10)*'Task 2 - Asset lvl analysis'!$E$10))</f>
        <v>1.6761002587322125</v>
      </c>
      <c r="I47" s="125" cm="1">
        <f t="array" ref="I47">_xlfn.IFS(E47='Task 2 - Asset lvl analysis'!$B$8,((F47/'Task 2 - Asset lvl analysis'!$C$8)*'Task 2 - Asset lvl analysis'!$F$8),E47='Task 2 - Asset lvl analysis'!$B$9,((F47/'Task 2 - Asset lvl analysis'!$C$9)*'Task 2 - Asset lvl analysis'!$F$9),E47='Task 2 - Asset lvl analysis'!$B$10,((F47/'Task 2 - Asset lvl analysis'!$C$10)*'Task 2 - Asset lvl analysis'!$F$10))</f>
        <v>4.7526856403622251</v>
      </c>
      <c r="J47" s="125" cm="1">
        <f t="array" ref="J47">_xlfn.IFS(E47='Task 2 - Asset lvl analysis'!$B$8,((F47/'Task 2 - Asset lvl analysis'!$C$8)*'Task 2 - Asset lvl analysis'!$G$8),E47='Task 2 - Asset lvl analysis'!$B$9,((F47/'Task 2 - Asset lvl analysis'!$C$9)*'Task 2 - Asset lvl analysis'!$G$9),E47='Task 2 - Asset lvl analysis'!$B$10,((F47/'Task 2 - Asset lvl analysis'!$C$10)*'Task 2 - Asset lvl analysis'!$G$10))</f>
        <v>5.0178234152651999</v>
      </c>
      <c r="K47" s="125" cm="1">
        <f t="array" ref="K47">_xlfn.IFS($E47='Task 2 - Asset lvl analysis'!$B$8,(($F47/'Task 2 - Asset lvl analysis'!$C$8)*'Task 2 - Asset lvl analysis'!$H$8),$E47='Task 2 - Asset lvl analysis'!$B$9,((F47/'Task 2 - Asset lvl analysis'!$C$9)*'Task 2 - Asset lvl analysis'!$H$9),$E47='Task 2 - Asset lvl analysis'!$B$10,(($F47/'Task 2 - Asset lvl analysis'!$C$10)*'Task 2 - Asset lvl analysis'!$H$10))</f>
        <v>0</v>
      </c>
      <c r="L47" s="125" cm="1">
        <f t="array" ref="L47">_xlfn.IFS($E47='Task 2 - Asset lvl analysis'!$B$8,(($F47/'Task 2 - Asset lvl analysis'!$C$8)*'Task 2 - Asset lvl analysis'!$I$8),$E47='Task 2 - Asset lvl analysis'!$B$9,(($F47/'Task 2 - Asset lvl analysis'!$C$9)*'Task 2 - Asset lvl analysis'!$I$9),$E47='Task 2 - Asset lvl analysis'!$B$10,(($F47/'Task 2 - Asset lvl analysis'!$C$10)*'Task 2 - Asset lvl analysis'!$I$10))</f>
        <v>4.2413971539456655E-2</v>
      </c>
      <c r="M47" s="125" cm="1">
        <f t="array" ref="M47">_xlfn.IFS($E47='Task 2 - Asset lvl analysis'!$B$8,(($F47/'Task 2 - Asset lvl analysis'!$C$8)*'Task 2 - Asset lvl analysis'!$J$8),$E47='Task 2 - Asset lvl analysis'!$B$9,(($F47/'Task 2 - Asset lvl analysis'!$C$9)*'Task 2 - Asset lvl analysis'!$J$9),$E47='Task 2 - Asset lvl analysis'!$B$10,(($F47/'Task 2 - Asset lvl analysis'!$C$10)*'Task 2 - Asset lvl analysis'!$J$10))</f>
        <v>0.25711578266494178</v>
      </c>
      <c r="N47" s="125" cm="1">
        <f t="array" ref="N47">_xlfn.IFS($E47='Task 2 - Asset lvl analysis'!$B$8,(($F47/'Task 2 - Asset lvl analysis'!$C$8)*'Task 2 - Asset lvl analysis'!$K$8),$E47='Task 2 - Asset lvl analysis'!$B$9,(($F47/'Task 2 - Asset lvl analysis'!$C$9)*'Task 2 - Asset lvl analysis'!$K$9),$E47='Task 2 - Asset lvl analysis'!$B$10,(($F47/'Task 2 - Asset lvl analysis'!$C$10)*'Task 2 - Asset lvl analysis'!$K$10))</f>
        <v>0</v>
      </c>
      <c r="O47" s="125" cm="1">
        <f t="array" ref="O47">_xlfn.IFS($E47='Task 2 - Asset lvl analysis'!$B$8,(($F47/'Task 2 - Asset lvl analysis'!$C$8)*'Task 2 - Asset lvl analysis'!$L$8),$E47='Task 2 - Asset lvl analysis'!$B$9,(($F47/'Task 2 - Asset lvl analysis'!$C$9)*'Task 2 - Asset lvl analysis'!$L$9),$E47='Task 2 - Asset lvl analysis'!$B$10,(($F47/'Task 2 - Asset lvl analysis'!$C$10)*'Task 2 - Asset lvl analysis'!$L$10))</f>
        <v>0</v>
      </c>
      <c r="P47" s="125" cm="1">
        <f t="array" ref="P47">_xlfn.IFS($E47='Task 2 - Asset lvl analysis'!$B$8,(($F47/'Task 2 - Asset lvl analysis'!$C$8)*'Task 2 - Asset lvl analysis'!$M$8),$E47='Task 2 - Asset lvl analysis'!$B$9,(($F47/'Task 2 - Asset lvl analysis'!$C$9)*'Task 2 - Asset lvl analysis'!$M$9),$E47='Task 2 - Asset lvl analysis'!$B$10,(($F47/'Task 2 - Asset lvl analysis'!$C$10)*'Task 2 - Asset lvl analysis'!$M$10))</f>
        <v>2.229542043984476</v>
      </c>
      <c r="Q47" s="125" cm="1">
        <f t="array" ref="Q47">_xlfn.IFS($E47='Task 2 - Asset lvl analysis'!$B$8,(($F47/'Task 2 - Asset lvl analysis'!$C$8)*'Task 2 - Asset lvl analysis'!$N$8),$E47='Task 2 - Asset lvl analysis'!$B$9,(($F47/'Task 2 - Asset lvl analysis'!$C$9)*'Task 2 - Asset lvl analysis'!$N$9),$E47='Task 2 - Asset lvl analysis'!$B$10,(($F47/'Task 2 - Asset lvl analysis'!$C$10)*'Task 2 - Asset lvl analysis'!$N$10))</f>
        <v>0</v>
      </c>
      <c r="R47" s="125" cm="1">
        <f t="array" ref="R47">_xlfn.IFS($E47='Task 2 - Asset lvl analysis'!$B$8,(($F47/'Task 2 - Asset lvl analysis'!$C$8)*'Task 2 - Asset lvl analysis'!$O$8),$E47='Task 2 - Asset lvl analysis'!$B$9,(($F47/'Task 2 - Asset lvl analysis'!$C$9)*'Task 2 - Asset lvl analysis'!$O$9),$E47='Task 2 - Asset lvl analysis'!$B$10,(($F47/'Task 2 - Asset lvl analysis'!$C$10)*'Task 2 - Asset lvl analysis'!$O$10))</f>
        <v>793.68113777490294</v>
      </c>
      <c r="S47" s="125" cm="1">
        <f t="array" ref="S47">_xlfn.IFS($E47='Task 2 - Asset lvl analysis'!$B$8,(($F47/'Task 2 - Asset lvl analysis'!$C$8)*'Task 2 - Asset lvl analysis'!$P$8),$E47='Task 2 - Asset lvl analysis'!$B$9,(($F47/'Task 2 - Asset lvl analysis'!$C$9)*'Task 2 - Asset lvl analysis'!$P$9),$E47='Task 2 - Asset lvl analysis'!$B$10,(($F47/'Task 2 - Asset lvl analysis'!$C$10)*'Task 2 - Asset lvl analysis'!$P$10))</f>
        <v>0</v>
      </c>
      <c r="T47" s="125" cm="1">
        <f t="array" ref="T47">_xlfn.IFS($E47='Task 2 - Asset lvl analysis'!$B$8,(($F47/'Task 2 - Asset lvl analysis'!$C$8)*'Task 2 - Asset lvl analysis'!$Q$8),$E47='Task 2 - Asset lvl analysis'!$B$9,(($F47/'Task 2 - Asset lvl analysis'!$C$9)*'Task 2 - Asset lvl analysis'!$Q$9),$E47='Task 2 - Asset lvl analysis'!$B$10,(($F47/'Task 2 - Asset lvl analysis'!$C$10)*'Task 2 - Asset lvl analysis'!$Q$10))</f>
        <v>1.3153040103492883</v>
      </c>
      <c r="U47" s="125" cm="1">
        <f t="array" ref="U47">_xlfn.IFS($E47='Task 2 - Asset lvl analysis'!$B$8,(($F47/'Task 2 - Asset lvl analysis'!$C$8)*'Task 2 - Asset lvl analysis'!$R$8),$E47='Task 2 - Asset lvl analysis'!$B$9,(($F47/'Task 2 - Asset lvl analysis'!$C$9)*'Task 2 - Asset lvl analysis'!$R$9),$E47='Task 2 - Asset lvl analysis'!$B$10,(($F47/'Task 2 - Asset lvl analysis'!$C$10)*'Task 2 - Asset lvl analysis'!$R$10))</f>
        <v>0</v>
      </c>
      <c r="V47" s="125" cm="1">
        <f t="array" ref="V47">_xlfn.IFS($E47='Task 2 - Asset lvl analysis'!$B$8,(($F47/'Task 2 - Asset lvl analysis'!$C$8)*'Task 2 - Asset lvl analysis'!$S$8),$E47='Task 2 - Asset lvl analysis'!$B$9,(($F47/'Task 2 - Asset lvl analysis'!$C$9)*'Task 2 - Asset lvl analysis'!$S$9),$E47='Task 2 - Asset lvl analysis'!$B$10,(($F47/'Task 2 - Asset lvl analysis'!$C$10)*'Task 2 - Asset lvl analysis'!$S$10))</f>
        <v>0.47755239327296245</v>
      </c>
      <c r="W47" s="125" cm="1">
        <f t="array" ref="W47">_xlfn.IFS($E47='Task 2 - Asset lvl analysis'!$B$8,(($F47/'Task 2 - Asset lvl analysis'!$C$8)*'Task 2 - Asset lvl analysis'!$T$8),$E47='Task 2 - Asset lvl analysis'!$B$9,(($F47/'Task 2 - Asset lvl analysis'!$C$9)*'Task 2 - Asset lvl analysis'!$T$9),$E47='Task 2 - Asset lvl analysis'!$B$10,(($F47/'Task 2 - Asset lvl analysis'!$C$10)*'Task 2 - Asset lvl analysis'!$T$10))</f>
        <v>0</v>
      </c>
      <c r="X47" s="219">
        <f t="shared" si="0"/>
        <v>809.44967529107373</v>
      </c>
    </row>
    <row r="48" spans="1:24" ht="32.5" customHeight="1" x14ac:dyDescent="0.35">
      <c r="A48" s="18"/>
      <c r="B48" s="218" t="s">
        <v>294</v>
      </c>
      <c r="C48" s="213" t="s">
        <v>56</v>
      </c>
      <c r="D48" s="119" t="s">
        <v>277</v>
      </c>
      <c r="E48" s="124" t="s">
        <v>24</v>
      </c>
      <c r="F48" s="552">
        <f>_xlfn.XLOOKUP(B48,'Structure dimensions'!$C$6:$C$49,'Structure dimensions'!$L$6:$L$49)</f>
        <v>75.210000000000008</v>
      </c>
      <c r="G48" s="120">
        <f>SUMIF(PUP!$C$76:$C$91,'Task 2 - Asset lvl analysis'!G14,PUP!$I$76:$I$91)</f>
        <v>0.36899999999999999</v>
      </c>
      <c r="H48" s="120">
        <f>SUMIF(PUP!$C$76:$C$91,'Task 2 - Asset lvl analysis'!H14,PUP!$I$76:$I$91)</f>
        <v>0</v>
      </c>
      <c r="I48" s="120">
        <f>SUMIF(PUP!$C$76:$C$91,'Task 2 - Asset lvl analysis'!I14,PUP!$I$76:$I$91)</f>
        <v>12.0999</v>
      </c>
      <c r="J48" s="120">
        <f>SUMIF(PUP!$C$76:$C$91,'Task 2 - Asset lvl analysis'!J14,PUP!$I$76:$I$91)</f>
        <v>4.7045000000000003</v>
      </c>
      <c r="K48" s="120">
        <f>SUMIF(PUP!$C$76:$C$91,'Task 2 - Asset lvl analysis'!K14,PUP!$I$76:$I$91)</f>
        <v>0</v>
      </c>
      <c r="L48" s="120">
        <f>SUMIF(PUP!$C$76:$C$91,'Task 2 - Asset lvl analysis'!L14,PUP!$I$76:$I$91)</f>
        <v>8.4900000000000003E-2</v>
      </c>
      <c r="M48" s="120">
        <f>SUMIF(PUP!$C$76:$C$91,'Task 2 - Asset lvl analysis'!M14,PUP!$I$76:$I$91)</f>
        <v>0.2127</v>
      </c>
      <c r="N48" s="120">
        <f>SUMIF(PUP!$C$76:$C$91,'Task 2 - Asset lvl analysis'!N14,PUP!$I$76:$I$91)</f>
        <v>0</v>
      </c>
      <c r="O48" s="120">
        <f>SUMIF(PUP!$C$76:$C$91,'Task 2 - Asset lvl analysis'!O14,PUP!$I$76:$I$91)</f>
        <v>0</v>
      </c>
      <c r="P48" s="120">
        <f>SUMIF(PUP!$C$76:$C$91,'Task 2 - Asset lvl analysis'!P14,PUP!$I$76:$I$91)</f>
        <v>0</v>
      </c>
      <c r="Q48" s="120">
        <f>SUMIF(PUP!$C$76:$C$91,'Task 2 - Asset lvl analysis'!Q14,PUP!$I$76:$I$91)</f>
        <v>0</v>
      </c>
      <c r="R48" s="120">
        <f>SUMIF(PUP!$C$76:$C$91,'Task 2 - Asset lvl analysis'!R14,PUP!$I$76:$I$91)</f>
        <v>225.84430000000003</v>
      </c>
      <c r="S48" s="120">
        <f>SUMIF(PUP!$C$76:$C$91,'Task 2 - Asset lvl analysis'!S14,PUP!$I$76:$I$91)</f>
        <v>0</v>
      </c>
      <c r="T48" s="120">
        <f>SUMIF(PUP!$C$76:$C$91,'Task 2 - Asset lvl analysis'!T14,PUP!$I$76:$I$91)</f>
        <v>0</v>
      </c>
      <c r="U48" s="120">
        <f>SUMIF(PUP!$C$76:$C$91,'Task 2 - Asset lvl analysis'!U14,PUP!$I$76:$I$91)</f>
        <v>0</v>
      </c>
      <c r="V48" s="120">
        <f>SUMIF(PUP!$C$76:$C$91,'Task 2 - Asset lvl analysis'!V14,PUP!$I$76:$I$91)</f>
        <v>0.79800000000000004</v>
      </c>
      <c r="W48" s="120">
        <f>SUMIF(PUP!$C$76:$C$91,'Task 2 - Asset lvl analysis'!W14,PUP!$I$76:$I$91)</f>
        <v>0</v>
      </c>
      <c r="X48" s="219">
        <f t="shared" si="0"/>
        <v>244.11330000000004</v>
      </c>
    </row>
    <row r="49" spans="1:24" ht="32.5" customHeight="1" x14ac:dyDescent="0.35">
      <c r="A49" s="18"/>
      <c r="B49" s="218" t="s">
        <v>295</v>
      </c>
      <c r="C49" s="213" t="s">
        <v>47</v>
      </c>
      <c r="D49" s="119" t="s">
        <v>277</v>
      </c>
      <c r="E49" s="124" t="s">
        <v>18</v>
      </c>
      <c r="F49" s="552">
        <f>_xlfn.XLOOKUP(B49,'Structure dimensions'!$C$6:$C$49,'Structure dimensions'!$L$6:$L$49)</f>
        <v>291.09999999999997</v>
      </c>
      <c r="G49" s="120">
        <f>SUMIF(CUB!$C$57:$C$77,'Task 2 - Asset lvl analysis'!G14,CUB!$I$57:$I$77)</f>
        <v>0</v>
      </c>
      <c r="H49" s="120">
        <f>SUMIF(CUB!$C$57:$C$77,'Task 2 - Asset lvl analysis'!H14,CUB!$I$57:$I$77)</f>
        <v>3.0145</v>
      </c>
      <c r="I49" s="120">
        <f>SUMIF(CUB!$C$57:$C$77,'Task 2 - Asset lvl analysis'!I14,CUB!$I$57:$I$77)</f>
        <v>20.097000000000001</v>
      </c>
      <c r="J49" s="120">
        <f>SUMIF(CUB!$C$57:$C$77,'Task 2 - Asset lvl analysis'!J14,CUB!$I$57:$I$77)</f>
        <v>9.9817999999999998</v>
      </c>
      <c r="K49" s="120">
        <f>SUMIF(CUB!$C$57:$C$77,'Task 2 - Asset lvl analysis'!K14,CUB!$I$57:$I$77)</f>
        <v>0</v>
      </c>
      <c r="L49" s="120">
        <f>SUMIF(CUB!$C$57:$C$77,'Task 2 - Asset lvl analysis'!L14,CUB!$I$57:$I$77)</f>
        <v>0.1197</v>
      </c>
      <c r="M49" s="120">
        <f>SUMIF(CUB!$C$57:$C$77,'Task 2 - Asset lvl analysis'!M14,CUB!$I$57:$I$77)</f>
        <v>0.5978</v>
      </c>
      <c r="N49" s="120">
        <f>SUMIF(CUB!$C$57:$C$77,'Task 2 - Asset lvl analysis'!N14,CUB!$I$57:$I$77)</f>
        <v>0</v>
      </c>
      <c r="O49" s="120">
        <f>SUMIF(CUB!$C$57:$C$77,'Task 2 - Asset lvl analysis'!O14,CUB!$I$57:$I$77)</f>
        <v>0</v>
      </c>
      <c r="P49" s="120">
        <f>SUMIF(CUB!$C$57:$C$77,'Task 2 - Asset lvl analysis'!P14,CUB!$I$57:$I$77)</f>
        <v>6.6285999999999996</v>
      </c>
      <c r="Q49" s="120">
        <f>SUMIF(CUB!$C$57:$C$77,'Task 2 - Asset lvl analysis'!Q14,CUB!$I$57:$I$77)</f>
        <v>0</v>
      </c>
      <c r="R49" s="120">
        <f>SUMIF(CUB!$C$57:$C$77,'Task 2 - Asset lvl analysis'!R14,CUB!$I$57:$I$77)</f>
        <v>756.60990000000004</v>
      </c>
      <c r="S49" s="120">
        <f>SUMIF(CUB!$C$57:$C$77,'Task 2 - Asset lvl analysis'!S14,CUB!$I$57:$I$77)</f>
        <v>0</v>
      </c>
      <c r="T49" s="120">
        <f>SUMIF(CUB!$C$57:$C$77,'Task 2 - Asset lvl analysis'!T14,CUB!$I$57:$I$77)</f>
        <v>0</v>
      </c>
      <c r="U49" s="120">
        <f>SUMIF(CUB!$C$57:$C$77,'Task 2 - Asset lvl analysis'!U14,CUB!$I$57:$I$77)</f>
        <v>0</v>
      </c>
      <c r="V49" s="120">
        <f>SUMIF(CUB!$C$57:$C$77,'Task 2 - Asset lvl analysis'!V14,CUB!$I$57:$I$77)</f>
        <v>0.94300000000000006</v>
      </c>
      <c r="W49" s="120">
        <f>SUMIF(CUB!$C$57:$C$77,'Task 2 - Asset lvl analysis'!W14,CUB!$I$57:$I$77)</f>
        <v>0</v>
      </c>
      <c r="X49" s="219">
        <f t="shared" si="0"/>
        <v>797.9923</v>
      </c>
    </row>
    <row r="50" spans="1:24" ht="32.5" customHeight="1" x14ac:dyDescent="0.35">
      <c r="A50" s="18"/>
      <c r="B50" s="218" t="s">
        <v>296</v>
      </c>
      <c r="C50" s="213" t="s">
        <v>57</v>
      </c>
      <c r="D50" s="119" t="s">
        <v>277</v>
      </c>
      <c r="E50" s="124" t="s">
        <v>29</v>
      </c>
      <c r="F50" s="552">
        <f>_xlfn.XLOOKUP(B50,'Structure dimensions'!$C$6:$C$49,'Structure dimensions'!$L$6:$L$49)</f>
        <v>1250.5</v>
      </c>
      <c r="G50" s="120">
        <f>SUMIF(UB!$C$70:$C$92,'Task 2 - Asset lvl analysis'!G14,UB!$I$70:$I$92)</f>
        <v>0</v>
      </c>
      <c r="H50" s="120">
        <f>SUMIF(UB!$C$70:$C$92,'Task 2 - Asset lvl analysis'!H14,UB!$I$70:$I$92)</f>
        <v>9.5972000000000008</v>
      </c>
      <c r="I50" s="120">
        <f>SUMIF(UB!$C$70:$C$92,'Task 2 - Asset lvl analysis'!I14,UB!$I$70:$I$92)</f>
        <v>21.5654</v>
      </c>
      <c r="J50" s="120">
        <f>SUMIF(UB!$C$70:$C$92,'Task 2 - Asset lvl analysis'!J14,UB!$I$70:$I$92)</f>
        <v>16.6021</v>
      </c>
      <c r="K50" s="120">
        <f>SUMIF(UB!$C$70:$C$92,'Task 2 - Asset lvl analysis'!K14,UB!$I$70:$I$92)</f>
        <v>0</v>
      </c>
      <c r="L50" s="120">
        <f>SUMIF(UB!$C$70:$C$92,'Task 2 - Asset lvl analysis'!L14,UB!$I$70:$I$92)</f>
        <v>0.17069999999999999</v>
      </c>
      <c r="M50" s="120">
        <f>SUMIF(UB!$C$70:$C$92,'Task 2 - Asset lvl analysis'!M14,UB!$I$70:$I$92)</f>
        <v>1.3386</v>
      </c>
      <c r="N50" s="120">
        <f>SUMIF(UB!$C$70:$C$92,'Task 2 - Asset lvl analysis'!N14,UB!$I$70:$I$92)</f>
        <v>0</v>
      </c>
      <c r="O50" s="120">
        <f>SUMIF(UB!$C$70:$C$92,'Task 2 - Asset lvl analysis'!O14,UB!$I$70:$I$92)</f>
        <v>0</v>
      </c>
      <c r="P50" s="120">
        <f>SUMIF(UB!$C$70:$C$92,'Task 2 - Asset lvl analysis'!P14,UB!$I$70:$I$92)</f>
        <v>15.0595</v>
      </c>
      <c r="Q50" s="120">
        <f>SUMIF(UB!$C$70:$C$92,'Task 2 - Asset lvl analysis'!Q14,UB!$I$70:$I$92)</f>
        <v>0</v>
      </c>
      <c r="R50" s="120">
        <f>SUMIF(UB!$C$70:$C$92,'Task 2 - Asset lvl analysis'!R14,UB!$I$70:$I$92)</f>
        <v>4604.4542000000001</v>
      </c>
      <c r="S50" s="120">
        <f>SUMIF(UB!$C$70:$C$92,'Task 2 - Asset lvl analysis'!S14,UB!$I$70:$I$92)</f>
        <v>0</v>
      </c>
      <c r="T50" s="120">
        <f>SUMIF(UB!$C$70:$C$92,'Task 2 - Asset lvl analysis'!T14,UB!$I$70:$I$92)</f>
        <v>0</v>
      </c>
      <c r="U50" s="120">
        <f>SUMIF(UB!$C$70:$C$92,'Task 2 - Asset lvl analysis'!U14,UB!$I$70:$I$92)</f>
        <v>0</v>
      </c>
      <c r="V50" s="120">
        <f>SUMIF(UB!$C$70:$C$92,'Task 2 - Asset lvl analysis'!V14,UB!$I$70:$I$92)</f>
        <v>1.5291000000000001</v>
      </c>
      <c r="W50" s="120">
        <f>SUMIF(UB!$C$70:$C$92,'Task 2 - Asset lvl analysis'!W14,UB!$I$70:$I$92)</f>
        <v>0</v>
      </c>
      <c r="X50" s="219">
        <f t="shared" si="0"/>
        <v>4670.3167999999996</v>
      </c>
    </row>
    <row r="51" spans="1:24" ht="32.5" customHeight="1" x14ac:dyDescent="0.35">
      <c r="A51" s="18"/>
      <c r="B51" s="218" t="s">
        <v>132</v>
      </c>
      <c r="C51" s="213" t="s">
        <v>115</v>
      </c>
      <c r="D51" s="119" t="s">
        <v>278</v>
      </c>
      <c r="E51" s="124" t="s">
        <v>29</v>
      </c>
      <c r="F51" s="552">
        <f>_xlfn.XLOOKUP(B51,'Structure dimensions'!$C$6:$C$49,'Structure dimensions'!$L$6:$L$49)</f>
        <v>221.4</v>
      </c>
      <c r="G51" s="127" cm="1">
        <f t="array" ref="G51">_xlfn.IFS(E51='Task 2 - Asset lvl analysis'!$B$8,((F51/'Task 2 - Asset lvl analysis'!$C$8)*'Task 2 - Asset lvl analysis'!$D$8),E51='Task 2 - Asset lvl analysis'!$B$9,((F51/'Task 2 - Asset lvl analysis'!$C$9)*'Task 2 - Asset lvl analysis'!$D$9),E51='Task 2 - Asset lvl analysis'!$B$10,((F51/'Task 2 - Asset lvl analysis'!$C$10)*'Task 2 - Asset lvl analysis'!$D$10))</f>
        <v>0</v>
      </c>
      <c r="H51" s="125" cm="1">
        <f t="array" ref="H51">_xlfn.IFS(E51='Task 2 - Asset lvl analysis'!$B$8,((F51/'Task 2 - Asset lvl analysis'!$C$8)*'Task 2 - Asset lvl analysis'!$E$8),E51='Task 2 - Asset lvl analysis'!$B$9,((F51/'Task 2 - Asset lvl analysis'!$C$9)*'Task 2 - Asset lvl analysis'!$E$9),E51='Task 2 - Asset lvl analysis'!$B$10,((F51/'Task 2 - Asset lvl analysis'!$C$10)*'Task 2 - Asset lvl analysis'!$E$10))</f>
        <v>2.7849050452781379</v>
      </c>
      <c r="I51" s="125" cm="1">
        <f t="array" ref="I51">_xlfn.IFS(E51='Task 2 - Asset lvl analysis'!$B$8,((F51/'Task 2 - Asset lvl analysis'!$C$8)*'Task 2 - Asset lvl analysis'!$F$8),E51='Task 2 - Asset lvl analysis'!$B$9,((F51/'Task 2 - Asset lvl analysis'!$C$9)*'Task 2 - Asset lvl analysis'!$F$9),E51='Task 2 - Asset lvl analysis'!$B$10,((F51/'Task 2 - Asset lvl analysis'!$C$10)*'Task 2 - Asset lvl analysis'!$F$10))</f>
        <v>7.8967699870633892</v>
      </c>
      <c r="J51" s="125" cm="1">
        <f t="array" ref="J51">_xlfn.IFS(E51='Task 2 - Asset lvl analysis'!$B$8,((F51/'Task 2 - Asset lvl analysis'!$C$8)*'Task 2 - Asset lvl analysis'!$G$8),E51='Task 2 - Asset lvl analysis'!$B$9,((F51/'Task 2 - Asset lvl analysis'!$C$9)*'Task 2 - Asset lvl analysis'!$G$9),E51='Task 2 - Asset lvl analysis'!$B$10,((F51/'Task 2 - Asset lvl analysis'!$C$10)*'Task 2 - Asset lvl analysis'!$G$10))</f>
        <v>8.3373065976714091</v>
      </c>
      <c r="K51" s="125" cm="1">
        <f t="array" ref="K51">_xlfn.IFS($E51='Task 2 - Asset lvl analysis'!$B$8,(($F51/'Task 2 - Asset lvl analysis'!$C$8)*'Task 2 - Asset lvl analysis'!$H$8),$E51='Task 2 - Asset lvl analysis'!$B$9,((F51/'Task 2 - Asset lvl analysis'!$C$9)*'Task 2 - Asset lvl analysis'!$H$9),$E51='Task 2 - Asset lvl analysis'!$B$10,(($F51/'Task 2 - Asset lvl analysis'!$C$10)*'Task 2 - Asset lvl analysis'!$H$10))</f>
        <v>0</v>
      </c>
      <c r="L51" s="125" cm="1">
        <f t="array" ref="L51">_xlfn.IFS($E51='Task 2 - Asset lvl analysis'!$B$8,(($F51/'Task 2 - Asset lvl analysis'!$C$8)*'Task 2 - Asset lvl analysis'!$I$8),$E51='Task 2 - Asset lvl analysis'!$B$9,(($F51/'Task 2 - Asset lvl analysis'!$C$9)*'Task 2 - Asset lvl analysis'!$I$9),$E51='Task 2 - Asset lvl analysis'!$B$10,(($F51/'Task 2 - Asset lvl analysis'!$C$10)*'Task 2 - Asset lvl analysis'!$I$10))</f>
        <v>7.0472445019404917E-2</v>
      </c>
      <c r="M51" s="125" cm="1">
        <f t="array" ref="M51">_xlfn.IFS($E51='Task 2 - Asset lvl analysis'!$B$8,(($F51/'Task 2 - Asset lvl analysis'!$C$8)*'Task 2 - Asset lvl analysis'!$J$8),$E51='Task 2 - Asset lvl analysis'!$B$9,(($F51/'Task 2 - Asset lvl analysis'!$C$9)*'Task 2 - Asset lvl analysis'!$J$9),$E51='Task 2 - Asset lvl analysis'!$B$10,(($F51/'Task 2 - Asset lvl analysis'!$C$10)*'Task 2 - Asset lvl analysis'!$J$10))</f>
        <v>0.42720776196636484</v>
      </c>
      <c r="N51" s="125" cm="1">
        <f t="array" ref="N51">_xlfn.IFS($E51='Task 2 - Asset lvl analysis'!$B$8,(($F51/'Task 2 - Asset lvl analysis'!$C$8)*'Task 2 - Asset lvl analysis'!$K$8),$E51='Task 2 - Asset lvl analysis'!$B$9,(($F51/'Task 2 - Asset lvl analysis'!$C$9)*'Task 2 - Asset lvl analysis'!$K$9),$E51='Task 2 - Asset lvl analysis'!$B$10,(($F51/'Task 2 - Asset lvl analysis'!$C$10)*'Task 2 - Asset lvl analysis'!$K$10))</f>
        <v>0</v>
      </c>
      <c r="O51" s="125" cm="1">
        <f t="array" ref="O51">_xlfn.IFS($E51='Task 2 - Asset lvl analysis'!$B$8,(($F51/'Task 2 - Asset lvl analysis'!$C$8)*'Task 2 - Asset lvl analysis'!$L$8),$E51='Task 2 - Asset lvl analysis'!$B$9,(($F51/'Task 2 - Asset lvl analysis'!$C$9)*'Task 2 - Asset lvl analysis'!$L$9),$E51='Task 2 - Asset lvl analysis'!$B$10,(($F51/'Task 2 - Asset lvl analysis'!$C$10)*'Task 2 - Asset lvl analysis'!$L$10))</f>
        <v>0</v>
      </c>
      <c r="P51" s="125" cm="1">
        <f t="array" ref="P51">_xlfn.IFS($E51='Task 2 - Asset lvl analysis'!$B$8,(($F51/'Task 2 - Asset lvl analysis'!$C$8)*'Task 2 - Asset lvl analysis'!$M$8),$E51='Task 2 - Asset lvl analysis'!$B$9,(($F51/'Task 2 - Asset lvl analysis'!$C$9)*'Task 2 - Asset lvl analysis'!$M$9),$E51='Task 2 - Asset lvl analysis'!$B$10,(($F51/'Task 2 - Asset lvl analysis'!$C$10)*'Task 2 - Asset lvl analysis'!$M$10))</f>
        <v>3.704469857697283</v>
      </c>
      <c r="Q51" s="125" cm="1">
        <f t="array" ref="Q51">_xlfn.IFS($E51='Task 2 - Asset lvl analysis'!$B$8,(($F51/'Task 2 - Asset lvl analysis'!$C$8)*'Task 2 - Asset lvl analysis'!$N$8),$E51='Task 2 - Asset lvl analysis'!$B$9,(($F51/'Task 2 - Asset lvl analysis'!$C$9)*'Task 2 - Asset lvl analysis'!$N$9),$E51='Task 2 - Asset lvl analysis'!$B$10,(($F51/'Task 2 - Asset lvl analysis'!$C$10)*'Task 2 - Asset lvl analysis'!$N$10))</f>
        <v>0</v>
      </c>
      <c r="R51" s="125" cm="1">
        <f t="array" ref="R51">_xlfn.IFS($E51='Task 2 - Asset lvl analysis'!$B$8,(($F51/'Task 2 - Asset lvl analysis'!$C$8)*'Task 2 - Asset lvl analysis'!$O$8),$E51='Task 2 - Asset lvl analysis'!$B$9,(($F51/'Task 2 - Asset lvl analysis'!$C$9)*'Task 2 - Asset lvl analysis'!$O$9),$E51='Task 2 - Asset lvl analysis'!$B$10,(($F51/'Task 2 - Asset lvl analysis'!$C$10)*'Task 2 - Asset lvl analysis'!$O$10))</f>
        <v>1318.7317366106079</v>
      </c>
      <c r="S51" s="125" cm="1">
        <f t="array" ref="S51">_xlfn.IFS($E51='Task 2 - Asset lvl analysis'!$B$8,(($F51/'Task 2 - Asset lvl analysis'!$C$8)*'Task 2 - Asset lvl analysis'!$P$8),$E51='Task 2 - Asset lvl analysis'!$B$9,(($F51/'Task 2 - Asset lvl analysis'!$C$9)*'Task 2 - Asset lvl analysis'!$P$9),$E51='Task 2 - Asset lvl analysis'!$B$10,(($F51/'Task 2 - Asset lvl analysis'!$C$10)*'Task 2 - Asset lvl analysis'!$P$10))</f>
        <v>0</v>
      </c>
      <c r="T51" s="125" cm="1">
        <f t="array" ref="T51">_xlfn.IFS($E51='Task 2 - Asset lvl analysis'!$B$8,(($F51/'Task 2 - Asset lvl analysis'!$C$8)*'Task 2 - Asset lvl analysis'!$Q$8),$E51='Task 2 - Asset lvl analysis'!$B$9,(($F51/'Task 2 - Asset lvl analysis'!$C$9)*'Task 2 - Asset lvl analysis'!$Q$9),$E51='Task 2 - Asset lvl analysis'!$B$10,(($F51/'Task 2 - Asset lvl analysis'!$C$10)*'Task 2 - Asset lvl analysis'!$Q$10))</f>
        <v>2.1854282018111251</v>
      </c>
      <c r="U51" s="125" cm="1">
        <f t="array" ref="U51">_xlfn.IFS($E51='Task 2 - Asset lvl analysis'!$B$8,(($F51/'Task 2 - Asset lvl analysis'!$C$8)*'Task 2 - Asset lvl analysis'!$R$8),$E51='Task 2 - Asset lvl analysis'!$B$9,(($F51/'Task 2 - Asset lvl analysis'!$C$9)*'Task 2 - Asset lvl analysis'!$R$9),$E51='Task 2 - Asset lvl analysis'!$B$10,(($F51/'Task 2 - Asset lvl analysis'!$C$10)*'Task 2 - Asset lvl analysis'!$R$10))</f>
        <v>0</v>
      </c>
      <c r="V51" s="125" cm="1">
        <f t="array" ref="V51">_xlfn.IFS($E51='Task 2 - Asset lvl analysis'!$B$8,(($F51/'Task 2 - Asset lvl analysis'!$C$8)*'Task 2 - Asset lvl analysis'!$S$8),$E51='Task 2 - Asset lvl analysis'!$B$9,(($F51/'Task 2 - Asset lvl analysis'!$C$9)*'Task 2 - Asset lvl analysis'!$S$9),$E51='Task 2 - Asset lvl analysis'!$B$10,(($F51/'Task 2 - Asset lvl analysis'!$C$10)*'Task 2 - Asset lvl analysis'!$S$10))</f>
        <v>0.79347166882276843</v>
      </c>
      <c r="W51" s="125" cm="1">
        <f t="array" ref="W51">_xlfn.IFS($E51='Task 2 - Asset lvl analysis'!$B$8,(($F51/'Task 2 - Asset lvl analysis'!$C$8)*'Task 2 - Asset lvl analysis'!$T$8),$E51='Task 2 - Asset lvl analysis'!$B$9,(($F51/'Task 2 - Asset lvl analysis'!$C$9)*'Task 2 - Asset lvl analysis'!$T$9),$E51='Task 2 - Asset lvl analysis'!$B$10,(($F51/'Task 2 - Asset lvl analysis'!$C$10)*'Task 2 - Asset lvl analysis'!$T$10))</f>
        <v>0</v>
      </c>
      <c r="X51" s="219">
        <f t="shared" si="0"/>
        <v>1344.9317681759378</v>
      </c>
    </row>
    <row r="52" spans="1:24" ht="32.5" customHeight="1" x14ac:dyDescent="0.35">
      <c r="A52" s="18"/>
      <c r="B52" s="218" t="s">
        <v>297</v>
      </c>
      <c r="C52" s="213" t="s">
        <v>96</v>
      </c>
      <c r="D52" s="119" t="s">
        <v>277</v>
      </c>
      <c r="E52" s="124" t="s">
        <v>20</v>
      </c>
      <c r="F52" s="552">
        <f>_xlfn.XLOOKUP(B52,'Structure dimensions'!$C$6:$C$49,'Structure dimensions'!$L$6:$L$49)</f>
        <v>373.09999999999997</v>
      </c>
      <c r="G52" s="120">
        <f>SUMIF(JUB!$C$76:$C$98,'Task 2 - Asset lvl analysis'!G14,JUB!$I$76:$I$98)</f>
        <v>0</v>
      </c>
      <c r="H52" s="120">
        <f>SUMIF(JUB!$C$76:$C$98,'Task 2 - Asset lvl analysis'!H14,JUB!$I$76:$I$98)</f>
        <v>4.0602999999999998</v>
      </c>
      <c r="I52" s="120">
        <f>SUMIF(JUB!$C$76:$C$98,'Task 2 - Asset lvl analysis'!I14,JUB!$I$76:$I$98)</f>
        <v>18.365600000000001</v>
      </c>
      <c r="J52" s="120">
        <f>SUMIF(JUB!$C$76:$C$98,'Task 2 - Asset lvl analysis'!J14,JUB!$I$76:$I$98)</f>
        <v>20.366499999999998</v>
      </c>
      <c r="K52" s="120">
        <f>SUMIF(JUB!$C$76:$C$98,'Task 2 - Asset lvl analysis'!K14,JUB!$I$76:$I$98)</f>
        <v>0</v>
      </c>
      <c r="L52" s="120">
        <f>SUMIF(JUB!$C$76:$C$98,'Task 2 - Asset lvl analysis'!L14,JUB!$I$76:$I$98)</f>
        <v>0.1719</v>
      </c>
      <c r="M52" s="120">
        <f>SUMIF(JUB!$C$76:$C$98,'Task 2 - Asset lvl analysis'!M14,JUB!$I$76:$I$98)</f>
        <v>0.7329</v>
      </c>
      <c r="N52" s="120">
        <f>SUMIF(JUB!$C$76:$C$98,'Task 2 - Asset lvl analysis'!N14,JUB!$I$76:$I$98)</f>
        <v>0</v>
      </c>
      <c r="O52" s="120">
        <f>SUMIF(JUB!$C$76:$C$98,'Task 2 - Asset lvl analysis'!O14,JUB!$I$76:$I$98)</f>
        <v>0</v>
      </c>
      <c r="P52" s="120">
        <f>SUMIF(JUB!$C$76:$C$98,'Task 2 - Asset lvl analysis'!P14,JUB!$I$76:$I$98)</f>
        <v>4.3121999999999998</v>
      </c>
      <c r="Q52" s="120">
        <f>SUMIF(JUB!$C$76:$C$98,'Task 2 - Asset lvl analysis'!Q14,JUB!$I$76:$I$98)</f>
        <v>0</v>
      </c>
      <c r="R52" s="120">
        <f>SUMIF(JUB!$C$76:$C$98,'Task 2 - Asset lvl analysis'!R14,JUB!$I$76:$I$98)</f>
        <v>2324.7004000000002</v>
      </c>
      <c r="S52" s="120">
        <f>SUMIF(JUB!$C$76:$C$98,'Task 2 - Asset lvl analysis'!S14,JUB!$I$76:$I$98)</f>
        <v>0</v>
      </c>
      <c r="T52" s="120">
        <f>SUMIF(JUB!$C$76:$C$98,'Task 2 - Asset lvl analysis'!T14,JUB!$I$76:$I$98)</f>
        <v>0</v>
      </c>
      <c r="U52" s="120">
        <f>SUMIF(JUB!$C$76:$C$98,'Task 2 - Asset lvl analysis'!U14,JUB!$I$76:$I$98)</f>
        <v>0</v>
      </c>
      <c r="V52" s="120">
        <f>SUMIF(JUB!$C$76:$C$98,'Task 2 - Asset lvl analysis'!V14,JUB!$I$76:$I$98)</f>
        <v>0.98880000000000001</v>
      </c>
      <c r="W52" s="120">
        <f>SUMIF(JUB!$C$76:$C$98,'Task 2 - Asset lvl analysis'!W14,JUB!$I$76:$I$98)</f>
        <v>0</v>
      </c>
      <c r="X52" s="219">
        <f t="shared" si="0"/>
        <v>2373.6986000000002</v>
      </c>
    </row>
    <row r="53" spans="1:24" ht="32.5" customHeight="1" x14ac:dyDescent="0.35">
      <c r="A53" s="18"/>
      <c r="B53" s="218" t="s">
        <v>298</v>
      </c>
      <c r="C53" s="213" t="s">
        <v>97</v>
      </c>
      <c r="D53" s="119" t="s">
        <v>277</v>
      </c>
      <c r="E53" s="124" t="s">
        <v>20</v>
      </c>
      <c r="F53" s="552">
        <f>_xlfn.XLOOKUP(B53,'Structure dimensions'!$C$6:$C$49,'Structure dimensions'!$L$6:$L$49)</f>
        <v>366.95</v>
      </c>
      <c r="G53" s="120">
        <f>SUMIF(JUB!$C$100:$C$122,'Task 2 - Asset lvl analysis'!G14,JUB!$I$100:$I$122)</f>
        <v>0</v>
      </c>
      <c r="H53" s="120">
        <f>SUMIF(JUB!$C$100:$C$122,'Task 2 - Asset lvl analysis'!H14,JUB!$I$100:$I$122)</f>
        <v>3.9988000000000001</v>
      </c>
      <c r="I53" s="120">
        <f>SUMIF(JUB!$C$100:$C$122,'Task 2 - Asset lvl analysis'!I14,JUB!$I$100:$I$122)</f>
        <v>18.157799999999998</v>
      </c>
      <c r="J53" s="120">
        <f>SUMIF(JUB!$C$100:$C$122,'Task 2 - Asset lvl analysis'!J14,JUB!$I$100:$I$122)</f>
        <v>16.056999999999999</v>
      </c>
      <c r="K53" s="120">
        <f>SUMIF(JUB!$C$100:$C$122,'Task 2 - Asset lvl analysis'!K14,JUB!$I$100:$I$122)</f>
        <v>0</v>
      </c>
      <c r="L53" s="120">
        <f>SUMIF(JUB!$C$100:$C$122,'Task 2 - Asset lvl analysis'!L14,JUB!$I$100:$I$122)</f>
        <v>0.19420000000000001</v>
      </c>
      <c r="M53" s="120">
        <f>SUMIF(JUB!$C$100:$C$122,'Task 2 - Asset lvl analysis'!M14,JUB!$I$100:$I$122)</f>
        <v>0.83279999999999998</v>
      </c>
      <c r="N53" s="120">
        <f>SUMIF(JUB!$C$100:$C$122,'Task 2 - Asset lvl analysis'!N14,JUB!$I$100:$I$122)</f>
        <v>0</v>
      </c>
      <c r="O53" s="120">
        <f>SUMIF(JUB!$C$100:$C$122,'Task 2 - Asset lvl analysis'!O14,JUB!$I$100:$I$122)</f>
        <v>0</v>
      </c>
      <c r="P53" s="120">
        <f>SUMIF(JUB!$C$100:$C$122,'Task 2 - Asset lvl analysis'!P14,JUB!$I$100:$I$122)</f>
        <v>2.6551</v>
      </c>
      <c r="Q53" s="120">
        <f>SUMIF(JUB!$C$100:$C$122,'Task 2 - Asset lvl analysis'!Q14,JUB!$I$100:$I$122)</f>
        <v>0</v>
      </c>
      <c r="R53" s="120">
        <f>SUMIF(JUB!$C$100:$C$122,'Task 2 - Asset lvl analysis'!R14,JUB!$I$100:$I$122)</f>
        <v>2417.9304999999999</v>
      </c>
      <c r="S53" s="120">
        <f>SUMIF(JUB!$C$100:$C$122,'Task 2 - Asset lvl analysis'!S14,JUB!$I$100:$I$122)</f>
        <v>0</v>
      </c>
      <c r="T53" s="120">
        <f>SUMIF(JUB!$C$100:$C$122,'Task 2 - Asset lvl analysis'!T14,JUB!$I$100:$I$122)</f>
        <v>0</v>
      </c>
      <c r="U53" s="120">
        <f>SUMIF(JUB!$C$100:$C$122,'Task 2 - Asset lvl analysis'!U14,JUB!$I$100:$I$122)</f>
        <v>0</v>
      </c>
      <c r="V53" s="120">
        <f>SUMIF(JUB!$C$100:$C$122,'Task 2 - Asset lvl analysis'!V14,JUB!$I$100:$I$122)</f>
        <v>1.3131999999999999</v>
      </c>
      <c r="W53" s="120">
        <f>SUMIF(JUB!$C$100:$C$122,'Task 2 - Asset lvl analysis'!W14,JUB!$I$100:$I$122)</f>
        <v>0</v>
      </c>
      <c r="X53" s="219">
        <f t="shared" si="0"/>
        <v>2461.1394</v>
      </c>
    </row>
    <row r="54" spans="1:24" ht="32.5" customHeight="1" x14ac:dyDescent="0.35">
      <c r="A54" s="18"/>
      <c r="B54" s="218" t="s">
        <v>128</v>
      </c>
      <c r="C54" s="215" t="s">
        <v>58</v>
      </c>
      <c r="D54" s="119" t="s">
        <v>277</v>
      </c>
      <c r="E54" s="129" t="s">
        <v>18</v>
      </c>
      <c r="F54" s="552">
        <f>_xlfn.XLOOKUP(B54,'Structure dimensions'!$C$6:$C$49,'Structure dimensions'!$L$6:$L$49)</f>
        <v>118.86000000000001</v>
      </c>
      <c r="G54" s="120">
        <f>SUMIF(CUB!$C$79:$C$99,'Task 2 - Asset lvl analysis'!G14,CUB!$I$79:$I$99)</f>
        <v>0</v>
      </c>
      <c r="H54" s="120">
        <f>SUMIF(CUB!$C$79:$C$99,'Task 2 - Asset lvl analysis'!H14,CUB!$I$79:$I$99)</f>
        <v>3.1375000000000002</v>
      </c>
      <c r="I54" s="120">
        <f>SUMIF(CUB!$C$79:$C$99,'Task 2 - Asset lvl analysis'!I14,CUB!$I$79:$I$99)</f>
        <v>16.390099999999997</v>
      </c>
      <c r="J54" s="120">
        <f>SUMIF(CUB!$C$79:$C$99,'Task 2 - Asset lvl analysis'!J14,CUB!$I$79:$I$99)</f>
        <v>25.9834</v>
      </c>
      <c r="K54" s="120">
        <f>SUMIF(CUB!$C$79:$C$99,'Task 2 - Asset lvl analysis'!K14,CUB!$I$79:$I$99)</f>
        <v>0</v>
      </c>
      <c r="L54" s="120">
        <f>SUMIF(CUB!$C$79:$C$99,'Task 2 - Asset lvl analysis'!L14,CUB!$I$79:$I$99)</f>
        <v>0.36570000000000003</v>
      </c>
      <c r="M54" s="120">
        <f>SUMIF(CUB!$C$79:$C$99,'Task 2 - Asset lvl analysis'!M14,CUB!$I$79:$I$99)</f>
        <v>0.56430000000000002</v>
      </c>
      <c r="N54" s="120">
        <f>SUMIF(CUB!$C$79:$C$99,'Task 2 - Asset lvl analysis'!N14,CUB!$I$79:$I$99)</f>
        <v>0</v>
      </c>
      <c r="O54" s="120">
        <f>SUMIF(CUB!$C$79:$C$99,'Task 2 - Asset lvl analysis'!O14,CUB!$I$79:$I$99)</f>
        <v>0</v>
      </c>
      <c r="P54" s="120">
        <f>SUMIF(CUB!$C$79:$C$99,'Task 2 - Asset lvl analysis'!P14,CUB!$I$79:$I$99)</f>
        <v>7.1547999999999998</v>
      </c>
      <c r="Q54" s="120">
        <f>SUMIF(CUB!$C$79:$C$99,'Task 2 - Asset lvl analysis'!Q14,CUB!$I$79:$I$99)</f>
        <v>0</v>
      </c>
      <c r="R54" s="120">
        <f>SUMIF(CUB!$C$79:$C$99,'Task 2 - Asset lvl analysis'!R14,CUB!$I$79:$I$99)</f>
        <v>1307.5471000000002</v>
      </c>
      <c r="S54" s="120">
        <f>SUMIF(CUB!$C$79:$C$99,'Task 2 - Asset lvl analysis'!S14,CUB!$I$79:$I$99)</f>
        <v>0</v>
      </c>
      <c r="T54" s="120">
        <f>SUMIF(CUB!$C$79:$C$99,'Task 2 - Asset lvl analysis'!T14,CUB!$I$79:$I$99)</f>
        <v>0</v>
      </c>
      <c r="U54" s="120">
        <f>SUMIF(CUB!$C$79:$C$99,'Task 2 - Asset lvl analysis'!U14,CUB!$I$79:$I$99)</f>
        <v>0</v>
      </c>
      <c r="V54" s="120">
        <f>SUMIF(CUB!$C$79:$C$99,'Task 2 - Asset lvl analysis'!V14,CUB!$I$79:$I$99)</f>
        <v>0.73109999999999997</v>
      </c>
      <c r="W54" s="120">
        <f>SUMIF(CUB!$C$79:$C$99,'Task 2 - Asset lvl analysis'!W14,CUB!$I$79:$I$99)</f>
        <v>0</v>
      </c>
      <c r="X54" s="219">
        <f t="shared" si="0"/>
        <v>1361.8740000000003</v>
      </c>
    </row>
    <row r="55" spans="1:24" ht="32.5" customHeight="1" x14ac:dyDescent="0.35">
      <c r="A55" s="18"/>
      <c r="B55" s="218" t="s">
        <v>299</v>
      </c>
      <c r="C55" s="215" t="s">
        <v>59</v>
      </c>
      <c r="D55" s="119" t="s">
        <v>277</v>
      </c>
      <c r="E55" s="129" t="s">
        <v>29</v>
      </c>
      <c r="F55" s="552">
        <f>_xlfn.XLOOKUP(B55,'Structure dimensions'!$C$6:$C$49,'Structure dimensions'!$L$6:$L$49)</f>
        <v>166.04999999999998</v>
      </c>
      <c r="G55" s="120">
        <f>SUMIF(UB!$C$94:$C$113,'Task 2 - Asset lvl analysis'!G14,UB!$I$94:$I$113)</f>
        <v>0</v>
      </c>
      <c r="H55" s="120">
        <f>SUMIF(UB!$C$94:$C$113,'Task 2 - Asset lvl analysis'!H14,UB!$I$94:$I$113)</f>
        <v>2.0301999999999998</v>
      </c>
      <c r="I55" s="120">
        <f>SUMIF(UB!$C$94:$C$113,'Task 2 - Asset lvl analysis'!I14,UB!$I$94:$I$113)</f>
        <v>12.8324</v>
      </c>
      <c r="J55" s="120">
        <f>SUMIF(UB!$C$94:$C$113,'Task 2 - Asset lvl analysis'!J14,UB!$I$94:$I$113)</f>
        <v>21.5594</v>
      </c>
      <c r="K55" s="120">
        <f>SUMIF(UB!$C$94:$C$113,'Task 2 - Asset lvl analysis'!K14,UB!$I$94:$I$113)</f>
        <v>0</v>
      </c>
      <c r="L55" s="120">
        <f>SUMIF(UB!$C$94:$C$113,'Task 2 - Asset lvl analysis'!L14,UB!$I$94:$I$113)</f>
        <v>0</v>
      </c>
      <c r="M55" s="120">
        <f>SUMIF(UB!$C$94:$C$113,'Task 2 - Asset lvl analysis'!M14,UB!$I$94:$I$113)</f>
        <v>0.64380000000000004</v>
      </c>
      <c r="N55" s="120">
        <f>SUMIF(UB!$C$94:$C$113,'Task 2 - Asset lvl analysis'!N14,UB!$I$94:$I$113)</f>
        <v>0</v>
      </c>
      <c r="O55" s="120">
        <f>SUMIF(UB!$C$94:$C$113,'Task 2 - Asset lvl analysis'!O14,UB!$I$94:$I$113)</f>
        <v>0</v>
      </c>
      <c r="P55" s="120">
        <f>SUMIF(UB!$C$94:$C$113,'Task 2 - Asset lvl analysis'!P14,UB!$I$94:$I$113)</f>
        <v>4.79</v>
      </c>
      <c r="Q55" s="120">
        <f>SUMIF(UB!$C$94:$C$113,'Task 2 - Asset lvl analysis'!Q14,UB!$I$94:$I$113)</f>
        <v>0</v>
      </c>
      <c r="R55" s="120">
        <f>SUMIF(UB!$C$94:$C$113,'Task 2 - Asset lvl analysis'!R14,UB!$I$94:$I$113)</f>
        <v>615.01199999999994</v>
      </c>
      <c r="S55" s="120">
        <f>SUMIF(UB!$C$94:$C$113,'Task 2 - Asset lvl analysis'!S14,UB!$I$94:$I$113)</f>
        <v>0</v>
      </c>
      <c r="T55" s="120">
        <f>SUMIF(UB!$C$94:$C$113,'Task 2 - Asset lvl analysis'!T14,UB!$I$94:$I$113)</f>
        <v>0</v>
      </c>
      <c r="U55" s="120">
        <f>SUMIF(UB!$C$94:$C$113,'Task 2 - Asset lvl analysis'!U14,UB!$I$94:$I$113)</f>
        <v>0</v>
      </c>
      <c r="V55" s="120">
        <f>SUMIF(UB!$C$94:$C$113,'Task 2 - Asset lvl analysis'!V14,UB!$I$94:$I$113)</f>
        <v>1.4049</v>
      </c>
      <c r="W55" s="120">
        <f>SUMIF(UB!$C$94:$C$113,'Task 2 - Asset lvl analysis'!W14,UB!$I$94:$I$113)</f>
        <v>0</v>
      </c>
      <c r="X55" s="219">
        <f t="shared" si="0"/>
        <v>658.27269999999999</v>
      </c>
    </row>
    <row r="56" spans="1:24" ht="32.5" customHeight="1" x14ac:dyDescent="0.35">
      <c r="A56" s="18"/>
      <c r="B56" s="218" t="s">
        <v>300</v>
      </c>
      <c r="C56" s="215" t="s">
        <v>60</v>
      </c>
      <c r="D56" s="119" t="s">
        <v>277</v>
      </c>
      <c r="E56" s="129" t="s">
        <v>29</v>
      </c>
      <c r="F56" s="552">
        <f>_xlfn.XLOOKUP(B56,'Structure dimensions'!$C$6:$C$49,'Structure dimensions'!$L$6:$L$49)</f>
        <v>1090.6000000000001</v>
      </c>
      <c r="G56" s="120">
        <f>SUMIF(UB!$C$115:$C$138,'Task 2 - Asset lvl analysis'!G14,UB!$I$115:$I$138)</f>
        <v>0</v>
      </c>
      <c r="H56" s="120">
        <f>SUMIF(UB!$C$115:$C$138,'Task 2 - Asset lvl analysis'!H14,UB!$I$115:$I$138)</f>
        <v>8.3053000000000008</v>
      </c>
      <c r="I56" s="120">
        <f>SUMIF(UB!$C$115:$C$138,'Task 2 - Asset lvl analysis'!I14,UB!$I$115:$I$138)</f>
        <v>22.122599999999998</v>
      </c>
      <c r="J56" s="120">
        <f>SUMIF(UB!$C$115:$C$138,'Task 2 - Asset lvl analysis'!J14,UB!$I$115:$I$138)</f>
        <v>21.512</v>
      </c>
      <c r="K56" s="120">
        <f>SUMIF(UB!$C$115:$C$138,'Task 2 - Asset lvl analysis'!K14,UB!$I$115:$I$138)</f>
        <v>0</v>
      </c>
      <c r="L56" s="120">
        <f>SUMIF(UB!$C$115:$C$138,'Task 2 - Asset lvl analysis'!L14,UB!$I$115:$I$138)</f>
        <v>0.3337</v>
      </c>
      <c r="M56" s="120">
        <f>SUMIF(UB!$C$115:$C$138,'Task 2 - Asset lvl analysis'!M14,UB!$I$115:$I$138)</f>
        <v>1.0752999999999999</v>
      </c>
      <c r="N56" s="120">
        <f>SUMIF(UB!$C$115:$C$138,'Task 2 - Asset lvl analysis'!N14,UB!$I$115:$I$138)</f>
        <v>0</v>
      </c>
      <c r="O56" s="120">
        <f>SUMIF(UB!$C$115:$C$138,'Task 2 - Asset lvl analysis'!O14,UB!$I$115:$I$138)</f>
        <v>0</v>
      </c>
      <c r="P56" s="120">
        <f>SUMIF(UB!$C$115:$C$138,'Task 2 - Asset lvl analysis'!P14,UB!$I$115:$I$138)</f>
        <v>6.6649000000000003</v>
      </c>
      <c r="Q56" s="120">
        <f>SUMIF(UB!$C$115:$C$138,'Task 2 - Asset lvl analysis'!Q14,UB!$I$115:$I$138)</f>
        <v>0</v>
      </c>
      <c r="R56" s="120">
        <f>SUMIF(UB!$C$115:$C$138,'Task 2 - Asset lvl analysis'!R14,UB!$I$115:$I$138)</f>
        <v>4219.2340999999997</v>
      </c>
      <c r="S56" s="120">
        <f>SUMIF(UB!$C$115:$C$138,'Task 2 - Asset lvl analysis'!S14,UB!$I$115:$I$138)</f>
        <v>0</v>
      </c>
      <c r="T56" s="120">
        <f>SUMIF(UB!$C$115:$C$138,'Task 2 - Asset lvl analysis'!T14,UB!$I$115:$I$138)</f>
        <v>15.641999999999999</v>
      </c>
      <c r="U56" s="120">
        <f>SUMIF(UB!$C$115:$C$138,'Task 2 - Asset lvl analysis'!U14,UB!$I$115:$I$138)</f>
        <v>0</v>
      </c>
      <c r="V56" s="120">
        <f>SUMIF(UB!$C$115:$C$138,'Task 2 - Asset lvl analysis'!V14,UB!$I$115:$I$138)</f>
        <v>2.7452000000000001</v>
      </c>
      <c r="W56" s="120">
        <f>SUMIF(UB!$C$115:$C$138,'Task 2 - Asset lvl analysis'!W14,UB!$I$115:$I$138)</f>
        <v>0</v>
      </c>
      <c r="X56" s="219">
        <f t="shared" si="0"/>
        <v>4297.6350999999995</v>
      </c>
    </row>
    <row r="57" spans="1:24" ht="32.5" customHeight="1" x14ac:dyDescent="0.35">
      <c r="A57" s="214"/>
      <c r="B57" s="220"/>
      <c r="C57" s="215" t="s">
        <v>166</v>
      </c>
      <c r="D57" s="119" t="s">
        <v>277</v>
      </c>
      <c r="E57" s="124" t="s">
        <v>706</v>
      </c>
      <c r="F57" s="552">
        <f>_xlfn.XLOOKUP(B57,'Structure dimensions'!$C$6:$C$49,'Structure dimensions'!$L$6:$L$49)</f>
        <v>0</v>
      </c>
      <c r="G57" s="120">
        <f>SUMIF(M!$B$68:$B$123,G14,M!$H$68:$H$123)</f>
        <v>821.47569999999996</v>
      </c>
      <c r="H57" s="120">
        <f>SUMIF(M!$B$68:$B$123,H14,M!$H$68:$H$123)</f>
        <v>4839.7825000000003</v>
      </c>
      <c r="I57" s="120">
        <f>SUMIF(M!$B$68:$B$123,I14,M!$H$68:$H$123)</f>
        <v>5170.1923999999999</v>
      </c>
      <c r="J57" s="120">
        <f>SUMIF(M!$B$68:$B$123,J14,M!$H$68:$H$123)</f>
        <v>235.86699999999999</v>
      </c>
      <c r="K57" s="120">
        <f>SUMIF(M!$B$68:$B$123,K14,M!$H$68:$H$123)</f>
        <v>10165.3133</v>
      </c>
      <c r="L57" s="120">
        <f>SUMIF(M!$B$68:$B$123,L14,M!$H$68:$H$123)</f>
        <v>7437.9966999999997</v>
      </c>
      <c r="M57" s="120">
        <f>SUMIF(M!$B$68:$B$123,M14,M!$H$68:$H$123)</f>
        <v>0</v>
      </c>
      <c r="N57" s="120">
        <f>SUMIF(M!$B$68:$B$123,N14,M!$H$68:$H$123)</f>
        <v>0</v>
      </c>
      <c r="O57" s="120">
        <f>SUMIF(M!$B$68:$B$123,O14,M!$H$68:$H$123)</f>
        <v>193.12449999999998</v>
      </c>
      <c r="P57" s="120">
        <f>SUMIF(M!$B$68:$B$123,P14,M!$H$68:$H$123)</f>
        <v>1644.8625</v>
      </c>
      <c r="Q57" s="120">
        <f>SUMIF(M!$B$68:$B$123,Q14,M!$H$68:$H$123)</f>
        <v>0</v>
      </c>
      <c r="R57" s="120">
        <f>SUMIF(M!$B$68:$B$123,R14,M!$H$68:$H$123)</f>
        <v>335.1474</v>
      </c>
      <c r="S57" s="120">
        <f>SUMIF(M!$B$68:$B$123,S14,M!$H$68:$H$123)</f>
        <v>0</v>
      </c>
      <c r="T57" s="120">
        <f>SUMIF(M!$B$68:$B$123,T14,M!$H$68:$H$123)</f>
        <v>0</v>
      </c>
      <c r="U57" s="120">
        <f>SUMIF(M!$B$68:$B$123,U14,M!$H$68:$H$123)</f>
        <v>0</v>
      </c>
      <c r="V57" s="120">
        <f>SUMIF(M!$B$68:$B$123,V14,M!$H$68:$H$123)</f>
        <v>0</v>
      </c>
      <c r="W57" s="120">
        <f>SUMIF(M!$B$68:$B$123,W14,M!$H$68:$H$123)</f>
        <v>0</v>
      </c>
      <c r="X57" s="219">
        <f>SUM(G57:W57)</f>
        <v>30843.762000000002</v>
      </c>
    </row>
    <row r="58" spans="1:24" ht="32.5" customHeight="1" x14ac:dyDescent="0.35">
      <c r="A58" s="214"/>
      <c r="B58" s="220"/>
      <c r="C58" s="215" t="s">
        <v>32</v>
      </c>
      <c r="D58" s="119" t="s">
        <v>277</v>
      </c>
      <c r="E58" s="124" t="s">
        <v>33</v>
      </c>
      <c r="F58" s="552">
        <f>_xlfn.XLOOKUP(B58,'Structure dimensions'!$C$6:$C$49,'Structure dimensions'!$L$6:$L$49)</f>
        <v>0</v>
      </c>
      <c r="G58" s="120">
        <f>SUMIF(SR!$B$56:$B$78,'Task 2 - Asset lvl analysis'!G14,SR!$H$56:$H$78)</f>
        <v>0</v>
      </c>
      <c r="H58" s="120">
        <f>SUMIF(SR!$B$56:$B$78,'Task 2 - Asset lvl analysis'!H14,SR!$H$56:$H$78)</f>
        <v>0</v>
      </c>
      <c r="I58" s="120">
        <f>SUMIF(SR!$B$56:$B$78,'Task 2 - Asset lvl analysis'!I14,SR!$H$56:$H$78)</f>
        <v>99.095200000000006</v>
      </c>
      <c r="J58" s="120">
        <f>SUMIF(SR!$B$56:$B$78,'Task 2 - Asset lvl analysis'!J14,SR!$H$56:$H$78)</f>
        <v>5.7576999999999998</v>
      </c>
      <c r="K58" s="120">
        <f>SUMIF(SR!$B$56:$B$78,'Task 2 - Asset lvl analysis'!K14,SR!$H$56:$H$78)</f>
        <v>57.215600000000002</v>
      </c>
      <c r="L58" s="120">
        <f>SUMIF(SR!$B$56:$B$78,'Task 2 - Asset lvl analysis'!L14,SR!$H$56:$H$78)</f>
        <v>339.87850000000003</v>
      </c>
      <c r="M58" s="120">
        <f>SUMIF(SR!$B$56:$B$78,'Task 2 - Asset lvl analysis'!M14,SR!$H$56:$H$78)</f>
        <v>0</v>
      </c>
      <c r="N58" s="120">
        <f>SUMIF(SR!$B$56:$B$78,'Task 2 - Asset lvl analysis'!N14,SR!$H$56:$H$78)</f>
        <v>0</v>
      </c>
      <c r="O58" s="120">
        <f>SUMIF(SR!$B$56:$B$78,'Task 2 - Asset lvl analysis'!O14,SR!$H$56:$H$78)</f>
        <v>2.1377999999999999</v>
      </c>
      <c r="P58" s="120">
        <f>SUMIF(SR!$B$56:$B$78,'Task 2 - Asset lvl analysis'!P14,SR!$H$56:$H$78)</f>
        <v>2.4796999999999998</v>
      </c>
      <c r="Q58" s="120">
        <f>SUMIF(SR!$B$56:$B$78,'Task 2 - Asset lvl analysis'!Q14,SR!$H$56:$H$78)</f>
        <v>0</v>
      </c>
      <c r="R58" s="120">
        <f>SUMIF(SR!$B$56:$B$78,'Task 2 - Asset lvl analysis'!R14,SR!$H$56:$H$78)</f>
        <v>5.3735999999999997</v>
      </c>
      <c r="S58" s="120">
        <f>SUMIF(SR!$B$56:$B$78,'Task 2 - Asset lvl analysis'!S14,SR!$H$56:$H$78)</f>
        <v>0</v>
      </c>
      <c r="T58" s="120">
        <f>SUMIF(SR!$B$56:$B$78,'Task 2 - Asset lvl analysis'!T14,SR!$H$56:$H$78)</f>
        <v>14.1906</v>
      </c>
      <c r="U58" s="120">
        <f>SUMIF(SR!$B$56:$B$78,'Task 2 - Asset lvl analysis'!U14,SR!$H$56:$H$78)</f>
        <v>0</v>
      </c>
      <c r="V58" s="120">
        <f>SUMIF(SR!$B$56:$B$78,'Task 2 - Asset lvl analysis'!V14,SR!$H$56:$H$78)</f>
        <v>0</v>
      </c>
      <c r="W58" s="120">
        <f>SUMIF(SR!$B$56:$B$78,'Task 2 - Asset lvl analysis'!W14,SR!$H$56:$H$78)</f>
        <v>0</v>
      </c>
      <c r="X58" s="219">
        <f t="shared" si="0"/>
        <v>526.12869999999998</v>
      </c>
    </row>
    <row r="59" spans="1:24" ht="32.5" customHeight="1" x14ac:dyDescent="0.35">
      <c r="A59" s="214"/>
      <c r="B59" s="220"/>
      <c r="C59" s="215" t="s">
        <v>64</v>
      </c>
      <c r="D59" s="119" t="s">
        <v>277</v>
      </c>
      <c r="E59" s="124" t="s">
        <v>35</v>
      </c>
      <c r="F59" s="552">
        <f>_xlfn.XLOOKUP(B59,'Structure dimensions'!$C$6:$C$49,'Structure dimensions'!$L$6:$L$49)</f>
        <v>0</v>
      </c>
      <c r="G59" s="120">
        <f>SUMIF(J!$C$64:$C$86,'Task 2 - Asset lvl analysis'!G14,J!$I$64:$I$86)</f>
        <v>0</v>
      </c>
      <c r="H59" s="120">
        <f>SUMIF(J!$C$64:$C$86,'Task 2 - Asset lvl analysis'!H14,J!$I$64:$I$86)</f>
        <v>0</v>
      </c>
      <c r="I59" s="120">
        <f>SUMIF(J!$C$64:$C$86,'Task 2 - Asset lvl analysis'!I14,J!$I$64:$I$86)</f>
        <v>26.635100000000001</v>
      </c>
      <c r="J59" s="120">
        <f>SUMIF(J!$C$64:$C$86,'Task 2 - Asset lvl analysis'!J14,J!$I$64:$I$86)</f>
        <v>1.5445000000000002</v>
      </c>
      <c r="K59" s="120">
        <f>SUMIF(J!$C$64:$C$86,'Task 2 - Asset lvl analysis'!K14,J!$I$64:$I$86)</f>
        <v>15.3512</v>
      </c>
      <c r="L59" s="120">
        <f>SUMIF(J!$C$64:$C$86,'Task 2 - Asset lvl analysis'!L14,J!$I$64:$I$86)</f>
        <v>100.93069999999999</v>
      </c>
      <c r="M59" s="120">
        <f>SUMIF(J!$C$64:$C$86,'Task 2 - Asset lvl analysis'!M14,J!$I$64:$I$86)</f>
        <v>0</v>
      </c>
      <c r="N59" s="120">
        <f>SUMIF(J!$C$64:$C$86,'Task 2 - Asset lvl analysis'!N14,J!$I$64:$I$86)</f>
        <v>0</v>
      </c>
      <c r="O59" s="120">
        <f>SUMIF(J!$C$64:$C$86,'Task 2 - Asset lvl analysis'!O14,J!$I$64:$I$86)</f>
        <v>0.57350000000000001</v>
      </c>
      <c r="P59" s="120">
        <f>SUMIF(J!$C$64:$C$86,'Task 2 - Asset lvl analysis'!P14,J!$I$64:$I$86)</f>
        <v>0.6653</v>
      </c>
      <c r="Q59" s="120">
        <f>SUMIF(J!$C$64:$C$86,'Task 2 - Asset lvl analysis'!Q14,J!$I$64:$I$86)</f>
        <v>0</v>
      </c>
      <c r="R59" s="120">
        <f>SUMIF(J!$C$64:$C$86,'Task 2 - Asset lvl analysis'!R14,J!$I$64:$I$86)</f>
        <v>1.5347</v>
      </c>
      <c r="S59" s="120">
        <f>SUMIF(J!$C$64:$C$86,'Task 2 - Asset lvl analysis'!S14,J!$I$64:$I$86)</f>
        <v>0</v>
      </c>
      <c r="T59" s="120">
        <f>SUMIF(J!$C$64:$C$86,'Task 2 - Asset lvl analysis'!T14,J!$I$64:$I$86)</f>
        <v>3.8071999999999999</v>
      </c>
      <c r="U59" s="120">
        <f>SUMIF(J!$C$64:$C$86,'Task 2 - Asset lvl analysis'!U14,J!$I$64:$I$86)</f>
        <v>0</v>
      </c>
      <c r="V59" s="120">
        <f>SUMIF(J!$C$64:$C$86,'Task 2 - Asset lvl analysis'!V14,J!$I$64:$I$86)</f>
        <v>0</v>
      </c>
      <c r="W59" s="120">
        <f>SUMIF(J!$C$64:$C$86,'Task 2 - Asset lvl analysis'!W14,J!$I$64:$I$86)</f>
        <v>0</v>
      </c>
      <c r="X59" s="219">
        <f>SUM(G59:W59)</f>
        <v>151.04219999999998</v>
      </c>
    </row>
    <row r="60" spans="1:24" ht="32.5" customHeight="1" x14ac:dyDescent="0.35">
      <c r="A60" s="214"/>
      <c r="B60" s="220"/>
      <c r="C60" s="215" t="s">
        <v>65</v>
      </c>
      <c r="D60" s="119" t="s">
        <v>277</v>
      </c>
      <c r="E60" s="124" t="s">
        <v>35</v>
      </c>
      <c r="F60" s="552">
        <f>_xlfn.XLOOKUP(B60,'Structure dimensions'!$C$6:$C$49,'Structure dimensions'!$L$6:$L$49)</f>
        <v>0</v>
      </c>
      <c r="G60" s="120">
        <f>SUMIF(J!$C$88:$C$110,'Task 2 - Asset lvl analysis'!G14,J!$I$88:$I$110)</f>
        <v>0</v>
      </c>
      <c r="H60" s="120">
        <f>SUMIF(J!$C$88:$C$110,'Task 2 - Asset lvl analysis'!H14,J!$I$88:$I$110)</f>
        <v>0</v>
      </c>
      <c r="I60" s="120">
        <f>SUMIF(J!$C$88:$C$110,'Task 2 - Asset lvl analysis'!I14,J!$I$88:$I$110)</f>
        <v>33.22</v>
      </c>
      <c r="J60" s="120">
        <f>SUMIF(J!$C$88:$C$110,'Task 2 - Asset lvl analysis'!J14,J!$I$88:$I$110)</f>
        <v>1.8246000000000002</v>
      </c>
      <c r="K60" s="120">
        <f>SUMIF(J!$C$88:$C$110,'Task 2 - Asset lvl analysis'!K14,J!$I$88:$I$110)</f>
        <v>18.142299999999999</v>
      </c>
      <c r="L60" s="120">
        <f>SUMIF(J!$C$88:$C$110,'Task 2 - Asset lvl analysis'!L14,J!$I$88:$I$110)</f>
        <v>119.2814</v>
      </c>
      <c r="M60" s="120">
        <f>SUMIF(J!$C$88:$C$110,'Task 2 - Asset lvl analysis'!M14,J!$I$88:$I$110)</f>
        <v>0</v>
      </c>
      <c r="N60" s="120">
        <f>SUMIF(J!$C$88:$C$110,'Task 2 - Asset lvl analysis'!N14,J!$I$88:$I$110)</f>
        <v>0</v>
      </c>
      <c r="O60" s="120">
        <f>SUMIF(J!$C$88:$C$110,'Task 2 - Asset lvl analysis'!O14,J!$I$88:$I$110)</f>
        <v>0.67779999999999996</v>
      </c>
      <c r="P60" s="120">
        <f>SUMIF(J!$C$88:$C$110,'Task 2 - Asset lvl analysis'!P14,J!$I$88:$I$110)</f>
        <v>0.78620000000000001</v>
      </c>
      <c r="Q60" s="120">
        <f>SUMIF(J!$C$88:$C$110,'Task 2 - Asset lvl analysis'!Q14,J!$I$88:$I$110)</f>
        <v>0</v>
      </c>
      <c r="R60" s="120">
        <f>SUMIF(J!$C$88:$C$110,'Task 2 - Asset lvl analysis'!R14,J!$I$88:$I$110)</f>
        <v>1.7902</v>
      </c>
      <c r="S60" s="120">
        <f>SUMIF(J!$C$88:$C$110,'Task 2 - Asset lvl analysis'!S14,J!$I$88:$I$110)</f>
        <v>0</v>
      </c>
      <c r="T60" s="120">
        <f>SUMIF(J!$C$88:$C$110,'Task 2 - Asset lvl analysis'!T14,J!$I$88:$I$110)</f>
        <v>4.4995000000000003</v>
      </c>
      <c r="U60" s="120">
        <f>SUMIF(J!$C$88:$C$110,'Task 2 - Asset lvl analysis'!U14,J!$I$88:$I$110)</f>
        <v>0</v>
      </c>
      <c r="V60" s="120">
        <f>SUMIF(J!$C$88:$C$110,'Task 2 - Asset lvl analysis'!V14,J!$I$88:$I$110)</f>
        <v>0</v>
      </c>
      <c r="W60" s="120">
        <f>SUMIF(J!$C$88:$C$110,'Task 2 - Asset lvl analysis'!W14,J!$I$88:$I$110)</f>
        <v>0</v>
      </c>
      <c r="X60" s="219">
        <f t="shared" si="0"/>
        <v>180.22200000000001</v>
      </c>
    </row>
    <row r="61" spans="1:24" ht="32.5" customHeight="1" x14ac:dyDescent="0.35">
      <c r="A61" s="214"/>
      <c r="B61" s="220"/>
      <c r="C61" s="215" t="s">
        <v>66</v>
      </c>
      <c r="D61" s="119" t="s">
        <v>277</v>
      </c>
      <c r="E61" s="124" t="s">
        <v>35</v>
      </c>
      <c r="F61" s="552">
        <f>_xlfn.XLOOKUP(B61,'Structure dimensions'!$C$6:$C$49,'Structure dimensions'!$L$6:$L$49)</f>
        <v>0</v>
      </c>
      <c r="G61" s="121">
        <f>SUMIF(J!$C$112:$C$134,'Task 2 - Asset lvl analysis'!G14,J!$I$112:$I$134)</f>
        <v>0</v>
      </c>
      <c r="H61" s="121">
        <f>SUMIF(J!$C$112:$C$134,'Task 2 - Asset lvl analysis'!H14,J!$I$112:$I$134)</f>
        <v>0</v>
      </c>
      <c r="I61" s="121">
        <f>SUMIF(J!$C$112:$C$134,'Task 2 - Asset lvl analysis'!I14,J!$I$112:$I$134)</f>
        <v>47.857100000000003</v>
      </c>
      <c r="J61" s="121">
        <f>SUMIF(J!$C$112:$C$134,'Task 2 - Asset lvl analysis'!J14,J!$I$112:$I$134)</f>
        <v>2.2486000000000002</v>
      </c>
      <c r="K61" s="121">
        <f>SUMIF(J!$C$112:$C$134,'Task 2 - Asset lvl analysis'!K14,J!$I$112:$I$134)</f>
        <v>22.329000000000001</v>
      </c>
      <c r="L61" s="121">
        <f>SUMIF(J!$C$112:$C$134,'Task 2 - Asset lvl analysis'!L14,J!$I$112:$I$134)</f>
        <v>146.8064</v>
      </c>
      <c r="M61" s="121">
        <f>SUMIF(J!$C$112:$C$134,'Task 2 - Asset lvl analysis'!M14,J!$I$112:$I$134)</f>
        <v>0</v>
      </c>
      <c r="N61" s="121">
        <f>SUMIF(J!$C$112:$C$134,'Task 2 - Asset lvl analysis'!N14,J!$I$112:$I$134)</f>
        <v>0</v>
      </c>
      <c r="O61" s="121">
        <f>SUMIF(J!$C$112:$C$134,'Task 2 - Asset lvl analysis'!O14,J!$I$112:$I$134)</f>
        <v>0.83430000000000004</v>
      </c>
      <c r="P61" s="121">
        <f>SUMIF(J!$C$112:$C$134,'Task 2 - Asset lvl analysis'!P14,J!$I$112:$I$134)</f>
        <v>0.9677</v>
      </c>
      <c r="Q61" s="121">
        <f>SUMIF(J!$C$112:$C$134,'Task 2 - Asset lvl analysis'!Q14,J!$I$112:$I$134)</f>
        <v>0</v>
      </c>
      <c r="R61" s="121">
        <f>SUMIF(J!$C$112:$C$134,'Task 2 - Asset lvl analysis'!R14,J!$I$112:$I$134)</f>
        <v>2.0465</v>
      </c>
      <c r="S61" s="121">
        <f>SUMIF(J!$C$112:$C$134,'Task 2 - Asset lvl analysis'!S14,J!$I$112:$I$134)</f>
        <v>0</v>
      </c>
      <c r="T61" s="121">
        <f>SUMIF(J!$C$112:$C$134,'Task 2 - Asset lvl analysis'!T14,J!$I$112:$I$134)</f>
        <v>5.5377999999999998</v>
      </c>
      <c r="U61" s="121">
        <f>SUMIF(J!$C$112:$C$134,'Task 2 - Asset lvl analysis'!U14,J!$I$112:$I$134)</f>
        <v>0</v>
      </c>
      <c r="V61" s="121">
        <f>SUMIF(J!$C$112:$C$134,'Task 2 - Asset lvl analysis'!V14,J!$I$112:$I$134)</f>
        <v>0</v>
      </c>
      <c r="W61" s="121">
        <f>SUMIF(J!$C$112:$C$134,'Task 2 - Asset lvl analysis'!W14,J!$I$112:$I$134)</f>
        <v>0</v>
      </c>
      <c r="X61" s="219">
        <f t="shared" si="0"/>
        <v>228.62740000000005</v>
      </c>
    </row>
    <row r="62" spans="1:24" ht="32.5" customHeight="1" x14ac:dyDescent="0.35">
      <c r="A62" s="18"/>
      <c r="B62" s="218"/>
      <c r="C62" s="213" t="s">
        <v>67</v>
      </c>
      <c r="D62" s="119" t="s">
        <v>277</v>
      </c>
      <c r="E62" s="124" t="s">
        <v>35</v>
      </c>
      <c r="F62" s="552">
        <f>_xlfn.XLOOKUP(B62,'Structure dimensions'!$C$6:$C$49,'Structure dimensions'!$L$6:$L$49)</f>
        <v>0</v>
      </c>
      <c r="G62" s="120">
        <f>SUMIF(J!$C$136:$C$158,'Task 2 - Asset lvl analysis'!G14,J!$I$136:$I$158)</f>
        <v>0</v>
      </c>
      <c r="H62" s="120">
        <f>SUMIF(J!$C$136:$C$158,'Task 2 - Asset lvl analysis'!H14,J!$I$136:$I$158)</f>
        <v>0</v>
      </c>
      <c r="I62" s="120">
        <f>SUMIF(J!$C$136:$C$158,'Task 2 - Asset lvl analysis'!I14,J!$I$136:$I$158)</f>
        <v>24.852700000000002</v>
      </c>
      <c r="J62" s="120">
        <f>SUMIF(J!$C$136:$C$158,'Task 2 - Asset lvl analysis'!J14,J!$I$136:$I$158)</f>
        <v>1.4044000000000001</v>
      </c>
      <c r="K62" s="120">
        <f>SUMIF(J!$C$136:$C$158,'Task 2 - Asset lvl analysis'!K14,J!$I$136:$I$158)</f>
        <v>13.9556</v>
      </c>
      <c r="L62" s="120">
        <f>SUMIF(J!$C$136:$C$158,'Task 2 - Asset lvl analysis'!L14,J!$I$136:$I$158)</f>
        <v>91.755100000000013</v>
      </c>
      <c r="M62" s="120">
        <f>SUMIF(J!$C$136:$C$158,'Task 2 - Asset lvl analysis'!M14,J!$I$136:$I$158)</f>
        <v>0</v>
      </c>
      <c r="N62" s="120">
        <f>SUMIF(J!$C$136:$C$158,'Task 2 - Asset lvl analysis'!N14,J!$I$136:$I$158)</f>
        <v>0</v>
      </c>
      <c r="O62" s="120">
        <f>SUMIF(J!$C$136:$C$158,'Task 2 - Asset lvl analysis'!O14,J!$I$136:$I$158)</f>
        <v>0.52139999999999997</v>
      </c>
      <c r="P62" s="120">
        <f>SUMIF(J!$C$136:$C$158,'Task 2 - Asset lvl analysis'!P14,J!$I$136:$I$158)</f>
        <v>0.6048</v>
      </c>
      <c r="Q62" s="120">
        <f>SUMIF(J!$C$136:$C$158,'Task 2 - Asset lvl analysis'!Q14,J!$I$136:$I$158)</f>
        <v>0</v>
      </c>
      <c r="R62" s="120">
        <f>SUMIF(J!$C$136:$C$158,'Task 2 - Asset lvl analysis'!R14,J!$I$136:$I$158)</f>
        <v>1.2792000000000001</v>
      </c>
      <c r="S62" s="120">
        <f>SUMIF(J!$C$136:$C$158,'Task 2 - Asset lvl analysis'!S14,J!$I$136:$I$158)</f>
        <v>0</v>
      </c>
      <c r="T62" s="120">
        <f>SUMIF(J!$C$136:$C$158,'Task 2 - Asset lvl analysis'!T14,J!$I$136:$I$158)</f>
        <v>3.4611000000000001</v>
      </c>
      <c r="U62" s="120">
        <f>SUMIF(J!$C$136:$C$158,'Task 2 - Asset lvl analysis'!U14,J!$I$136:$I$158)</f>
        <v>0</v>
      </c>
      <c r="V62" s="120">
        <f>SUMIF(J!$C$136:$C$158,'Task 2 - Asset lvl analysis'!V14,J!$I$136:$I$158)</f>
        <v>0</v>
      </c>
      <c r="W62" s="120">
        <f>SUMIF(J!$C$136:$C$158,'Task 2 - Asset lvl analysis'!W14,J!$I$136:$I$158)</f>
        <v>0</v>
      </c>
      <c r="X62" s="219">
        <f t="shared" si="0"/>
        <v>137.83430000000001</v>
      </c>
    </row>
    <row r="63" spans="1:24" ht="32.5" customHeight="1" x14ac:dyDescent="0.35">
      <c r="A63" s="214"/>
      <c r="B63" s="220"/>
      <c r="C63" s="215" t="s">
        <v>68</v>
      </c>
      <c r="D63" s="119" t="s">
        <v>277</v>
      </c>
      <c r="E63" s="124" t="s">
        <v>35</v>
      </c>
      <c r="F63" s="552">
        <f>_xlfn.XLOOKUP(B63,'Structure dimensions'!$C$6:$C$49,'Structure dimensions'!$L$6:$L$49)</f>
        <v>0</v>
      </c>
      <c r="G63" s="120">
        <f>SUMIF(J!$C$160:$C$182,'Task 2 - Asset lvl analysis'!G14,J!$I$160:$I$182)</f>
        <v>0</v>
      </c>
      <c r="H63" s="120">
        <f>SUMIF(J!$C$160:$C$182,'Task 2 - Asset lvl analysis'!H14,J!$I$160:$I$182)</f>
        <v>0</v>
      </c>
      <c r="I63" s="120">
        <f>SUMIF(J!$C$160:$C$182,'Task 2 - Asset lvl analysis'!I14,J!$I$160:$I$182)</f>
        <v>21.942499999999999</v>
      </c>
      <c r="J63" s="120">
        <f>SUMIF(J!$C$160:$C$182,'Task 2 - Asset lvl analysis'!J14,J!$I$160:$I$182)</f>
        <v>1.2644</v>
      </c>
      <c r="K63" s="120">
        <f>SUMIF(J!$C$160:$C$182,'Task 2 - Asset lvl analysis'!K14,J!$I$160:$I$182)</f>
        <v>12.5601</v>
      </c>
      <c r="L63" s="120">
        <f>SUMIF(J!$C$160:$C$182,'Task 2 - Asset lvl analysis'!L14,J!$I$160:$I$182)</f>
        <v>82.579599999999999</v>
      </c>
      <c r="M63" s="120">
        <f>SUMIF(J!$C$160:$C$182,'Task 2 - Asset lvl analysis'!M14,J!$I$160:$I$182)</f>
        <v>0</v>
      </c>
      <c r="N63" s="120">
        <f>SUMIF(J!$C$160:$C$182,'Task 2 - Asset lvl analysis'!N14,J!$I$160:$I$182)</f>
        <v>0</v>
      </c>
      <c r="O63" s="120">
        <f>SUMIF(J!$C$160:$C$182,'Task 2 - Asset lvl analysis'!O14,J!$I$160:$I$182)</f>
        <v>0.46929999999999999</v>
      </c>
      <c r="P63" s="120">
        <f>SUMIF(J!$C$160:$C$182,'Task 2 - Asset lvl analysis'!P14,J!$I$160:$I$182)</f>
        <v>0.54430000000000001</v>
      </c>
      <c r="Q63" s="120">
        <f>SUMIF(J!$C$160:$C$182,'Task 2 - Asset lvl analysis'!Q14,J!$I$160:$I$182)</f>
        <v>0</v>
      </c>
      <c r="R63" s="120">
        <f>SUMIF(J!$C$160:$C$182,'Task 2 - Asset lvl analysis'!R14,J!$I$160:$I$182)</f>
        <v>1.2792000000000001</v>
      </c>
      <c r="S63" s="120">
        <f>SUMIF(J!$C$160:$C$182,'Task 2 - Asset lvl analysis'!S14,J!$I$160:$I$182)</f>
        <v>0</v>
      </c>
      <c r="T63" s="120">
        <f>SUMIF(J!$C$160:$C$182,'Task 2 - Asset lvl analysis'!T14,J!$I$160:$I$182)</f>
        <v>3.1150000000000002</v>
      </c>
      <c r="U63" s="120">
        <f>SUMIF(J!$C$160:$C$182,'Task 2 - Asset lvl analysis'!U14,J!$I$160:$I$182)</f>
        <v>0</v>
      </c>
      <c r="V63" s="120">
        <f>SUMIF(J!$C$160:$C$182,'Task 2 - Asset lvl analysis'!V14,J!$I$160:$I$182)</f>
        <v>0</v>
      </c>
      <c r="W63" s="120">
        <f>SUMIF(J!$C$160:$C$182,'Task 2 - Asset lvl analysis'!W14,J!$I$160:$I$182)</f>
        <v>0</v>
      </c>
      <c r="X63" s="219">
        <f t="shared" si="0"/>
        <v>123.7544</v>
      </c>
    </row>
    <row r="64" spans="1:24" ht="32.5" customHeight="1" x14ac:dyDescent="0.35">
      <c r="A64" s="214"/>
      <c r="B64" s="222"/>
      <c r="C64" s="217" t="s">
        <v>61</v>
      </c>
      <c r="D64" s="211" t="s">
        <v>277</v>
      </c>
      <c r="E64" s="212" t="s">
        <v>31</v>
      </c>
      <c r="F64" s="552">
        <f>_xlfn.XLOOKUP(B64,'Structure dimensions'!$C$6:$C$49,'Structure dimensions'!$L$6:$L$49)</f>
        <v>0</v>
      </c>
      <c r="G64" s="120">
        <f>SUMIF('C'!$B$58:$B$74,'Task 2 - Asset lvl analysis'!G14,'C'!$H$58:$H$74)</f>
        <v>0</v>
      </c>
      <c r="H64" s="120">
        <f>SUMIF('C'!$B$58:$B$74,'Task 2 - Asset lvl analysis'!H14,'C'!$H$58:$H$74)</f>
        <v>0</v>
      </c>
      <c r="I64" s="120">
        <f>SUMIF('C'!$B$58:$B$74,'Task 2 - Asset lvl analysis'!I14,'C'!$H$58:$H$74)</f>
        <v>94.6721</v>
      </c>
      <c r="J64" s="120">
        <f>SUMIF('C'!$B$58:$B$74,'Task 2 - Asset lvl analysis'!J14,'C'!$H$58:$H$74)</f>
        <v>33.441099999999999</v>
      </c>
      <c r="K64" s="120">
        <f>SUMIF('C'!$B$58:$B$74,'Task 2 - Asset lvl analysis'!K14,'C'!$H$58:$H$74)</f>
        <v>0</v>
      </c>
      <c r="L64" s="120">
        <f>SUMIF('C'!$B$58:$B$74,'Task 2 - Asset lvl analysis'!L14,'C'!$H$58:$H$74)</f>
        <v>2.0007000000000001</v>
      </c>
      <c r="M64" s="120">
        <f>SUMIF('C'!$B$58:$B$74,'Task 2 - Asset lvl analysis'!M14,'C'!$H$58:$H$74)</f>
        <v>7.1199000000000003</v>
      </c>
      <c r="N64" s="120">
        <f>SUMIF('C'!$B$58:$B$74,'Task 2 - Asset lvl analysis'!N14,'C'!$H$58:$H$74)</f>
        <v>0</v>
      </c>
      <c r="O64" s="120">
        <f>SUMIF('C'!$B$58:$B$74,'Task 2 - Asset lvl analysis'!O14,'C'!$H$58:$H$74)</f>
        <v>0</v>
      </c>
      <c r="P64" s="120">
        <f>SUMIF('C'!$B$58:$B$74,'Task 2 - Asset lvl analysis'!P14,'C'!$H$58:$H$74)</f>
        <v>0</v>
      </c>
      <c r="Q64" s="120">
        <f>SUMIF('C'!$B$58:$B$74,'Task 2 - Asset lvl analysis'!Q14,'C'!$H$58:$H$74)</f>
        <v>0</v>
      </c>
      <c r="R64" s="120">
        <f>SUMIF('C'!$B$58:$B$74,'Task 2 - Asset lvl analysis'!R14,'C'!$H$58:$H$74)</f>
        <v>1550.0711871285707</v>
      </c>
      <c r="S64" s="120">
        <f>SUMIF('C'!$B$58:$B$74,'Task 2 - Asset lvl analysis'!S14,'C'!$H$58:$H$74)</f>
        <v>0</v>
      </c>
      <c r="T64" s="120">
        <f>SUMIF('C'!$B$58:$B$74,'Task 2 - Asset lvl analysis'!T14,'C'!$H$58:$H$74)</f>
        <v>0.18410000000000001</v>
      </c>
      <c r="U64" s="120">
        <f>SUMIF('C'!$B$58:$B$74,'Task 2 - Asset lvl analysis'!U14,'C'!$H$58:$H$74)</f>
        <v>0</v>
      </c>
      <c r="V64" s="120">
        <f>SUMIF('C'!$B$58:$B$74,'Task 2 - Asset lvl analysis'!V14,'C'!$H$58:$H$74)</f>
        <v>4.4846000000000004</v>
      </c>
      <c r="W64" s="120">
        <f>SUMIF('C'!$B$58:$B$74,'Task 2 - Asset lvl analysis'!W14,'C'!$H$58:$H$74)</f>
        <v>0</v>
      </c>
      <c r="X64" s="219">
        <f t="shared" si="0"/>
        <v>1691.9736871285706</v>
      </c>
    </row>
    <row r="65" spans="2:24" ht="57" customHeight="1" thickBot="1" x14ac:dyDescent="0.4">
      <c r="B65" s="231" t="s">
        <v>5</v>
      </c>
      <c r="C65" s="229"/>
      <c r="D65" s="229"/>
      <c r="E65" s="229"/>
      <c r="F65" s="230"/>
      <c r="G65" s="669">
        <f>SUM(G15:G64)</f>
        <v>828.71332510742513</v>
      </c>
      <c r="H65" s="669">
        <f t="shared" ref="H65:W65" si="1">SUM(H15:H64)</f>
        <v>5001.4551048926423</v>
      </c>
      <c r="I65" s="669">
        <f t="shared" si="1"/>
        <v>6088.166825293124</v>
      </c>
      <c r="J65" s="669">
        <f t="shared" si="1"/>
        <v>809.40624334127392</v>
      </c>
      <c r="K65" s="669">
        <f>SUM(K15:K64)</f>
        <v>10304.867099999998</v>
      </c>
      <c r="L65" s="669">
        <f t="shared" si="1"/>
        <v>8330.3282093626276</v>
      </c>
      <c r="M65" s="669">
        <f t="shared" si="1"/>
        <v>33.115502943083577</v>
      </c>
      <c r="N65" s="669">
        <f t="shared" si="1"/>
        <v>0</v>
      </c>
      <c r="O65" s="669">
        <f t="shared" si="1"/>
        <v>198.33859999999999</v>
      </c>
      <c r="P65" s="669">
        <f t="shared" si="1"/>
        <v>1790.1380305726027</v>
      </c>
      <c r="Q65" s="669">
        <f t="shared" si="1"/>
        <v>612.99349999999993</v>
      </c>
      <c r="R65" s="669">
        <f t="shared" si="1"/>
        <v>52195.660369401579</v>
      </c>
      <c r="S65" s="669">
        <f t="shared" si="1"/>
        <v>1049.2394999999999</v>
      </c>
      <c r="T65" s="669">
        <f t="shared" si="1"/>
        <v>541.08534915912014</v>
      </c>
      <c r="U65" s="669">
        <f t="shared" si="1"/>
        <v>0</v>
      </c>
      <c r="V65" s="669">
        <f t="shared" si="1"/>
        <v>61.333700600941462</v>
      </c>
      <c r="W65" s="669">
        <f t="shared" si="1"/>
        <v>0</v>
      </c>
      <c r="X65" s="670">
        <f>SUM(G65:W65)</f>
        <v>87844.841360674414</v>
      </c>
    </row>
    <row r="66" spans="2:24" ht="57" customHeight="1" x14ac:dyDescent="0.35">
      <c r="G66" s="159"/>
      <c r="H66" s="159"/>
      <c r="I66" s="159"/>
      <c r="J66" s="159"/>
      <c r="K66" s="159"/>
      <c r="L66" s="159"/>
      <c r="M66" s="159"/>
      <c r="N66" s="159"/>
      <c r="O66" s="159"/>
      <c r="P66" s="159"/>
      <c r="Q66" s="159"/>
      <c r="R66" s="159"/>
      <c r="S66" s="159"/>
      <c r="T66" s="159"/>
      <c r="U66" s="159"/>
      <c r="V66" s="159"/>
      <c r="W66" s="159"/>
      <c r="X66" s="105"/>
    </row>
    <row r="67" spans="2:24" x14ac:dyDescent="0.35">
      <c r="G67" s="113"/>
      <c r="H67" s="113"/>
      <c r="I67" s="113"/>
      <c r="J67" s="113"/>
      <c r="K67" s="113"/>
      <c r="M67" s="113"/>
      <c r="N67" s="113"/>
      <c r="O67" s="113"/>
      <c r="P67" s="113"/>
      <c r="Q67" s="113"/>
      <c r="R67" s="113"/>
      <c r="S67" s="113"/>
      <c r="T67" s="113"/>
      <c r="U67" s="113"/>
      <c r="V67" s="113"/>
      <c r="W67" s="113"/>
    </row>
  </sheetData>
  <autoFilter ref="C14:W65" xr:uid="{958A4782-5AE1-4827-A8C4-06E52D8FB117}"/>
  <mergeCells count="6">
    <mergeCell ref="B3:X4"/>
    <mergeCell ref="X13:X14"/>
    <mergeCell ref="B13:F13"/>
    <mergeCell ref="G13:W13"/>
    <mergeCell ref="B6:C6"/>
    <mergeCell ref="D6:T6"/>
  </mergeCells>
  <conditionalFormatting sqref="D15:D64">
    <cfRule type="containsText" dxfId="6" priority="3" operator="containsText" text="Yes">
      <formula>NOT(ISERROR(SEARCH("Yes",D15)))</formula>
    </cfRule>
    <cfRule type="containsText" dxfId="5" priority="6" operator="containsText" text="No">
      <formula>NOT(ISERROR(SEARCH("No",D15)))</formula>
    </cfRule>
  </conditionalFormatting>
  <conditionalFormatting sqref="G15:W58 H59:W59 G60:W64">
    <cfRule type="expression" dxfId="4" priority="1">
      <formula>$D15="Yes"</formula>
    </cfRule>
    <cfRule type="expression" dxfId="3" priority="4">
      <formula>$D15="No"</formula>
    </cfRule>
  </conditionalFormatting>
  <conditionalFormatting sqref="G15:W64 D15:D64">
    <cfRule type="containsText" dxfId="2" priority="2" operator="containsText" text="N/A">
      <formula>NOT(ISERROR(SEARCH("N/A",D15)))</formula>
    </cfRule>
  </conditionalFormatting>
  <conditionalFormatting sqref="G59:W59">
    <cfRule type="expression" dxfId="1" priority="11">
      <formula>$D55="Yes"</formula>
    </cfRule>
    <cfRule type="expression" dxfId="0" priority="12">
      <formula>$D55="No"</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E246-4271-4D2D-9BDD-9EA23FD062C7}">
  <sheetPr>
    <tabColor rgb="FF008768"/>
  </sheetPr>
  <dimension ref="B2:O40"/>
  <sheetViews>
    <sheetView showGridLines="0" topLeftCell="A29" zoomScale="70" zoomScaleNormal="70" workbookViewId="0">
      <selection activeCell="E57" sqref="E57"/>
    </sheetView>
  </sheetViews>
  <sheetFormatPr defaultColWidth="8.7265625" defaultRowHeight="14" x14ac:dyDescent="0.3"/>
  <cols>
    <col min="1" max="1" width="8.7265625" style="118"/>
    <col min="2" max="2" width="21.453125" style="118" customWidth="1"/>
    <col min="3" max="3" width="21.1796875" style="118" customWidth="1"/>
    <col min="4" max="4" width="15.7265625" style="118" customWidth="1"/>
    <col min="5" max="5" width="13.1796875" style="118" customWidth="1"/>
    <col min="6" max="6" width="17.54296875" style="118" customWidth="1"/>
    <col min="7" max="12" width="13.1796875" style="118" customWidth="1"/>
    <col min="13" max="13" width="15" style="118" customWidth="1"/>
    <col min="14" max="15" width="12.7265625" style="118" customWidth="1"/>
    <col min="16" max="16384" width="8.7265625" style="118"/>
  </cols>
  <sheetData>
    <row r="2" spans="2:13" s="135" customFormat="1" ht="27" customHeight="1" x14ac:dyDescent="0.35">
      <c r="B2" s="267" t="s">
        <v>336</v>
      </c>
      <c r="C2" s="58"/>
    </row>
    <row r="3" spans="2:13" s="135" customFormat="1" ht="18" customHeight="1" x14ac:dyDescent="0.35">
      <c r="B3" s="259" t="s">
        <v>479</v>
      </c>
      <c r="C3" s="58"/>
      <c r="D3" s="58"/>
      <c r="E3" s="58"/>
      <c r="F3" s="134"/>
      <c r="G3" s="134"/>
    </row>
    <row r="4" spans="2:13" s="261" customFormat="1" ht="18" customHeight="1" x14ac:dyDescent="0.35">
      <c r="B4" s="260"/>
      <c r="C4" s="337"/>
      <c r="D4" s="337"/>
      <c r="E4" s="337"/>
      <c r="F4" s="338"/>
      <c r="G4" s="338"/>
    </row>
    <row r="5" spans="2:13" ht="25.5" customHeight="1" thickBot="1" x14ac:dyDescent="0.35">
      <c r="B5" s="251" t="s">
        <v>717</v>
      </c>
    </row>
    <row r="6" spans="2:13" ht="43" customHeight="1" thickBot="1" x14ac:dyDescent="0.35">
      <c r="B6" s="584"/>
      <c r="C6" s="539" t="s">
        <v>37</v>
      </c>
      <c r="D6" s="141" t="s">
        <v>738</v>
      </c>
      <c r="E6" s="142" t="s">
        <v>328</v>
      </c>
      <c r="F6" s="142" t="s">
        <v>329</v>
      </c>
      <c r="G6" s="142" t="s">
        <v>330</v>
      </c>
      <c r="H6" s="142" t="s">
        <v>338</v>
      </c>
      <c r="I6" s="142" t="s">
        <v>337</v>
      </c>
      <c r="J6" s="142" t="s">
        <v>341</v>
      </c>
      <c r="K6" s="142" t="s">
        <v>340</v>
      </c>
      <c r="L6" s="142" t="s">
        <v>339</v>
      </c>
      <c r="M6" s="47" t="s">
        <v>333</v>
      </c>
    </row>
    <row r="7" spans="2:13" ht="46.5" customHeight="1" x14ac:dyDescent="0.3">
      <c r="B7" s="748" t="s">
        <v>693</v>
      </c>
      <c r="C7" s="540" t="s">
        <v>11</v>
      </c>
      <c r="D7" s="130" t="s">
        <v>12</v>
      </c>
      <c r="E7" s="144">
        <f>SUMIF(AOB!$B$43:$B$50,'Task 4 - Maintenance summary'!E6,AOB!$E$43:$E$50)</f>
        <v>0</v>
      </c>
      <c r="F7" s="144">
        <f>SUMIF(AOB!$B$43:$B$50,'Task 4 - Maintenance summary'!F6,AOB!$E$43:$E$50)</f>
        <v>0</v>
      </c>
      <c r="G7" s="144">
        <f>SUMIF(AOB!$B$43:$B$50,'Task 4 - Maintenance summary'!G6,AOB!$E$43:$E$50)</f>
        <v>0</v>
      </c>
      <c r="H7" s="144">
        <f>SUMIF(AOB!$B$43:$B$50,'Task 4 - Maintenance summary'!H6,AOB!$E$43:$E$50)</f>
        <v>0</v>
      </c>
      <c r="I7" s="144">
        <f>SUMIF(AOB!$B$43:$B$50,'Task 4 - Maintenance summary'!I6,AOB!$E$43:$E$50)</f>
        <v>0.1147</v>
      </c>
      <c r="J7" s="144">
        <f>SUMIF(AOB!$B$43:$B$50,'Task 4 - Maintenance summary'!J6,AOB!$E$43:$E$50)</f>
        <v>0</v>
      </c>
      <c r="K7" s="144">
        <f>SUMIF(AOB!$B$43:$B$50,'Task 4 - Maintenance summary'!K6,AOB!$E$43:$E$50)</f>
        <v>0</v>
      </c>
      <c r="L7" s="144">
        <f>SUMIF(AOB!$B$43:$B$50,'Task 4 - Maintenance summary'!L6,AOB!$E$43:$E$50)</f>
        <v>0</v>
      </c>
      <c r="M7" s="145">
        <f t="shared" ref="M7:M18" si="0">SUM(E7:L7)</f>
        <v>0.1147</v>
      </c>
    </row>
    <row r="8" spans="2:13" ht="28" x14ac:dyDescent="0.3">
      <c r="B8" s="749"/>
      <c r="C8" s="540" t="s">
        <v>13</v>
      </c>
      <c r="D8" s="130" t="s">
        <v>14</v>
      </c>
      <c r="E8" s="144">
        <f>SUMIF(AUB!$B$55:$B$62,'Task 4 - Maintenance summary'!E6,AUB!$E$55:$E$62)</f>
        <v>0</v>
      </c>
      <c r="F8" s="144">
        <f>SUMIF(AUB!$B$55:$B$62,'Task 4 - Maintenance summary'!F6,AUB!$E$55:$E$62)</f>
        <v>0</v>
      </c>
      <c r="G8" s="144">
        <f>SUMIF(AUB!$B$55:$B$62,'Task 4 - Maintenance summary'!G6,AUB!$E$55:$E$62)</f>
        <v>0</v>
      </c>
      <c r="H8" s="144">
        <f>SUMIF(AUB!$B$55:$B$62,'Task 4 - Maintenance summary'!H6,AUB!$E$55:$E$62)</f>
        <v>0</v>
      </c>
      <c r="I8" s="144">
        <f>SUMIF(AUB!$B$55:$B$62,'Task 4 - Maintenance summary'!I6,AUB!$E$55:$E$62)</f>
        <v>0.44359999999999999</v>
      </c>
      <c r="J8" s="144">
        <f>SUMIF(AUB!$B$55:$B$62,'Task 4 - Maintenance summary'!J6,AUB!$E$55:$E$62)</f>
        <v>0</v>
      </c>
      <c r="K8" s="144">
        <f>SUMIF(AUB!$B$55:$B$62,'Task 4 - Maintenance summary'!K6,AUB!$E$55:$E$62)</f>
        <v>0</v>
      </c>
      <c r="L8" s="144">
        <f>SUMIF(AUB!$B$55:$B$62,'Task 4 - Maintenance summary'!L6,AUB!$E$55:$E$62)</f>
        <v>0</v>
      </c>
      <c r="M8" s="145">
        <f t="shared" si="0"/>
        <v>0.44359999999999999</v>
      </c>
    </row>
    <row r="9" spans="2:13" ht="42" x14ac:dyDescent="0.3">
      <c r="B9" s="749"/>
      <c r="C9" s="540" t="s">
        <v>15</v>
      </c>
      <c r="D9" s="130" t="s">
        <v>16</v>
      </c>
      <c r="E9" s="144">
        <f>SUMIF(CAUB!$B$43:$B$50,'Task 4 - Maintenance summary'!E6,CAUB!$E$43:$E$50)</f>
        <v>0</v>
      </c>
      <c r="F9" s="144">
        <f>SUMIF(CAUB!$B$43:$B$50,'Task 4 - Maintenance summary'!F6,CAUB!$E$43:$E$50)</f>
        <v>0</v>
      </c>
      <c r="G9" s="144">
        <f>SUMIF(CAUB!$B$43:$B$50,'Task 4 - Maintenance summary'!G6,CAUB!$E$43:$E$50)</f>
        <v>0</v>
      </c>
      <c r="H9" s="144">
        <f>SUMIF(CAUB!$B$43:$B$50,'Task 4 - Maintenance summary'!H6,CAUB!$E$43:$E$50)</f>
        <v>0</v>
      </c>
      <c r="I9" s="144">
        <f>SUMIF(CAUB!$B$43:$B$50,'Task 4 - Maintenance summary'!I6,CAUB!$E$43:$E$50)</f>
        <v>0.24799999999999997</v>
      </c>
      <c r="J9" s="144">
        <f>SUMIF(CAUB!$B$43:$B$50,'Task 4 - Maintenance summary'!J6,CAUB!$E$43:$E$50)</f>
        <v>0</v>
      </c>
      <c r="K9" s="144">
        <f>SUMIF(CAUB!$B$43:$B$50,'Task 4 - Maintenance summary'!K6,CAUB!$E$43:$E$50)</f>
        <v>0</v>
      </c>
      <c r="L9" s="144">
        <f>SUMIF(CAUB!$B$43:$B$50,'Task 4 - Maintenance summary'!L6,CAUB!$E$43:$E$50)</f>
        <v>0</v>
      </c>
      <c r="M9" s="145">
        <f t="shared" si="0"/>
        <v>0.24799999999999997</v>
      </c>
    </row>
    <row r="10" spans="2:13" ht="28" x14ac:dyDescent="0.3">
      <c r="B10" s="749"/>
      <c r="C10" s="540" t="s">
        <v>17</v>
      </c>
      <c r="D10" s="130" t="s">
        <v>18</v>
      </c>
      <c r="E10" s="144">
        <f>SUMIF(CUB!$B$41:$B$48,'Task 4 - Maintenance summary'!E6,CUB!$E$41:$E$48)</f>
        <v>0</v>
      </c>
      <c r="F10" s="144">
        <f>SUMIF(CUB!$B$41:$B$48,'Task 4 - Maintenance summary'!F6,CUB!$E$41:$E$48)</f>
        <v>0</v>
      </c>
      <c r="G10" s="144">
        <f>SUMIF(CUB!$B$41:$B$48,'Task 4 - Maintenance summary'!G6,CUB!$E$41:$E$48)</f>
        <v>0</v>
      </c>
      <c r="H10" s="144">
        <f>SUMIF(CUB!$B$41:$B$48,'Task 4 - Maintenance summary'!H6,CUB!$E$41:$E$48)</f>
        <v>0</v>
      </c>
      <c r="I10" s="144">
        <f>SUMIF(CUB!$B$41:$B$48,'Task 4 - Maintenance summary'!I6,CUB!$E$41:$E$48)</f>
        <v>0.1464</v>
      </c>
      <c r="J10" s="144">
        <f>SUMIF(CUB!$B$41:$B$48,'Task 4 - Maintenance summary'!J6,CUB!$E$41:$E$48)</f>
        <v>0</v>
      </c>
      <c r="K10" s="144">
        <f>SUMIF(CUB!$B$41:$B$48,'Task 4 - Maintenance summary'!K6,CUB!$E$41:$E$48)</f>
        <v>0</v>
      </c>
      <c r="L10" s="144">
        <f>SUMIF(CUB!$B$41:$B$48,'Task 4 - Maintenance summary'!L6,CUB!$E$41:$E$48)</f>
        <v>0</v>
      </c>
      <c r="M10" s="145">
        <f t="shared" si="0"/>
        <v>0.1464</v>
      </c>
    </row>
    <row r="11" spans="2:13" ht="14.15" customHeight="1" x14ac:dyDescent="0.3">
      <c r="B11" s="749"/>
      <c r="C11" s="540" t="s">
        <v>19</v>
      </c>
      <c r="D11" s="130" t="s">
        <v>20</v>
      </c>
      <c r="E11" s="144">
        <f>SUMIF(JUB!$B$53:$B$60,'Task 4 - Maintenance summary'!E6,JUB!$E$53:$E$60)</f>
        <v>0</v>
      </c>
      <c r="F11" s="144">
        <f>SUMIF(JUB!$B$53:$B$60,'Task 4 - Maintenance summary'!F6,JUB!$E$53:$E$60)</f>
        <v>0</v>
      </c>
      <c r="G11" s="144">
        <f>SUMIF(JUB!$B$53:$B$60,'Task 4 - Maintenance summary'!G6,JUB!$E$53:$E$60)</f>
        <v>0</v>
      </c>
      <c r="H11" s="144">
        <f>SUMIF(JUB!$B$53:$B$60,'Task 4 - Maintenance summary'!H6,JUB!$E$53:$E$60)</f>
        <v>0</v>
      </c>
      <c r="I11" s="144">
        <f>SUMIF(JUB!$B$53:$B$60,'Task 4 - Maintenance summary'!I6,JUB!$E$53:$E$60)</f>
        <v>0.20129999999999998</v>
      </c>
      <c r="J11" s="144">
        <f>SUMIF(JUB!$B$53:$B$60,'Task 4 - Maintenance summary'!J6,JUB!$E$53:$E$60)</f>
        <v>0</v>
      </c>
      <c r="K11" s="144">
        <f>SUMIF(JUB!$B$53:$B$60,'Task 4 - Maintenance summary'!K6,JUB!$E$53:$E$60)</f>
        <v>0</v>
      </c>
      <c r="L11" s="144">
        <f>SUMIF(JUB!$B$53:$B$60,'Task 4 - Maintenance summary'!L6,JUB!$E$53:$E$60)</f>
        <v>0</v>
      </c>
      <c r="M11" s="145">
        <f t="shared" si="0"/>
        <v>0.20129999999999998</v>
      </c>
    </row>
    <row r="12" spans="2:13" ht="14.15" customHeight="1" x14ac:dyDescent="0.3">
      <c r="B12" s="749"/>
      <c r="C12" s="540" t="s">
        <v>21</v>
      </c>
      <c r="D12" s="130" t="s">
        <v>22</v>
      </c>
      <c r="E12" s="144">
        <f>SUMIF(OB!$B$46:$B$53,'Task 4 - Maintenance summary'!E6,OB!$E$46:$E$53)</f>
        <v>0</v>
      </c>
      <c r="F12" s="144">
        <f>SUMIF(OB!$B$46:$B$53,'Task 4 - Maintenance summary'!F6,OB!$E$46:$E$53)</f>
        <v>0</v>
      </c>
      <c r="G12" s="144">
        <f>SUMIF(OB!$B$46:$B$53,'Task 4 - Maintenance summary'!G6,OB!$E$46:$E$53)</f>
        <v>0</v>
      </c>
      <c r="H12" s="144">
        <f>SUMIF(OB!$B$46:$B$53,'Task 4 - Maintenance summary'!H6,OB!$E$46:$E$53)</f>
        <v>0</v>
      </c>
      <c r="I12" s="144">
        <f>SUMIF(OB!$B$46:$B$53,'Task 4 - Maintenance summary'!I6,OB!$E$46:$E$53)</f>
        <v>0.53110000000000002</v>
      </c>
      <c r="J12" s="144">
        <f>SUMIF(OB!$B$46:$B$53,'Task 4 - Maintenance summary'!J6,OB!$E$46:$E$53)</f>
        <v>0</v>
      </c>
      <c r="K12" s="144">
        <f>SUMIF(OB!$B$46:$B$53,'Task 4 - Maintenance summary'!K6,OB!$E$46:$E$53)</f>
        <v>0</v>
      </c>
      <c r="L12" s="144">
        <f>SUMIF(OB!$B$46:$B$53,'Task 4 - Maintenance summary'!L6,OB!$E$46:$E$53)</f>
        <v>0</v>
      </c>
      <c r="M12" s="145">
        <f t="shared" si="0"/>
        <v>0.53110000000000002</v>
      </c>
    </row>
    <row r="13" spans="2:13" ht="14.15" customHeight="1" x14ac:dyDescent="0.3">
      <c r="B13" s="749"/>
      <c r="C13" s="540" t="s">
        <v>23</v>
      </c>
      <c r="D13" s="130" t="s">
        <v>24</v>
      </c>
      <c r="E13" s="144">
        <f>SUMIF(PUP!$B$44:$B$51,'Task 4 - Maintenance summary'!E6,PUP!$E$44:$E$51)</f>
        <v>0</v>
      </c>
      <c r="F13" s="144">
        <f>SUMIF(PUP!$B$44:$B$51,'Task 4 - Maintenance summary'!F6,PUP!$E$44:$E$51)</f>
        <v>0</v>
      </c>
      <c r="G13" s="144">
        <f>SUMIF(PUP!$B$44:$B$51,'Task 4 - Maintenance summary'!G6,PUP!$E$44:$E$51)</f>
        <v>0</v>
      </c>
      <c r="H13" s="144">
        <f>SUMIF(PUP!$B$44:$B$51,'Task 4 - Maintenance summary'!H6,PUP!$E$44:$E$51)</f>
        <v>0</v>
      </c>
      <c r="I13" s="144">
        <f>SUMIF(PUP!$B$44:$B$51,'Task 4 - Maintenance summary'!I6,PUP!$E$44:$E$51)</f>
        <v>0.16739999999999999</v>
      </c>
      <c r="J13" s="144">
        <f>SUMIF(PUP!$B$44:$B$51,'Task 4 - Maintenance summary'!J6,PUP!$E$44:$E$51)</f>
        <v>0</v>
      </c>
      <c r="K13" s="144">
        <f>SUMIF(PUP!$B$44:$B$51,'Task 4 - Maintenance summary'!K6,PUP!$E$44:$E$51)</f>
        <v>0</v>
      </c>
      <c r="L13" s="144">
        <f>SUMIF(PUP!$B$44:$B$51,'Task 4 - Maintenance summary'!L6,PUP!$E$44:$E$51)</f>
        <v>0</v>
      </c>
      <c r="M13" s="145">
        <f t="shared" si="0"/>
        <v>0.16739999999999999</v>
      </c>
    </row>
    <row r="14" spans="2:13" ht="14.15" customHeight="1" x14ac:dyDescent="0.3">
      <c r="B14" s="749"/>
      <c r="C14" s="540" t="s">
        <v>26</v>
      </c>
      <c r="D14" s="130" t="s">
        <v>27</v>
      </c>
      <c r="E14" s="144">
        <f>SUMIF(RB!$B$45:$B$52,'Task 4 - Maintenance summary'!E6,RB!$E$45:$E$52)</f>
        <v>0</v>
      </c>
      <c r="F14" s="144">
        <f>SUMIF(RB!$B$45:$B$52,'Task 4 - Maintenance summary'!F6,RB!$E$45:$E$52)</f>
        <v>0</v>
      </c>
      <c r="G14" s="144">
        <f>SUMIF(RB!$B$45:$B$52,'Task 4 - Maintenance summary'!G6,RB!$E$45:$E$52)</f>
        <v>0</v>
      </c>
      <c r="H14" s="144">
        <f>SUMIF(RB!$B$45:$B$52,'Task 4 - Maintenance summary'!H6,RB!$E$45:$E$52)</f>
        <v>0</v>
      </c>
      <c r="I14" s="144">
        <f>SUMIF(RB!$B$45:$B$52,'Task 4 - Maintenance summary'!I6,RB!$E$45:$E$52)</f>
        <v>0.95929999999999982</v>
      </c>
      <c r="J14" s="144">
        <f>SUMIF(RB!$B$45:$B$52,'Task 4 - Maintenance summary'!J6,RB!$E$45:$E$52)</f>
        <v>0</v>
      </c>
      <c r="K14" s="144">
        <f>SUMIF(RB!$B$45:$B$52,'Task 4 - Maintenance summary'!K6,RB!$E$45:$E$52)</f>
        <v>0</v>
      </c>
      <c r="L14" s="144">
        <f>SUMIF(RB!$B$45:$B$52,'Task 4 - Maintenance summary'!L6,RB!$E$45:$E$52)</f>
        <v>0</v>
      </c>
      <c r="M14" s="145">
        <f t="shared" si="0"/>
        <v>0.95929999999999982</v>
      </c>
    </row>
    <row r="15" spans="2:13" ht="14.15" customHeight="1" x14ac:dyDescent="0.3">
      <c r="B15" s="749"/>
      <c r="C15" s="540" t="s">
        <v>28</v>
      </c>
      <c r="D15" s="130" t="s">
        <v>29</v>
      </c>
      <c r="E15" s="144">
        <f>SUMIF(UB!$B$48:$B$55,'Task 4 - Maintenance summary'!E6,UB!$E$48:$E$55)</f>
        <v>0</v>
      </c>
      <c r="F15" s="144">
        <f>SUMIF(UB!$B$48:$B$55,'Task 4 - Maintenance summary'!F6,UB!$E$48:$E$55)</f>
        <v>0</v>
      </c>
      <c r="G15" s="144">
        <f>SUMIF(UB!$B$48:$B$55,'Task 4 - Maintenance summary'!G6,UB!$E$48:$E$55)</f>
        <v>0</v>
      </c>
      <c r="H15" s="144">
        <f>SUMIF(UB!$B$48:$B$55,'Task 4 - Maintenance summary'!H6,UB!$E$48:$E$55)</f>
        <v>0</v>
      </c>
      <c r="I15" s="144">
        <f>SUMIF(UB!$B$48:$B$55,'Task 4 - Maintenance summary'!I6,UB!$E$48:$E$55)</f>
        <v>0.4965</v>
      </c>
      <c r="J15" s="144">
        <f>SUMIF(UB!$B$48:$B$55,'Task 4 - Maintenance summary'!J6,UB!$E$48:$E$55)</f>
        <v>0</v>
      </c>
      <c r="K15" s="144">
        <f>SUMIF(UB!$B$48:$B$55,'Task 4 - Maintenance summary'!K6,UB!$E$48:$E$55)</f>
        <v>0</v>
      </c>
      <c r="L15" s="144">
        <f>SUMIF(UB!$B$48:$B$55,'Task 4 - Maintenance summary'!L6,UB!$E$48:$E$55)</f>
        <v>0</v>
      </c>
      <c r="M15" s="145">
        <f t="shared" si="0"/>
        <v>0.4965</v>
      </c>
    </row>
    <row r="16" spans="2:13" ht="14.15" customHeight="1" x14ac:dyDescent="0.3">
      <c r="B16" s="749"/>
      <c r="C16" s="540" t="s">
        <v>30</v>
      </c>
      <c r="D16" s="130" t="s">
        <v>280</v>
      </c>
      <c r="E16" s="144">
        <f>SUMIF('C'!$B$43:$B$50,'Task 4 - Maintenance summary'!E6,'C'!$E$43:$E$50)</f>
        <v>0</v>
      </c>
      <c r="F16" s="144">
        <f>SUMIF('C'!$B$43:$B$50,'Task 4 - Maintenance summary'!F6,'C'!$E$43:$E$50)</f>
        <v>0</v>
      </c>
      <c r="G16" s="144">
        <f>SUMIF('C'!$B$43:$B$50,'Task 4 - Maintenance summary'!G6,'C'!$E$43:$E$50)</f>
        <v>0</v>
      </c>
      <c r="H16" s="144">
        <f>SUMIF('C'!$B$43:$B$50,'Task 4 - Maintenance summary'!H6,'C'!$E$43:$E$50)</f>
        <v>0</v>
      </c>
      <c r="I16" s="144">
        <f>SUMIF('C'!$B$43:$B$50,'Task 4 - Maintenance summary'!I6,'C'!$E$43:$E$50)</f>
        <v>0.3921</v>
      </c>
      <c r="J16" s="144">
        <f>SUMIF('C'!$B$43:$B$50,'Task 4 - Maintenance summary'!J6,'C'!$E$43:$E$50)</f>
        <v>0</v>
      </c>
      <c r="K16" s="144">
        <f>SUMIF('C'!$B$43:$B$50,'Task 4 - Maintenance summary'!K6,'C'!$E$43:$E$50)</f>
        <v>0</v>
      </c>
      <c r="L16" s="144">
        <f>SUMIF('C'!$B$43:$B$50,'Task 4 - Maintenance summary'!L6,'C'!$E$43:$E$50)</f>
        <v>0</v>
      </c>
      <c r="M16" s="145">
        <f t="shared" si="0"/>
        <v>0.3921</v>
      </c>
    </row>
    <row r="17" spans="2:15" ht="14.15" customHeight="1" x14ac:dyDescent="0.3">
      <c r="B17" s="749"/>
      <c r="C17" s="540" t="s">
        <v>32</v>
      </c>
      <c r="D17" s="130" t="s">
        <v>33</v>
      </c>
      <c r="E17" s="144">
        <f>SUMIF(SR!$B$37:$B$44,'Task 4 - Maintenance summary'!E6,SR!$E$37:$E$44)</f>
        <v>0</v>
      </c>
      <c r="F17" s="144">
        <f>SUMIF(SR!$B$37:$B$44,'Task 4 - Maintenance summary'!F6,SR!$E$37:$E$44)</f>
        <v>746.75420000000008</v>
      </c>
      <c r="G17" s="144">
        <f>SUMIF(SR!$B$37:$B$44,'Task 4 - Maintenance summary'!G6,SR!$E$37:$E$44)</f>
        <v>0</v>
      </c>
      <c r="H17" s="144">
        <f>SUMIF(SR!$B$37:$B$44,'Task 4 - Maintenance summary'!H6,SR!$E$37:$E$44)</f>
        <v>0</v>
      </c>
      <c r="I17" s="144">
        <f>SUMIF(SR!$B$37:$B$44,'Task 4 - Maintenance summary'!I6,SR!$E$37:$E$44)</f>
        <v>0</v>
      </c>
      <c r="J17" s="144">
        <f>SUMIF(SR!$B$37:$B$44,'Task 4 - Maintenance summary'!J6,SR!$E$37:$E$44)</f>
        <v>0</v>
      </c>
      <c r="K17" s="144">
        <f>SUMIF(SR!$B$37:$B$44,'Task 4 - Maintenance summary'!K6,SR!$E$37:$E$44)</f>
        <v>0</v>
      </c>
      <c r="L17" s="144">
        <f>SUMIF(SR!$B$37:$B$44,'Task 4 - Maintenance summary'!L6,SR!$E$37:$E$44)</f>
        <v>10.6889</v>
      </c>
      <c r="M17" s="157">
        <f t="shared" si="0"/>
        <v>757.44310000000007</v>
      </c>
    </row>
    <row r="18" spans="2:15" ht="14.15" customHeight="1" x14ac:dyDescent="0.3">
      <c r="B18" s="749"/>
      <c r="C18" s="540" t="s">
        <v>34</v>
      </c>
      <c r="D18" s="130" t="s">
        <v>35</v>
      </c>
      <c r="E18" s="144">
        <f>SUMIF(J!$B$49:$B$56,'Task 4 - Maintenance summary'!E6,J!$E$49:$E$56)</f>
        <v>180.18530000000001</v>
      </c>
      <c r="F18" s="144">
        <f>SUMIF(J!$B$49:$B$56,'Task 4 - Maintenance summary'!F6,J!$E$49:$E$56)</f>
        <v>1001.0226999999999</v>
      </c>
      <c r="G18" s="144">
        <f>SUMIF(J!$B$49:$B$56,'Task 4 - Maintenance summary'!G6,J!$E$49:$E$56)</f>
        <v>0</v>
      </c>
      <c r="H18" s="144">
        <f>SUMIF(J!$B$49:$B$56,'Task 4 - Maintenance summary'!H6,J!$E$49:$E$56)</f>
        <v>0</v>
      </c>
      <c r="I18" s="144">
        <f>SUMIF(J!$B$49:$B$56,'Task 4 - Maintenance summary'!I6,J!$E$49:$E$56)</f>
        <v>0</v>
      </c>
      <c r="J18" s="144">
        <f>SUMIF(J!$B$49:$B$56,'Task 4 - Maintenance summary'!J6,J!$E$49:$E$56)</f>
        <v>0</v>
      </c>
      <c r="K18" s="144">
        <f>SUMIF(J!$B$49:$B$56,'Task 4 - Maintenance summary'!K6,J!$E$49:$E$56)</f>
        <v>0</v>
      </c>
      <c r="L18" s="144">
        <f>SUMIF(J!$B$49:$B$56,'Task 4 - Maintenance summary'!L6,J!$E$49:$E$56)</f>
        <v>15.381499999999999</v>
      </c>
      <c r="M18" s="157">
        <f t="shared" si="0"/>
        <v>1196.5894999999998</v>
      </c>
    </row>
    <row r="19" spans="2:15" ht="14.15" customHeight="1" x14ac:dyDescent="0.3">
      <c r="B19" s="750"/>
      <c r="C19" s="540" t="s">
        <v>166</v>
      </c>
      <c r="D19" s="130" t="s">
        <v>279</v>
      </c>
      <c r="E19" s="144">
        <f>_xlfn.XLOOKUP(E6,M!$B$48:$B$55,M!$E$48:$E$55)</f>
        <v>0</v>
      </c>
      <c r="F19" s="144">
        <f>_xlfn.XLOOKUP(F6,M!$B$48:$B$55,M!$E$48:$E$55)</f>
        <v>16488.1456</v>
      </c>
      <c r="G19" s="144">
        <f>_xlfn.XLOOKUP(G6,M!$B$48:$B$55,M!$E$48:$E$55)</f>
        <v>98.117999999999995</v>
      </c>
      <c r="H19" s="144">
        <f>_xlfn.XLOOKUP(H6,M!$B$48:$B$55,M!$E$48:$E$55)</f>
        <v>0</v>
      </c>
      <c r="I19" s="144">
        <f>_xlfn.XLOOKUP(I6,M!$B$48:$B$55,M!$E$48:$E$55)</f>
        <v>0</v>
      </c>
      <c r="J19" s="144">
        <f>_xlfn.XLOOKUP(J6,M!$B$48:$B$55,M!$E$48:$E$55)</f>
        <v>11.282999999999999</v>
      </c>
      <c r="K19" s="144">
        <f>_xlfn.XLOOKUP(K6,M!$B$48:$B$55,M!$E$48:$E$55)</f>
        <v>0</v>
      </c>
      <c r="L19" s="144">
        <f>_xlfn.XLOOKUP(L6,M!$B$48:$B$55,M!$E$48:$E$55)</f>
        <v>353.02559999999994</v>
      </c>
      <c r="M19" s="157">
        <f>SUM(E19:L19)</f>
        <v>16950.572199999999</v>
      </c>
    </row>
    <row r="20" spans="2:15" ht="25" customHeight="1" x14ac:dyDescent="0.3">
      <c r="B20" s="761" t="s">
        <v>694</v>
      </c>
      <c r="C20" s="130" t="s">
        <v>13</v>
      </c>
      <c r="D20" s="130" t="s">
        <v>14</v>
      </c>
      <c r="E20" s="541">
        <f>'Other structures'!$C$30*_xlfn.XLOOKUP('Task 4 - Maintenance summary'!E6,AUB!$B$55:$B$62,AUB!$H$55:$H$62)</f>
        <v>0</v>
      </c>
      <c r="F20" s="541">
        <f>'Other structures'!$C$30*_xlfn.XLOOKUP('Task 4 - Maintenance summary'!F6,AUB!$B$55:$B$62,AUB!$H$55:$H$62)</f>
        <v>0</v>
      </c>
      <c r="G20" s="541">
        <f>'Other structures'!$C$30*_xlfn.XLOOKUP('Task 4 - Maintenance summary'!G6,AUB!$B$55:$B$62,AUB!$H$55:$H$62)</f>
        <v>0</v>
      </c>
      <c r="H20" s="541">
        <f>'Other structures'!$C$30*_xlfn.XLOOKUP('Task 4 - Maintenance summary'!H6,AUB!$B$55:$B$62,AUB!$H$55:$H$62)</f>
        <v>0</v>
      </c>
      <c r="I20" s="541">
        <f>'Other structures'!$C$30*_xlfn.XLOOKUP('Task 4 - Maintenance summary'!I6,AUB!$B$55:$B$62,AUB!$H$55:$H$62)</f>
        <v>1.0772496598650314</v>
      </c>
      <c r="J20" s="541">
        <f>'Other structures'!$C$30*_xlfn.XLOOKUP('Task 4 - Maintenance summary'!J6,AUB!$B$55:$B$62,AUB!$H$55:$H$62)</f>
        <v>0</v>
      </c>
      <c r="K20" s="541">
        <f>'Other structures'!$C$30*_xlfn.XLOOKUP('Task 4 - Maintenance summary'!K6,AUB!$B$55:$B$62,AUB!$H$55:$H$62)</f>
        <v>0</v>
      </c>
      <c r="L20" s="541">
        <f>'Other structures'!$C$30*_xlfn.XLOOKUP('Task 4 - Maintenance summary'!L6,AUB!$B$55:$B$62,AUB!$H$55:$H$62)</f>
        <v>0</v>
      </c>
      <c r="M20" s="145">
        <f t="shared" ref="M20:M22" si="1">SUM(E20:L20)</f>
        <v>1.0772496598650314</v>
      </c>
    </row>
    <row r="21" spans="2:15" ht="25" customHeight="1" x14ac:dyDescent="0.3">
      <c r="B21" s="761"/>
      <c r="C21" s="130" t="s">
        <v>19</v>
      </c>
      <c r="D21" s="130" t="s">
        <v>20</v>
      </c>
      <c r="E21" s="541">
        <f>'Other structures'!$C$31*_xlfn.XLOOKUP('Task 4 - Maintenance summary'!E6,JUB!$B$53:$B$60,JUB!$H$53:$H$60)</f>
        <v>0</v>
      </c>
      <c r="F21" s="541">
        <f>'Other structures'!$C$31*_xlfn.XLOOKUP('Task 4 - Maintenance summary'!F6,JUB!$B$53:$B$60,JUB!$H$53:$H$60)</f>
        <v>0</v>
      </c>
      <c r="G21" s="541">
        <f>'Other structures'!$C$31*_xlfn.XLOOKUP('Task 4 - Maintenance summary'!G6,JUB!$B$53:$B$60,JUB!$H$53:$H$60)</f>
        <v>0</v>
      </c>
      <c r="H21" s="541">
        <f>'Other structures'!$C$31*_xlfn.XLOOKUP('Task 4 - Maintenance summary'!H6,JUB!$B$53:$B$60,JUB!$H$53:$H$60)</f>
        <v>0</v>
      </c>
      <c r="I21" s="541">
        <f>'Other structures'!$C$31*_xlfn.XLOOKUP('Task 4 - Maintenance summary'!I6,JUB!$B$53:$B$60,JUB!$H$53:$H$60)</f>
        <v>0.16470078734115046</v>
      </c>
      <c r="J21" s="541">
        <f>'Other structures'!$C$31*_xlfn.XLOOKUP('Task 4 - Maintenance summary'!J6,JUB!$B$53:$B$60,JUB!$H$53:$H$60)</f>
        <v>0</v>
      </c>
      <c r="K21" s="541">
        <f>'Other structures'!$C$31*_xlfn.XLOOKUP('Task 4 - Maintenance summary'!K6,JUB!$B$53:$B$60,JUB!$H$53:$H$60)</f>
        <v>0</v>
      </c>
      <c r="L21" s="541">
        <f>'Other structures'!$C$31*_xlfn.XLOOKUP('Task 4 - Maintenance summary'!L6,JUB!$B$53:$B$60,JUB!$H$53:$H$60)</f>
        <v>0</v>
      </c>
      <c r="M21" s="145">
        <f t="shared" si="1"/>
        <v>0.16470078734115046</v>
      </c>
    </row>
    <row r="22" spans="2:15" ht="25" customHeight="1" x14ac:dyDescent="0.3">
      <c r="B22" s="761"/>
      <c r="C22" s="130" t="s">
        <v>28</v>
      </c>
      <c r="D22" s="130" t="s">
        <v>29</v>
      </c>
      <c r="E22" s="541">
        <f>'Other structures'!$C$32*_xlfn.XLOOKUP('Task 4 - Maintenance summary'!E6,UB!$B$48:$B$55,UB!$H$48:$H$55)</f>
        <v>0</v>
      </c>
      <c r="F22" s="541">
        <f>'Other structures'!$C$32*_xlfn.XLOOKUP('Task 4 - Maintenance summary'!F6,UB!$B$48:$B$55,UB!$H$48:$H$55)</f>
        <v>0</v>
      </c>
      <c r="G22" s="541">
        <f>'Other structures'!$C$32*_xlfn.XLOOKUP('Task 4 - Maintenance summary'!G6,UB!$B$48:$B$55,UB!$H$48:$H$55)</f>
        <v>0</v>
      </c>
      <c r="H22" s="541">
        <f>'Other structures'!$C$32*_xlfn.XLOOKUP('Task 4 - Maintenance summary'!H6,UB!$B$48:$B$55,UB!$H$48:$H$55)</f>
        <v>0</v>
      </c>
      <c r="I22" s="541">
        <f>'Other structures'!$C$32*_xlfn.XLOOKUP('Task 4 - Maintenance summary'!I6,UB!$B$48:$B$55,UB!$H$48:$H$55)</f>
        <v>0.23539782741106968</v>
      </c>
      <c r="J22" s="541">
        <f>'Other structures'!$C$32*_xlfn.XLOOKUP('Task 4 - Maintenance summary'!J6,UB!$B$48:$B$55,UB!$H$48:$H$55)</f>
        <v>0</v>
      </c>
      <c r="K22" s="541">
        <f>'Other structures'!$C$32*_xlfn.XLOOKUP('Task 4 - Maintenance summary'!K6,UB!$B$48:$B$55,UB!$H$48:$H$55)</f>
        <v>0</v>
      </c>
      <c r="L22" s="541">
        <f>'Other structures'!$C$32*_xlfn.XLOOKUP('Task 4 - Maintenance summary'!L6,UB!$B$48:$B$55,UB!$H$48:$H$55)</f>
        <v>0</v>
      </c>
      <c r="M22" s="145">
        <f t="shared" si="1"/>
        <v>0.23539782741106968</v>
      </c>
    </row>
    <row r="23" spans="2:15" ht="36.65" customHeight="1" thickBot="1" x14ac:dyDescent="0.35">
      <c r="B23" s="758" t="s">
        <v>334</v>
      </c>
      <c r="C23" s="759"/>
      <c r="D23" s="760"/>
      <c r="E23" s="563">
        <f>SUM(E7:E22)</f>
        <v>180.18530000000001</v>
      </c>
      <c r="F23" s="563">
        <f t="shared" ref="F23:L23" si="2">SUM(F7:F22)</f>
        <v>18235.922500000001</v>
      </c>
      <c r="G23" s="563">
        <f t="shared" si="2"/>
        <v>98.117999999999995</v>
      </c>
      <c r="H23" s="563">
        <f t="shared" si="2"/>
        <v>0</v>
      </c>
      <c r="I23" s="563">
        <f t="shared" si="2"/>
        <v>5.177748274617251</v>
      </c>
      <c r="J23" s="563">
        <f t="shared" si="2"/>
        <v>11.282999999999999</v>
      </c>
      <c r="K23" s="563">
        <f t="shared" si="2"/>
        <v>0</v>
      </c>
      <c r="L23" s="563">
        <f t="shared" si="2"/>
        <v>379.09599999999995</v>
      </c>
      <c r="M23" s="566">
        <f>SUM(M7:M22)</f>
        <v>18909.782548274616</v>
      </c>
    </row>
    <row r="24" spans="2:15" ht="19" customHeight="1" x14ac:dyDescent="0.3"/>
    <row r="25" spans="2:15" ht="29" thickBot="1" x14ac:dyDescent="0.35">
      <c r="B25" s="251" t="s">
        <v>718</v>
      </c>
    </row>
    <row r="26" spans="2:15" ht="47" thickBot="1" x14ac:dyDescent="0.35">
      <c r="B26" s="584"/>
      <c r="C26" s="539" t="s">
        <v>37</v>
      </c>
      <c r="D26" s="139" t="s">
        <v>738</v>
      </c>
      <c r="E26" s="142" t="s">
        <v>328</v>
      </c>
      <c r="F26" s="142" t="s">
        <v>329</v>
      </c>
      <c r="G26" s="142" t="s">
        <v>330</v>
      </c>
      <c r="H26" s="142" t="s">
        <v>338</v>
      </c>
      <c r="I26" s="142" t="s">
        <v>337</v>
      </c>
      <c r="J26" s="142" t="s">
        <v>341</v>
      </c>
      <c r="K26" s="142" t="s">
        <v>340</v>
      </c>
      <c r="L26" s="142" t="s">
        <v>339</v>
      </c>
      <c r="M26" s="75" t="s">
        <v>333</v>
      </c>
      <c r="N26" s="581" t="s">
        <v>720</v>
      </c>
    </row>
    <row r="27" spans="2:15" ht="28" x14ac:dyDescent="0.3">
      <c r="B27" s="762" t="s">
        <v>719</v>
      </c>
      <c r="C27" s="540" t="s">
        <v>11</v>
      </c>
      <c r="D27" s="130" t="s">
        <v>12</v>
      </c>
      <c r="E27" s="561">
        <f>SUMIF($C$7:$C$22,C27,$E$7:$E$22)</f>
        <v>0</v>
      </c>
      <c r="F27" s="561">
        <f>SUMIF($C$7:$C$22,C27,$F$7:$F$22)</f>
        <v>0</v>
      </c>
      <c r="G27" s="561">
        <f>SUMIF($C$7:$C$22,C27,$G$7:$G$22)</f>
        <v>0</v>
      </c>
      <c r="H27" s="561">
        <f>SUMIF($C$7:$C$22,C27,$H$7:$H$22)</f>
        <v>0</v>
      </c>
      <c r="I27" s="561">
        <f>SUMIF($C$7:$C$22,C27,$I$7:$I$22)</f>
        <v>0.1147</v>
      </c>
      <c r="J27" s="561">
        <f>SUMIF($C$7:$C$22,C27,$J$7:$J$22)</f>
        <v>0</v>
      </c>
      <c r="K27" s="561">
        <f>SUMIF($C$7:$C$22,C27,$K$7:$K$22)</f>
        <v>0</v>
      </c>
      <c r="L27" s="561">
        <f>SUMIF($C$7:$C$22,C27,$L$7:$L$22)</f>
        <v>0</v>
      </c>
      <c r="M27" s="144">
        <f>SUM(E27:L27)</f>
        <v>0.1147</v>
      </c>
      <c r="N27" s="582">
        <f>M27/$M$40</f>
        <v>6.0656435211342791E-6</v>
      </c>
      <c r="O27" s="560"/>
    </row>
    <row r="28" spans="2:15" ht="28" x14ac:dyDescent="0.3">
      <c r="B28" s="763"/>
      <c r="C28" s="540" t="s">
        <v>13</v>
      </c>
      <c r="D28" s="130" t="s">
        <v>14</v>
      </c>
      <c r="E28" s="561">
        <f t="shared" ref="E28:E39" si="3">SUMIF($C$7:$C$22,C28,$E$7:$E$22)</f>
        <v>0</v>
      </c>
      <c r="F28" s="561">
        <f t="shared" ref="F28:F39" si="4">SUMIF($C$7:$C$22,C28,$F$7:$F$22)</f>
        <v>0</v>
      </c>
      <c r="G28" s="561">
        <f t="shared" ref="G28:G39" si="5">SUMIF($C$7:$C$22,C28,$G$7:$G$22)</f>
        <v>0</v>
      </c>
      <c r="H28" s="561">
        <f t="shared" ref="H28:H39" si="6">SUMIF($C$7:$C$22,C28,$H$7:$H$22)</f>
        <v>0</v>
      </c>
      <c r="I28" s="561">
        <f t="shared" ref="I28:I39" si="7">SUMIF($C$7:$C$22,C28,$I$7:$I$22)</f>
        <v>1.5208496598650314</v>
      </c>
      <c r="J28" s="561">
        <f t="shared" ref="J28:J39" si="8">SUMIF($C$7:$C$22,C28,$J$7:$J$22)</f>
        <v>0</v>
      </c>
      <c r="K28" s="561">
        <f t="shared" ref="K28:K39" si="9">SUMIF($C$7:$C$22,C28,$K$7:$K$22)</f>
        <v>0</v>
      </c>
      <c r="L28" s="561">
        <f t="shared" ref="L28:L39" si="10">SUMIF($C$7:$C$22,C28,$L$7:$L$22)</f>
        <v>0</v>
      </c>
      <c r="M28" s="144">
        <f t="shared" ref="M28:M40" si="11">SUM(E28:L28)</f>
        <v>1.5208496598650314</v>
      </c>
      <c r="N28" s="582">
        <f t="shared" ref="N28:N38" si="12">M28/$M$40</f>
        <v>8.0426607549952911E-5</v>
      </c>
      <c r="O28" s="560"/>
    </row>
    <row r="29" spans="2:15" ht="42" x14ac:dyDescent="0.3">
      <c r="B29" s="763"/>
      <c r="C29" s="540" t="s">
        <v>15</v>
      </c>
      <c r="D29" s="130" t="s">
        <v>16</v>
      </c>
      <c r="E29" s="561">
        <f t="shared" si="3"/>
        <v>0</v>
      </c>
      <c r="F29" s="561">
        <f t="shared" si="4"/>
        <v>0</v>
      </c>
      <c r="G29" s="561">
        <f t="shared" si="5"/>
        <v>0</v>
      </c>
      <c r="H29" s="561">
        <f t="shared" si="6"/>
        <v>0</v>
      </c>
      <c r="I29" s="561">
        <f t="shared" si="7"/>
        <v>0.24799999999999997</v>
      </c>
      <c r="J29" s="561">
        <f t="shared" si="8"/>
        <v>0</v>
      </c>
      <c r="K29" s="561">
        <f t="shared" si="9"/>
        <v>0</v>
      </c>
      <c r="L29" s="561">
        <f t="shared" si="10"/>
        <v>0</v>
      </c>
      <c r="M29" s="144">
        <f t="shared" si="11"/>
        <v>0.24799999999999997</v>
      </c>
      <c r="N29" s="582">
        <f t="shared" si="12"/>
        <v>1.3114904910560601E-5</v>
      </c>
      <c r="O29" s="560"/>
    </row>
    <row r="30" spans="2:15" ht="28" x14ac:dyDescent="0.3">
      <c r="B30" s="763"/>
      <c r="C30" s="540" t="s">
        <v>17</v>
      </c>
      <c r="D30" s="130" t="s">
        <v>18</v>
      </c>
      <c r="E30" s="561">
        <f t="shared" si="3"/>
        <v>0</v>
      </c>
      <c r="F30" s="561">
        <f t="shared" si="4"/>
        <v>0</v>
      </c>
      <c r="G30" s="561">
        <f t="shared" si="5"/>
        <v>0</v>
      </c>
      <c r="H30" s="561">
        <f>SUMIF($C$7:$C$22,C30,$H$7:$H$22)</f>
        <v>0</v>
      </c>
      <c r="I30" s="561">
        <f t="shared" si="7"/>
        <v>0.1464</v>
      </c>
      <c r="J30" s="561">
        <f t="shared" si="8"/>
        <v>0</v>
      </c>
      <c r="K30" s="561">
        <f t="shared" si="9"/>
        <v>0</v>
      </c>
      <c r="L30" s="561">
        <f t="shared" si="10"/>
        <v>0</v>
      </c>
      <c r="M30" s="144">
        <f t="shared" si="11"/>
        <v>0.1464</v>
      </c>
      <c r="N30" s="582">
        <f t="shared" si="12"/>
        <v>7.7420245117180335E-6</v>
      </c>
      <c r="O30" s="560"/>
    </row>
    <row r="31" spans="2:15" ht="22.5" customHeight="1" x14ac:dyDescent="0.3">
      <c r="B31" s="763"/>
      <c r="C31" s="540" t="s">
        <v>19</v>
      </c>
      <c r="D31" s="130" t="s">
        <v>20</v>
      </c>
      <c r="E31" s="561">
        <f t="shared" si="3"/>
        <v>0</v>
      </c>
      <c r="F31" s="561">
        <f t="shared" si="4"/>
        <v>0</v>
      </c>
      <c r="G31" s="561">
        <f t="shared" si="5"/>
        <v>0</v>
      </c>
      <c r="H31" s="561">
        <f t="shared" si="6"/>
        <v>0</v>
      </c>
      <c r="I31" s="561">
        <f t="shared" si="7"/>
        <v>0.36600078734115044</v>
      </c>
      <c r="J31" s="561">
        <f t="shared" si="8"/>
        <v>0</v>
      </c>
      <c r="K31" s="561">
        <f t="shared" si="9"/>
        <v>0</v>
      </c>
      <c r="L31" s="561">
        <f t="shared" si="10"/>
        <v>0</v>
      </c>
      <c r="M31" s="144">
        <f t="shared" si="11"/>
        <v>0.36600078734115044</v>
      </c>
      <c r="N31" s="582">
        <f t="shared" si="12"/>
        <v>1.9355102916006053E-5</v>
      </c>
      <c r="O31" s="560"/>
    </row>
    <row r="32" spans="2:15" ht="22.5" customHeight="1" x14ac:dyDescent="0.3">
      <c r="B32" s="763"/>
      <c r="C32" s="540" t="s">
        <v>21</v>
      </c>
      <c r="D32" s="130" t="s">
        <v>22</v>
      </c>
      <c r="E32" s="561">
        <f t="shared" si="3"/>
        <v>0</v>
      </c>
      <c r="F32" s="561">
        <f t="shared" si="4"/>
        <v>0</v>
      </c>
      <c r="G32" s="561">
        <f t="shared" si="5"/>
        <v>0</v>
      </c>
      <c r="H32" s="561">
        <f t="shared" si="6"/>
        <v>0</v>
      </c>
      <c r="I32" s="561">
        <f t="shared" si="7"/>
        <v>0.53110000000000002</v>
      </c>
      <c r="J32" s="561">
        <f t="shared" si="8"/>
        <v>0</v>
      </c>
      <c r="K32" s="561">
        <f t="shared" si="9"/>
        <v>0</v>
      </c>
      <c r="L32" s="561">
        <f t="shared" si="10"/>
        <v>0</v>
      </c>
      <c r="M32" s="144">
        <f t="shared" si="11"/>
        <v>0.53110000000000002</v>
      </c>
      <c r="N32" s="582">
        <f t="shared" si="12"/>
        <v>2.808599192741426E-5</v>
      </c>
      <c r="O32" s="560"/>
    </row>
    <row r="33" spans="2:15" ht="32.5" customHeight="1" x14ac:dyDescent="0.3">
      <c r="B33" s="763"/>
      <c r="C33" s="540" t="s">
        <v>23</v>
      </c>
      <c r="D33" s="130" t="s">
        <v>24</v>
      </c>
      <c r="E33" s="561">
        <f t="shared" si="3"/>
        <v>0</v>
      </c>
      <c r="F33" s="561">
        <f t="shared" si="4"/>
        <v>0</v>
      </c>
      <c r="G33" s="561">
        <f t="shared" si="5"/>
        <v>0</v>
      </c>
      <c r="H33" s="561">
        <f t="shared" si="6"/>
        <v>0</v>
      </c>
      <c r="I33" s="561">
        <f t="shared" si="7"/>
        <v>0.16739999999999999</v>
      </c>
      <c r="J33" s="561">
        <f t="shared" si="8"/>
        <v>0</v>
      </c>
      <c r="K33" s="561">
        <f t="shared" si="9"/>
        <v>0</v>
      </c>
      <c r="L33" s="561">
        <f t="shared" si="10"/>
        <v>0</v>
      </c>
      <c r="M33" s="144">
        <f t="shared" si="11"/>
        <v>0.16739999999999999</v>
      </c>
      <c r="N33" s="582">
        <f t="shared" si="12"/>
        <v>8.8525608146284071E-6</v>
      </c>
      <c r="O33" s="560"/>
    </row>
    <row r="34" spans="2:15" ht="22.5" customHeight="1" x14ac:dyDescent="0.3">
      <c r="B34" s="763"/>
      <c r="C34" s="540" t="s">
        <v>26</v>
      </c>
      <c r="D34" s="130" t="s">
        <v>27</v>
      </c>
      <c r="E34" s="561">
        <f t="shared" si="3"/>
        <v>0</v>
      </c>
      <c r="F34" s="561">
        <f t="shared" si="4"/>
        <v>0</v>
      </c>
      <c r="G34" s="561">
        <f t="shared" si="5"/>
        <v>0</v>
      </c>
      <c r="H34" s="561">
        <f t="shared" si="6"/>
        <v>0</v>
      </c>
      <c r="I34" s="561">
        <f t="shared" si="7"/>
        <v>0.95929999999999982</v>
      </c>
      <c r="J34" s="561">
        <f t="shared" si="8"/>
        <v>0</v>
      </c>
      <c r="K34" s="561">
        <f t="shared" si="9"/>
        <v>0</v>
      </c>
      <c r="L34" s="561">
        <f t="shared" si="10"/>
        <v>0</v>
      </c>
      <c r="M34" s="144">
        <f t="shared" si="11"/>
        <v>0.95929999999999982</v>
      </c>
      <c r="N34" s="582">
        <f t="shared" si="12"/>
        <v>5.0730355970567676E-5</v>
      </c>
      <c r="O34" s="560"/>
    </row>
    <row r="35" spans="2:15" ht="22.5" customHeight="1" x14ac:dyDescent="0.3">
      <c r="B35" s="763"/>
      <c r="C35" s="540" t="s">
        <v>28</v>
      </c>
      <c r="D35" s="130" t="s">
        <v>29</v>
      </c>
      <c r="E35" s="561">
        <f t="shared" si="3"/>
        <v>0</v>
      </c>
      <c r="F35" s="561">
        <f t="shared" si="4"/>
        <v>0</v>
      </c>
      <c r="G35" s="561">
        <f t="shared" si="5"/>
        <v>0</v>
      </c>
      <c r="H35" s="561">
        <f t="shared" si="6"/>
        <v>0</v>
      </c>
      <c r="I35" s="561">
        <f t="shared" si="7"/>
        <v>0.73189782741106968</v>
      </c>
      <c r="J35" s="561">
        <f t="shared" si="8"/>
        <v>0</v>
      </c>
      <c r="K35" s="561">
        <f t="shared" si="9"/>
        <v>0</v>
      </c>
      <c r="L35" s="561">
        <f t="shared" si="10"/>
        <v>0</v>
      </c>
      <c r="M35" s="144">
        <f t="shared" si="11"/>
        <v>0.73189782741106968</v>
      </c>
      <c r="N35" s="582">
        <f t="shared" si="12"/>
        <v>3.8704719398153523E-5</v>
      </c>
      <c r="O35" s="560"/>
    </row>
    <row r="36" spans="2:15" ht="22.5" customHeight="1" x14ac:dyDescent="0.3">
      <c r="B36" s="763"/>
      <c r="C36" s="540" t="s">
        <v>30</v>
      </c>
      <c r="D36" s="130" t="s">
        <v>280</v>
      </c>
      <c r="E36" s="561">
        <f t="shared" si="3"/>
        <v>0</v>
      </c>
      <c r="F36" s="561">
        <f t="shared" si="4"/>
        <v>0</v>
      </c>
      <c r="G36" s="561">
        <f t="shared" si="5"/>
        <v>0</v>
      </c>
      <c r="H36" s="561">
        <f t="shared" si="6"/>
        <v>0</v>
      </c>
      <c r="I36" s="561">
        <f t="shared" si="7"/>
        <v>0.3921</v>
      </c>
      <c r="J36" s="561">
        <f t="shared" si="8"/>
        <v>0</v>
      </c>
      <c r="K36" s="561">
        <f t="shared" si="9"/>
        <v>0</v>
      </c>
      <c r="L36" s="561">
        <f t="shared" si="10"/>
        <v>0</v>
      </c>
      <c r="M36" s="144">
        <f t="shared" si="11"/>
        <v>0.3921</v>
      </c>
      <c r="N36" s="582">
        <f t="shared" si="12"/>
        <v>2.0735299255769406E-5</v>
      </c>
      <c r="O36" s="560"/>
    </row>
    <row r="37" spans="2:15" ht="22.5" customHeight="1" x14ac:dyDescent="0.3">
      <c r="B37" s="763"/>
      <c r="C37" s="540" t="s">
        <v>32</v>
      </c>
      <c r="D37" s="130" t="s">
        <v>33</v>
      </c>
      <c r="E37" s="561">
        <f t="shared" si="3"/>
        <v>0</v>
      </c>
      <c r="F37" s="561">
        <f t="shared" si="4"/>
        <v>746.75420000000008</v>
      </c>
      <c r="G37" s="561">
        <f t="shared" si="5"/>
        <v>0</v>
      </c>
      <c r="H37" s="561">
        <f t="shared" si="6"/>
        <v>0</v>
      </c>
      <c r="I37" s="561">
        <f t="shared" si="7"/>
        <v>0</v>
      </c>
      <c r="J37" s="561">
        <f t="shared" si="8"/>
        <v>0</v>
      </c>
      <c r="K37" s="561">
        <f t="shared" si="9"/>
        <v>0</v>
      </c>
      <c r="L37" s="561">
        <f t="shared" si="10"/>
        <v>10.6889</v>
      </c>
      <c r="M37" s="144">
        <f t="shared" si="11"/>
        <v>757.44310000000007</v>
      </c>
      <c r="N37" s="582">
        <f t="shared" si="12"/>
        <v>4.0055621901855833E-2</v>
      </c>
      <c r="O37" s="562"/>
    </row>
    <row r="38" spans="2:15" ht="22.5" customHeight="1" x14ac:dyDescent="0.3">
      <c r="B38" s="763"/>
      <c r="C38" s="540" t="s">
        <v>34</v>
      </c>
      <c r="D38" s="130" t="s">
        <v>35</v>
      </c>
      <c r="E38" s="561">
        <f t="shared" si="3"/>
        <v>180.18530000000001</v>
      </c>
      <c r="F38" s="561">
        <f t="shared" si="4"/>
        <v>1001.0226999999999</v>
      </c>
      <c r="G38" s="561">
        <f t="shared" si="5"/>
        <v>0</v>
      </c>
      <c r="H38" s="561">
        <f t="shared" si="6"/>
        <v>0</v>
      </c>
      <c r="I38" s="561">
        <f t="shared" si="7"/>
        <v>0</v>
      </c>
      <c r="J38" s="561">
        <f t="shared" si="8"/>
        <v>0</v>
      </c>
      <c r="K38" s="561">
        <f t="shared" si="9"/>
        <v>0</v>
      </c>
      <c r="L38" s="561">
        <f t="shared" si="10"/>
        <v>15.381499999999999</v>
      </c>
      <c r="M38" s="144">
        <f t="shared" si="11"/>
        <v>1196.5894999999998</v>
      </c>
      <c r="N38" s="582">
        <f t="shared" si="12"/>
        <v>6.3278860925303451E-2</v>
      </c>
      <c r="O38" s="562"/>
    </row>
    <row r="39" spans="2:15" ht="22.5" customHeight="1" x14ac:dyDescent="0.3">
      <c r="B39" s="764"/>
      <c r="C39" s="540" t="s">
        <v>166</v>
      </c>
      <c r="D39" s="130" t="s">
        <v>279</v>
      </c>
      <c r="E39" s="561">
        <f t="shared" si="3"/>
        <v>0</v>
      </c>
      <c r="F39" s="561">
        <f t="shared" si="4"/>
        <v>16488.1456</v>
      </c>
      <c r="G39" s="561">
        <f t="shared" si="5"/>
        <v>98.117999999999995</v>
      </c>
      <c r="H39" s="561">
        <f t="shared" si="6"/>
        <v>0</v>
      </c>
      <c r="I39" s="561">
        <f t="shared" si="7"/>
        <v>0</v>
      </c>
      <c r="J39" s="561">
        <f t="shared" si="8"/>
        <v>11.282999999999999</v>
      </c>
      <c r="K39" s="561">
        <f t="shared" si="9"/>
        <v>0</v>
      </c>
      <c r="L39" s="561">
        <f t="shared" si="10"/>
        <v>353.02559999999994</v>
      </c>
      <c r="M39" s="144">
        <f t="shared" si="11"/>
        <v>16950.572199999999</v>
      </c>
      <c r="N39" s="582">
        <f>M39/$M$40</f>
        <v>0.89639170396206458</v>
      </c>
      <c r="O39" s="562"/>
    </row>
    <row r="40" spans="2:15" ht="33.65" customHeight="1" thickBot="1" x14ac:dyDescent="0.35">
      <c r="B40" s="758" t="s">
        <v>347</v>
      </c>
      <c r="C40" s="759"/>
      <c r="D40" s="760"/>
      <c r="E40" s="563">
        <f>SUM(E24:E39)</f>
        <v>180.18530000000001</v>
      </c>
      <c r="F40" s="563">
        <f t="shared" ref="F40:L40" si="13">SUM(F24:F39)</f>
        <v>18235.922500000001</v>
      </c>
      <c r="G40" s="563">
        <f t="shared" si="13"/>
        <v>98.117999999999995</v>
      </c>
      <c r="H40" s="563">
        <f t="shared" si="13"/>
        <v>0</v>
      </c>
      <c r="I40" s="563">
        <f t="shared" si="13"/>
        <v>5.177748274617251</v>
      </c>
      <c r="J40" s="563">
        <f t="shared" si="13"/>
        <v>11.282999999999999</v>
      </c>
      <c r="K40" s="563">
        <f t="shared" si="13"/>
        <v>0</v>
      </c>
      <c r="L40" s="563">
        <f t="shared" si="13"/>
        <v>379.09599999999995</v>
      </c>
      <c r="M40" s="642">
        <f t="shared" si="11"/>
        <v>18909.782548274619</v>
      </c>
      <c r="N40" s="583">
        <f>SUM(N27:N39)</f>
        <v>0.99999999999999978</v>
      </c>
    </row>
  </sheetData>
  <mergeCells count="5">
    <mergeCell ref="B23:D23"/>
    <mergeCell ref="B20:B22"/>
    <mergeCell ref="B7:B19"/>
    <mergeCell ref="B27:B39"/>
    <mergeCell ref="B40:D40"/>
  </mergeCells>
  <conditionalFormatting sqref="M7:M22">
    <cfRule type="dataBar" priority="14">
      <dataBar>
        <cfvo type="min"/>
        <cfvo type="max"/>
        <color rgb="FF63C384"/>
      </dataBar>
      <extLst>
        <ext xmlns:x14="http://schemas.microsoft.com/office/spreadsheetml/2009/9/main" uri="{B025F937-C7B1-47D3-B67F-A62EFF666E3E}">
          <x14:id>{2DBBEA66-1AA7-4F43-AC63-9F603B46C41D}</x14:id>
        </ext>
      </extLst>
    </cfRule>
  </conditionalFormatting>
  <conditionalFormatting sqref="M27:M40">
    <cfRule type="dataBar" priority="1">
      <dataBar>
        <cfvo type="min"/>
        <cfvo type="max"/>
        <color rgb="FF63C384"/>
      </dataBar>
      <extLst>
        <ext xmlns:x14="http://schemas.microsoft.com/office/spreadsheetml/2009/9/main" uri="{B025F937-C7B1-47D3-B67F-A62EFF666E3E}">
          <x14:id>{514D076D-D54F-435B-BC9F-98782A85DF97}</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DBBEA66-1AA7-4F43-AC63-9F603B46C41D}">
            <x14:dataBar minLength="0" maxLength="100" border="1" negativeBarBorderColorSameAsPositive="0">
              <x14:cfvo type="autoMin"/>
              <x14:cfvo type="autoMax"/>
              <x14:borderColor rgb="FF63C384"/>
              <x14:negativeFillColor rgb="FFFF0000"/>
              <x14:negativeBorderColor rgb="FFFF0000"/>
              <x14:axisColor rgb="FF000000"/>
            </x14:dataBar>
          </x14:cfRule>
          <xm:sqref>M7:M22</xm:sqref>
        </x14:conditionalFormatting>
        <x14:conditionalFormatting xmlns:xm="http://schemas.microsoft.com/office/excel/2006/main">
          <x14:cfRule type="dataBar" id="{514D076D-D54F-435B-BC9F-98782A85DF97}">
            <x14:dataBar minLength="0" maxLength="100" border="1" negativeBarBorderColorSameAsPositive="0">
              <x14:cfvo type="autoMin"/>
              <x14:cfvo type="autoMax"/>
              <x14:borderColor rgb="FF63C384"/>
              <x14:negativeFillColor rgb="FFFF0000"/>
              <x14:negativeBorderColor rgb="FFFF0000"/>
              <x14:axisColor rgb="FF000000"/>
            </x14:dataBar>
          </x14:cfRule>
          <xm:sqref>M27:M40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15DE4-AF4A-48DA-A33F-CE0B7BE2CD68}">
  <dimension ref="A3:G27"/>
  <sheetViews>
    <sheetView workbookViewId="0"/>
  </sheetViews>
  <sheetFormatPr defaultRowHeight="14.5" x14ac:dyDescent="0.35"/>
  <sheetData>
    <row r="3" spans="1:7" ht="87" x14ac:dyDescent="0.35">
      <c r="A3" s="103" t="s">
        <v>148</v>
      </c>
      <c r="B3" s="103" t="s">
        <v>167</v>
      </c>
      <c r="C3" s="103" t="s">
        <v>168</v>
      </c>
      <c r="D3" s="103">
        <v>55</v>
      </c>
      <c r="E3" s="103" t="s">
        <v>25</v>
      </c>
      <c r="F3" s="103">
        <v>0</v>
      </c>
      <c r="G3" s="103">
        <v>0.56879999999999997</v>
      </c>
    </row>
    <row r="4" spans="1:7" ht="72.5" x14ac:dyDescent="0.35">
      <c r="A4" s="103" t="s">
        <v>149</v>
      </c>
      <c r="B4" s="103" t="s">
        <v>169</v>
      </c>
      <c r="C4" s="103" t="s">
        <v>170</v>
      </c>
      <c r="D4" s="103">
        <v>515</v>
      </c>
      <c r="E4" s="103" t="s">
        <v>171</v>
      </c>
      <c r="F4" s="103">
        <v>0</v>
      </c>
      <c r="G4" s="103">
        <v>2.0343</v>
      </c>
    </row>
    <row r="5" spans="1:7" ht="116" x14ac:dyDescent="0.35">
      <c r="A5" s="103" t="s">
        <v>151</v>
      </c>
      <c r="B5" s="103" t="s">
        <v>189</v>
      </c>
      <c r="C5" s="103" t="s">
        <v>194</v>
      </c>
      <c r="D5" s="103">
        <v>568</v>
      </c>
      <c r="E5" s="103" t="s">
        <v>187</v>
      </c>
      <c r="F5" s="103">
        <v>0</v>
      </c>
      <c r="G5" s="103">
        <v>0.2298</v>
      </c>
    </row>
    <row r="6" spans="1:7" ht="72.5" x14ac:dyDescent="0.35">
      <c r="A6" s="103" t="s">
        <v>157</v>
      </c>
      <c r="B6" s="103" t="s">
        <v>172</v>
      </c>
      <c r="C6" s="103" t="s">
        <v>173</v>
      </c>
      <c r="D6" s="103">
        <v>6</v>
      </c>
      <c r="E6" s="103" t="s">
        <v>171</v>
      </c>
      <c r="F6" s="103">
        <v>0</v>
      </c>
      <c r="G6" s="103">
        <v>1.5331999999999999</v>
      </c>
    </row>
    <row r="7" spans="1:7" ht="72.5" x14ac:dyDescent="0.35">
      <c r="A7" s="103" t="s">
        <v>157</v>
      </c>
      <c r="B7" s="103" t="s">
        <v>172</v>
      </c>
      <c r="C7" s="103" t="s">
        <v>174</v>
      </c>
      <c r="D7" s="103">
        <v>408</v>
      </c>
      <c r="E7" s="103" t="s">
        <v>171</v>
      </c>
      <c r="F7" s="103">
        <v>0</v>
      </c>
      <c r="G7" s="103">
        <v>107.3228</v>
      </c>
    </row>
    <row r="8" spans="1:7" ht="72.5" x14ac:dyDescent="0.35">
      <c r="A8" s="103" t="s">
        <v>157</v>
      </c>
      <c r="B8" s="103" t="s">
        <v>172</v>
      </c>
      <c r="C8" s="103" t="s">
        <v>174</v>
      </c>
      <c r="D8" s="103">
        <v>258</v>
      </c>
      <c r="E8" s="103" t="s">
        <v>171</v>
      </c>
      <c r="F8" s="103">
        <v>0</v>
      </c>
      <c r="G8" s="103">
        <v>67.865899999999996</v>
      </c>
    </row>
    <row r="9" spans="1:7" ht="72.5" x14ac:dyDescent="0.35">
      <c r="A9" s="103" t="s">
        <v>157</v>
      </c>
      <c r="B9" s="103" t="s">
        <v>172</v>
      </c>
      <c r="C9" s="103" t="s">
        <v>174</v>
      </c>
      <c r="D9" s="103">
        <v>39</v>
      </c>
      <c r="E9" s="103" t="s">
        <v>171</v>
      </c>
      <c r="F9" s="103">
        <v>0</v>
      </c>
      <c r="G9" s="103">
        <v>10.258800000000001</v>
      </c>
    </row>
    <row r="10" spans="1:7" ht="72.5" x14ac:dyDescent="0.35">
      <c r="A10" s="103" t="s">
        <v>157</v>
      </c>
      <c r="B10" s="103" t="s">
        <v>172</v>
      </c>
      <c r="C10" s="103" t="s">
        <v>174</v>
      </c>
      <c r="D10" s="103">
        <v>234</v>
      </c>
      <c r="E10" s="103" t="s">
        <v>171</v>
      </c>
      <c r="F10" s="103">
        <v>0</v>
      </c>
      <c r="G10" s="103">
        <v>61.552799999999998</v>
      </c>
    </row>
    <row r="11" spans="1:7" ht="101.5" x14ac:dyDescent="0.35">
      <c r="A11" s="103" t="s">
        <v>152</v>
      </c>
      <c r="B11" s="103" t="s">
        <v>265</v>
      </c>
      <c r="C11" s="103" t="s">
        <v>266</v>
      </c>
      <c r="D11" s="103">
        <v>30</v>
      </c>
      <c r="E11" s="103" t="s">
        <v>25</v>
      </c>
      <c r="F11" s="103">
        <v>0</v>
      </c>
      <c r="G11" s="103">
        <v>0.2205</v>
      </c>
    </row>
    <row r="12" spans="1:7" ht="101.5" x14ac:dyDescent="0.35">
      <c r="A12" s="103" t="s">
        <v>155</v>
      </c>
      <c r="B12" s="103" t="s">
        <v>179</v>
      </c>
      <c r="C12" s="103" t="s">
        <v>253</v>
      </c>
      <c r="D12" s="103">
        <v>557</v>
      </c>
      <c r="E12" s="103" t="s">
        <v>25</v>
      </c>
      <c r="F12" s="103">
        <v>0</v>
      </c>
      <c r="G12" s="103">
        <v>3.3687</v>
      </c>
    </row>
    <row r="13" spans="1:7" ht="87" x14ac:dyDescent="0.35">
      <c r="A13" s="103" t="s">
        <v>148</v>
      </c>
      <c r="B13" s="103" t="s">
        <v>167</v>
      </c>
      <c r="C13" s="103" t="s">
        <v>267</v>
      </c>
      <c r="D13" s="103">
        <v>153</v>
      </c>
      <c r="E13" s="103" t="s">
        <v>25</v>
      </c>
      <c r="F13" s="103">
        <v>0</v>
      </c>
      <c r="G13" s="103">
        <v>1.5642</v>
      </c>
    </row>
    <row r="14" spans="1:7" ht="130.5" x14ac:dyDescent="0.35">
      <c r="A14" s="103" t="s">
        <v>148</v>
      </c>
      <c r="B14" s="103" t="s">
        <v>180</v>
      </c>
      <c r="C14" s="103" t="s">
        <v>181</v>
      </c>
      <c r="D14" s="103">
        <v>4</v>
      </c>
      <c r="E14" s="103" t="s">
        <v>175</v>
      </c>
      <c r="F14" s="103">
        <v>0</v>
      </c>
      <c r="G14" s="103">
        <v>2.1627000000000001</v>
      </c>
    </row>
    <row r="15" spans="1:7" ht="87" x14ac:dyDescent="0.35">
      <c r="A15" s="103" t="s">
        <v>148</v>
      </c>
      <c r="B15" s="103" t="s">
        <v>180</v>
      </c>
      <c r="C15" s="103" t="s">
        <v>188</v>
      </c>
      <c r="D15" s="103">
        <v>4</v>
      </c>
      <c r="E15" s="103" t="s">
        <v>175</v>
      </c>
      <c r="F15" s="103">
        <v>0</v>
      </c>
      <c r="G15" s="103">
        <v>10.036099999999999</v>
      </c>
    </row>
    <row r="16" spans="1:7" ht="116" x14ac:dyDescent="0.35">
      <c r="A16" s="103" t="s">
        <v>148</v>
      </c>
      <c r="B16" s="103" t="s">
        <v>182</v>
      </c>
      <c r="C16" s="103" t="s">
        <v>268</v>
      </c>
      <c r="D16" s="103">
        <v>153</v>
      </c>
      <c r="E16" s="103" t="s">
        <v>25</v>
      </c>
      <c r="F16" s="103">
        <v>0</v>
      </c>
      <c r="G16" s="103">
        <v>6.9187000000000003</v>
      </c>
    </row>
    <row r="17" spans="1:7" ht="72.5" x14ac:dyDescent="0.35">
      <c r="A17" s="103" t="s">
        <v>147</v>
      </c>
      <c r="B17" s="103" t="s">
        <v>183</v>
      </c>
      <c r="C17" s="103" t="s">
        <v>184</v>
      </c>
      <c r="D17" s="103">
        <v>153</v>
      </c>
      <c r="E17" s="103" t="s">
        <v>25</v>
      </c>
      <c r="F17" s="103">
        <v>0</v>
      </c>
      <c r="G17" s="103">
        <v>9.4125999999999994</v>
      </c>
    </row>
    <row r="18" spans="1:7" ht="101.5" x14ac:dyDescent="0.35">
      <c r="A18" s="103" t="s">
        <v>152</v>
      </c>
      <c r="B18" s="103" t="s">
        <v>185</v>
      </c>
      <c r="C18" s="103" t="s">
        <v>186</v>
      </c>
      <c r="D18" s="103">
        <v>969</v>
      </c>
      <c r="E18" s="103" t="s">
        <v>187</v>
      </c>
      <c r="F18" s="103">
        <v>0</v>
      </c>
      <c r="G18" s="103">
        <v>0.50390000000000001</v>
      </c>
    </row>
    <row r="19" spans="1:7" ht="101.5" x14ac:dyDescent="0.35">
      <c r="A19" s="103" t="s">
        <v>152</v>
      </c>
      <c r="B19" s="103" t="s">
        <v>185</v>
      </c>
      <c r="C19" s="103" t="s">
        <v>186</v>
      </c>
      <c r="D19" s="103">
        <v>127</v>
      </c>
      <c r="E19" s="103" t="s">
        <v>187</v>
      </c>
      <c r="F19" s="103">
        <v>0</v>
      </c>
      <c r="G19" s="103">
        <v>6.6000000000000003E-2</v>
      </c>
    </row>
    <row r="20" spans="1:7" ht="72.5" x14ac:dyDescent="0.35">
      <c r="A20" s="103" t="s">
        <v>157</v>
      </c>
      <c r="B20" s="103" t="s">
        <v>172</v>
      </c>
      <c r="C20" s="103" t="s">
        <v>269</v>
      </c>
      <c r="D20" s="103">
        <v>40</v>
      </c>
      <c r="E20" s="103" t="s">
        <v>175</v>
      </c>
      <c r="F20" s="103">
        <v>0</v>
      </c>
      <c r="G20" s="103">
        <v>29.004999999999999</v>
      </c>
    </row>
    <row r="21" spans="1:7" ht="72.5" x14ac:dyDescent="0.35">
      <c r="A21" s="103" t="s">
        <v>157</v>
      </c>
      <c r="B21" s="103" t="s">
        <v>172</v>
      </c>
      <c r="C21" s="103" t="s">
        <v>270</v>
      </c>
      <c r="D21" s="103">
        <v>20</v>
      </c>
      <c r="E21" s="103" t="s">
        <v>175</v>
      </c>
      <c r="F21" s="103">
        <v>0</v>
      </c>
      <c r="G21" s="103">
        <v>7.3731</v>
      </c>
    </row>
    <row r="22" spans="1:7" ht="101.5" x14ac:dyDescent="0.35">
      <c r="A22" s="103" t="s">
        <v>157</v>
      </c>
      <c r="B22" s="103" t="s">
        <v>176</v>
      </c>
      <c r="C22" s="103" t="s">
        <v>177</v>
      </c>
      <c r="D22" s="103">
        <v>164</v>
      </c>
      <c r="E22" s="103" t="s">
        <v>178</v>
      </c>
      <c r="F22" s="103">
        <v>0</v>
      </c>
      <c r="G22" s="103">
        <v>98.937299999999993</v>
      </c>
    </row>
    <row r="23" spans="1:7" ht="58" x14ac:dyDescent="0.35">
      <c r="A23" s="103" t="s">
        <v>161</v>
      </c>
      <c r="B23" s="103" t="s">
        <v>190</v>
      </c>
      <c r="C23" s="103" t="s">
        <v>191</v>
      </c>
      <c r="D23" s="103">
        <v>1353</v>
      </c>
      <c r="E23" s="103" t="s">
        <v>192</v>
      </c>
      <c r="F23" s="103">
        <v>0</v>
      </c>
      <c r="G23" s="103">
        <v>0.35580000000000001</v>
      </c>
    </row>
    <row r="24" spans="1:7" ht="58" x14ac:dyDescent="0.35">
      <c r="A24" s="103" t="s">
        <v>161</v>
      </c>
      <c r="B24" s="103" t="s">
        <v>190</v>
      </c>
      <c r="C24" s="103" t="s">
        <v>193</v>
      </c>
      <c r="D24" s="103">
        <v>1403</v>
      </c>
      <c r="E24" s="103" t="s">
        <v>192</v>
      </c>
      <c r="F24" s="103">
        <v>2E-3</v>
      </c>
      <c r="G24" s="103">
        <v>0.95540000000000003</v>
      </c>
    </row>
    <row r="25" spans="1:7" ht="72.5" x14ac:dyDescent="0.35">
      <c r="A25" s="103" t="s">
        <v>157</v>
      </c>
      <c r="B25" s="103" t="s">
        <v>172</v>
      </c>
      <c r="C25" s="103" t="s">
        <v>271</v>
      </c>
      <c r="D25" s="103">
        <v>14</v>
      </c>
      <c r="E25" s="103" t="s">
        <v>175</v>
      </c>
      <c r="F25" s="103">
        <v>0</v>
      </c>
      <c r="G25" s="103">
        <v>48.686199999999999</v>
      </c>
    </row>
    <row r="26" spans="1:7" ht="145" x14ac:dyDescent="0.35">
      <c r="A26" s="103" t="s">
        <v>150</v>
      </c>
      <c r="B26" s="103"/>
      <c r="C26" s="103"/>
      <c r="D26" s="103">
        <v>0</v>
      </c>
      <c r="E26" s="103"/>
      <c r="F26" s="103"/>
      <c r="G26" s="103"/>
    </row>
    <row r="27" spans="1:7" ht="145" x14ac:dyDescent="0.35">
      <c r="A27" s="103" t="s">
        <v>150</v>
      </c>
      <c r="B27" s="103"/>
      <c r="C27" s="103"/>
      <c r="D27" s="103">
        <v>0</v>
      </c>
      <c r="E27" s="103"/>
      <c r="F27" s="103"/>
      <c r="G27" s="10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B94B-A6E5-47BE-AB9E-305C72E3FCD9}">
  <dimension ref="A3:G27"/>
  <sheetViews>
    <sheetView workbookViewId="0"/>
  </sheetViews>
  <sheetFormatPr defaultRowHeight="14.5" x14ac:dyDescent="0.35"/>
  <sheetData>
    <row r="3" spans="1:7" ht="87" x14ac:dyDescent="0.35">
      <c r="A3" s="103" t="s">
        <v>148</v>
      </c>
      <c r="B3" s="103" t="s">
        <v>167</v>
      </c>
      <c r="C3" s="103" t="s">
        <v>215</v>
      </c>
      <c r="D3" s="103">
        <v>627</v>
      </c>
      <c r="E3" s="103" t="s">
        <v>25</v>
      </c>
      <c r="F3" s="103">
        <v>0</v>
      </c>
      <c r="G3" s="103">
        <v>3.7315999999999998</v>
      </c>
    </row>
    <row r="4" spans="1:7" ht="87" x14ac:dyDescent="0.35">
      <c r="A4" s="103" t="s">
        <v>148</v>
      </c>
      <c r="B4" s="103" t="s">
        <v>167</v>
      </c>
      <c r="C4" s="103" t="s">
        <v>216</v>
      </c>
      <c r="D4" s="103">
        <v>568</v>
      </c>
      <c r="E4" s="103" t="s">
        <v>25</v>
      </c>
      <c r="F4" s="103">
        <v>0</v>
      </c>
      <c r="G4" s="103">
        <v>6.0454999999999997</v>
      </c>
    </row>
    <row r="5" spans="1:7" ht="87" x14ac:dyDescent="0.35">
      <c r="A5" s="103" t="s">
        <v>148</v>
      </c>
      <c r="B5" s="103" t="s">
        <v>167</v>
      </c>
      <c r="C5" s="103" t="s">
        <v>217</v>
      </c>
      <c r="D5" s="103">
        <v>178</v>
      </c>
      <c r="E5" s="103" t="s">
        <v>25</v>
      </c>
      <c r="F5" s="103">
        <v>0</v>
      </c>
      <c r="G5" s="103">
        <v>3.3681000000000001</v>
      </c>
    </row>
    <row r="6" spans="1:7" ht="87" x14ac:dyDescent="0.35">
      <c r="A6" s="103" t="s">
        <v>148</v>
      </c>
      <c r="B6" s="103" t="s">
        <v>167</v>
      </c>
      <c r="C6" s="103" t="s">
        <v>218</v>
      </c>
      <c r="D6" s="103">
        <v>113</v>
      </c>
      <c r="E6" s="103" t="s">
        <v>25</v>
      </c>
      <c r="F6" s="103">
        <v>0</v>
      </c>
      <c r="G6" s="103">
        <v>3.1795</v>
      </c>
    </row>
    <row r="7" spans="1:7" ht="87" x14ac:dyDescent="0.35">
      <c r="A7" s="103" t="s">
        <v>148</v>
      </c>
      <c r="B7" s="103" t="s">
        <v>167</v>
      </c>
      <c r="C7" s="103" t="s">
        <v>258</v>
      </c>
      <c r="D7" s="103">
        <v>36</v>
      </c>
      <c r="E7" s="103" t="s">
        <v>25</v>
      </c>
      <c r="F7" s="103">
        <v>0</v>
      </c>
      <c r="G7" s="103">
        <v>1.8581000000000001</v>
      </c>
    </row>
    <row r="8" spans="1:7" ht="58" x14ac:dyDescent="0.35">
      <c r="A8" s="103" t="s">
        <v>149</v>
      </c>
      <c r="B8" s="103" t="s">
        <v>169</v>
      </c>
      <c r="C8" s="103" t="s">
        <v>254</v>
      </c>
      <c r="D8" s="103">
        <v>396</v>
      </c>
      <c r="E8" s="103" t="s">
        <v>171</v>
      </c>
      <c r="F8" s="103">
        <v>0</v>
      </c>
      <c r="G8" s="103">
        <v>1.4991000000000001</v>
      </c>
    </row>
    <row r="9" spans="1:7" ht="58" x14ac:dyDescent="0.35">
      <c r="A9" s="103" t="s">
        <v>149</v>
      </c>
      <c r="B9" s="103" t="s">
        <v>169</v>
      </c>
      <c r="C9" s="103" t="s">
        <v>254</v>
      </c>
      <c r="D9" s="103">
        <v>198</v>
      </c>
      <c r="E9" s="103" t="s">
        <v>171</v>
      </c>
      <c r="F9" s="103">
        <v>0</v>
      </c>
      <c r="G9" s="103">
        <v>0.74950000000000006</v>
      </c>
    </row>
    <row r="10" spans="1:7" ht="116" x14ac:dyDescent="0.35">
      <c r="A10" s="103" t="s">
        <v>151</v>
      </c>
      <c r="B10" s="103" t="s">
        <v>189</v>
      </c>
      <c r="C10" s="103" t="s">
        <v>194</v>
      </c>
      <c r="D10" s="103">
        <v>1600</v>
      </c>
      <c r="E10" s="103" t="s">
        <v>187</v>
      </c>
      <c r="F10" s="103">
        <v>0</v>
      </c>
      <c r="G10" s="103">
        <v>0.6472</v>
      </c>
    </row>
    <row r="11" spans="1:7" ht="130.5" x14ac:dyDescent="0.35">
      <c r="A11" s="103" t="s">
        <v>148</v>
      </c>
      <c r="B11" s="103" t="s">
        <v>180</v>
      </c>
      <c r="C11" s="103" t="s">
        <v>223</v>
      </c>
      <c r="D11" s="103">
        <v>10</v>
      </c>
      <c r="E11" s="103" t="s">
        <v>175</v>
      </c>
      <c r="F11" s="103">
        <v>0</v>
      </c>
      <c r="G11" s="103">
        <v>10.6844</v>
      </c>
    </row>
    <row r="12" spans="1:7" ht="116" x14ac:dyDescent="0.35">
      <c r="A12" s="103" t="s">
        <v>148</v>
      </c>
      <c r="B12" s="103" t="s">
        <v>180</v>
      </c>
      <c r="C12" s="103" t="s">
        <v>224</v>
      </c>
      <c r="D12" s="103">
        <v>6</v>
      </c>
      <c r="E12" s="103" t="s">
        <v>175</v>
      </c>
      <c r="F12" s="103">
        <v>0</v>
      </c>
      <c r="G12" s="103">
        <v>10.672000000000001</v>
      </c>
    </row>
    <row r="13" spans="1:7" ht="87" x14ac:dyDescent="0.35">
      <c r="A13" s="103" t="s">
        <v>148</v>
      </c>
      <c r="B13" s="103" t="s">
        <v>225</v>
      </c>
      <c r="C13" s="103" t="s">
        <v>226</v>
      </c>
      <c r="D13" s="103">
        <v>9</v>
      </c>
      <c r="E13" s="103" t="s">
        <v>175</v>
      </c>
      <c r="F13" s="103">
        <v>0</v>
      </c>
      <c r="G13" s="103">
        <v>0.78879999999999995</v>
      </c>
    </row>
    <row r="14" spans="1:7" ht="87" x14ac:dyDescent="0.35">
      <c r="A14" s="103" t="s">
        <v>148</v>
      </c>
      <c r="B14" s="103" t="s">
        <v>227</v>
      </c>
      <c r="C14" s="103" t="s">
        <v>228</v>
      </c>
      <c r="D14" s="103">
        <v>4</v>
      </c>
      <c r="E14" s="103" t="s">
        <v>175</v>
      </c>
      <c r="F14" s="103">
        <v>0</v>
      </c>
      <c r="G14" s="103">
        <v>2.0999999999999999E-3</v>
      </c>
    </row>
    <row r="15" spans="1:7" ht="145" x14ac:dyDescent="0.35">
      <c r="A15" s="103" t="s">
        <v>150</v>
      </c>
      <c r="B15" s="103" t="s">
        <v>231</v>
      </c>
      <c r="C15" s="103" t="s">
        <v>232</v>
      </c>
      <c r="D15" s="103">
        <v>9296</v>
      </c>
      <c r="E15" s="103" t="s">
        <v>187</v>
      </c>
      <c r="F15" s="103">
        <v>0</v>
      </c>
      <c r="G15" s="103">
        <v>22.329000000000001</v>
      </c>
    </row>
    <row r="16" spans="1:7" ht="130.5" x14ac:dyDescent="0.35">
      <c r="A16" s="103" t="s">
        <v>151</v>
      </c>
      <c r="B16" s="103" t="s">
        <v>235</v>
      </c>
      <c r="C16" s="103" t="s">
        <v>236</v>
      </c>
      <c r="D16" s="103">
        <v>9296</v>
      </c>
      <c r="E16" s="103" t="s">
        <v>187</v>
      </c>
      <c r="F16" s="103">
        <v>3.4000000000000002E-2</v>
      </c>
      <c r="G16" s="103">
        <v>63.417299999999997</v>
      </c>
    </row>
    <row r="17" spans="1:7" ht="130.5" x14ac:dyDescent="0.35">
      <c r="A17" s="103" t="s">
        <v>151</v>
      </c>
      <c r="B17" s="103" t="s">
        <v>235</v>
      </c>
      <c r="C17" s="103" t="s">
        <v>236</v>
      </c>
      <c r="D17" s="103">
        <v>9296</v>
      </c>
      <c r="E17" s="103" t="s">
        <v>187</v>
      </c>
      <c r="F17" s="103">
        <v>3.4000000000000002E-2</v>
      </c>
      <c r="G17" s="103">
        <v>63.417299999999997</v>
      </c>
    </row>
    <row r="18" spans="1:7" ht="130.5" x14ac:dyDescent="0.35">
      <c r="A18" s="103" t="s">
        <v>151</v>
      </c>
      <c r="B18" s="103" t="s">
        <v>235</v>
      </c>
      <c r="C18" s="103" t="s">
        <v>259</v>
      </c>
      <c r="D18" s="103">
        <v>9295</v>
      </c>
      <c r="E18" s="103" t="s">
        <v>187</v>
      </c>
      <c r="F18" s="103">
        <v>3.4000000000000002E-2</v>
      </c>
      <c r="G18" s="103">
        <v>13.7287</v>
      </c>
    </row>
    <row r="19" spans="1:7" ht="116" x14ac:dyDescent="0.35">
      <c r="A19" s="103" t="s">
        <v>151</v>
      </c>
      <c r="B19" s="103" t="s">
        <v>238</v>
      </c>
      <c r="C19" s="103" t="s">
        <v>239</v>
      </c>
      <c r="D19" s="103">
        <v>18591</v>
      </c>
      <c r="E19" s="103" t="s">
        <v>187</v>
      </c>
      <c r="F19" s="103">
        <v>0.1</v>
      </c>
      <c r="G19" s="103">
        <v>5.5959000000000003</v>
      </c>
    </row>
    <row r="20" spans="1:7" ht="87" x14ac:dyDescent="0.35">
      <c r="A20" s="103" t="s">
        <v>154</v>
      </c>
      <c r="B20" s="103" t="s">
        <v>242</v>
      </c>
      <c r="C20" s="103" t="s">
        <v>244</v>
      </c>
      <c r="D20" s="103">
        <v>1040</v>
      </c>
      <c r="E20" s="103" t="s">
        <v>25</v>
      </c>
      <c r="F20" s="103">
        <v>8.3299999999999999E-2</v>
      </c>
      <c r="G20" s="103">
        <v>0.83430000000000004</v>
      </c>
    </row>
    <row r="21" spans="1:7" ht="101.5" x14ac:dyDescent="0.35">
      <c r="A21" s="103" t="s">
        <v>155</v>
      </c>
      <c r="B21" s="103" t="s">
        <v>179</v>
      </c>
      <c r="C21" s="103" t="s">
        <v>253</v>
      </c>
      <c r="D21" s="103">
        <v>160</v>
      </c>
      <c r="E21" s="103" t="s">
        <v>25</v>
      </c>
      <c r="F21" s="103">
        <v>0</v>
      </c>
      <c r="G21" s="103">
        <v>0.9677</v>
      </c>
    </row>
    <row r="22" spans="1:7" ht="130.5" x14ac:dyDescent="0.35">
      <c r="A22" s="103" t="s">
        <v>157</v>
      </c>
      <c r="B22" s="103" t="s">
        <v>255</v>
      </c>
      <c r="C22" s="103" t="s">
        <v>256</v>
      </c>
      <c r="D22" s="103">
        <v>0.3</v>
      </c>
      <c r="E22" s="103" t="s">
        <v>178</v>
      </c>
      <c r="F22" s="103">
        <v>0</v>
      </c>
      <c r="G22" s="103">
        <v>2.2000000000000001E-3</v>
      </c>
    </row>
    <row r="23" spans="1:7" ht="87" x14ac:dyDescent="0.35">
      <c r="A23" s="103" t="s">
        <v>148</v>
      </c>
      <c r="B23" s="103" t="s">
        <v>180</v>
      </c>
      <c r="C23" s="103" t="s">
        <v>188</v>
      </c>
      <c r="D23" s="103">
        <v>3</v>
      </c>
      <c r="E23" s="103" t="s">
        <v>175</v>
      </c>
      <c r="F23" s="103">
        <v>0</v>
      </c>
      <c r="G23" s="103">
        <v>7.5270000000000001</v>
      </c>
    </row>
    <row r="24" spans="1:7" ht="116" x14ac:dyDescent="0.35">
      <c r="A24" s="103" t="s">
        <v>159</v>
      </c>
      <c r="B24" s="103" t="s">
        <v>260</v>
      </c>
      <c r="C24" s="103" t="s">
        <v>261</v>
      </c>
      <c r="D24" s="103">
        <v>144</v>
      </c>
      <c r="E24" s="103" t="s">
        <v>187</v>
      </c>
      <c r="F24" s="103">
        <v>0</v>
      </c>
      <c r="G24" s="103">
        <v>5.5377999999999998</v>
      </c>
    </row>
    <row r="25" spans="1:7" ht="72.5" x14ac:dyDescent="0.35">
      <c r="A25" s="103" t="s">
        <v>157</v>
      </c>
      <c r="B25" s="103" t="s">
        <v>172</v>
      </c>
      <c r="C25" s="103" t="s">
        <v>173</v>
      </c>
      <c r="D25" s="103">
        <v>8</v>
      </c>
      <c r="E25" s="103" t="s">
        <v>171</v>
      </c>
      <c r="F25" s="103">
        <v>0</v>
      </c>
      <c r="G25" s="103">
        <v>2.0442999999999998</v>
      </c>
    </row>
    <row r="26" spans="1:7" ht="145" x14ac:dyDescent="0.35">
      <c r="A26" s="103" t="s">
        <v>150</v>
      </c>
      <c r="B26" s="103"/>
      <c r="C26" s="103"/>
      <c r="D26" s="103">
        <v>0</v>
      </c>
      <c r="E26" s="103"/>
      <c r="F26" s="103"/>
      <c r="G26" s="103"/>
    </row>
    <row r="27" spans="1:7" ht="145" x14ac:dyDescent="0.35">
      <c r="A27" s="103" t="s">
        <v>150</v>
      </c>
      <c r="B27" s="103"/>
      <c r="C27" s="103"/>
      <c r="D27" s="103">
        <v>0</v>
      </c>
      <c r="E27" s="103"/>
      <c r="F27" s="103"/>
      <c r="G27" s="10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963B-7D3C-43C7-BBD3-B0ACB33421AD}">
  <dimension ref="A3:G25"/>
  <sheetViews>
    <sheetView workbookViewId="0"/>
  </sheetViews>
  <sheetFormatPr defaultRowHeight="14.5" x14ac:dyDescent="0.35"/>
  <sheetData>
    <row r="3" spans="1:7" ht="87" x14ac:dyDescent="0.35">
      <c r="A3" s="103" t="s">
        <v>148</v>
      </c>
      <c r="B3" s="103" t="s">
        <v>167</v>
      </c>
      <c r="C3" s="103" t="s">
        <v>215</v>
      </c>
      <c r="D3" s="103">
        <v>392</v>
      </c>
      <c r="E3" s="103" t="s">
        <v>25</v>
      </c>
      <c r="F3" s="103">
        <v>0</v>
      </c>
      <c r="G3" s="103">
        <v>2.3330000000000002</v>
      </c>
    </row>
    <row r="4" spans="1:7" ht="87" x14ac:dyDescent="0.35">
      <c r="A4" s="103" t="s">
        <v>148</v>
      </c>
      <c r="B4" s="103" t="s">
        <v>167</v>
      </c>
      <c r="C4" s="103" t="s">
        <v>216</v>
      </c>
      <c r="D4" s="103">
        <v>355</v>
      </c>
      <c r="E4" s="103" t="s">
        <v>25</v>
      </c>
      <c r="F4" s="103">
        <v>0</v>
      </c>
      <c r="G4" s="103">
        <v>3.7785000000000002</v>
      </c>
    </row>
    <row r="5" spans="1:7" ht="87" x14ac:dyDescent="0.35">
      <c r="A5" s="103" t="s">
        <v>148</v>
      </c>
      <c r="B5" s="103" t="s">
        <v>167</v>
      </c>
      <c r="C5" s="103" t="s">
        <v>217</v>
      </c>
      <c r="D5" s="103">
        <v>111</v>
      </c>
      <c r="E5" s="103" t="s">
        <v>25</v>
      </c>
      <c r="F5" s="103">
        <v>0</v>
      </c>
      <c r="G5" s="103">
        <v>2.1002999999999998</v>
      </c>
    </row>
    <row r="6" spans="1:7" ht="87" x14ac:dyDescent="0.35">
      <c r="A6" s="103" t="s">
        <v>148</v>
      </c>
      <c r="B6" s="103" t="s">
        <v>167</v>
      </c>
      <c r="C6" s="103" t="s">
        <v>218</v>
      </c>
      <c r="D6" s="103">
        <v>71</v>
      </c>
      <c r="E6" s="103" t="s">
        <v>25</v>
      </c>
      <c r="F6" s="103">
        <v>0</v>
      </c>
      <c r="G6" s="103">
        <v>1.9977</v>
      </c>
    </row>
    <row r="7" spans="1:7" ht="87" x14ac:dyDescent="0.35">
      <c r="A7" s="103" t="s">
        <v>148</v>
      </c>
      <c r="B7" s="103" t="s">
        <v>167</v>
      </c>
      <c r="C7" s="103" t="s">
        <v>258</v>
      </c>
      <c r="D7" s="103">
        <v>23</v>
      </c>
      <c r="E7" s="103" t="s">
        <v>25</v>
      </c>
      <c r="F7" s="103">
        <v>0</v>
      </c>
      <c r="G7" s="103">
        <v>1.1871</v>
      </c>
    </row>
    <row r="8" spans="1:7" ht="58" x14ac:dyDescent="0.35">
      <c r="A8" s="103" t="s">
        <v>149</v>
      </c>
      <c r="B8" s="103" t="s">
        <v>169</v>
      </c>
      <c r="C8" s="103" t="s">
        <v>254</v>
      </c>
      <c r="D8" s="103">
        <v>247</v>
      </c>
      <c r="E8" s="103" t="s">
        <v>171</v>
      </c>
      <c r="F8" s="103">
        <v>0</v>
      </c>
      <c r="G8" s="103">
        <v>0.93500000000000005</v>
      </c>
    </row>
    <row r="9" spans="1:7" ht="58" x14ac:dyDescent="0.35">
      <c r="A9" s="103" t="s">
        <v>149</v>
      </c>
      <c r="B9" s="103" t="s">
        <v>169</v>
      </c>
      <c r="C9" s="103" t="s">
        <v>254</v>
      </c>
      <c r="D9" s="103">
        <v>124</v>
      </c>
      <c r="E9" s="103" t="s">
        <v>171</v>
      </c>
      <c r="F9" s="103">
        <v>0</v>
      </c>
      <c r="G9" s="103">
        <v>0.46939999999999998</v>
      </c>
    </row>
    <row r="10" spans="1:7" ht="116" x14ac:dyDescent="0.35">
      <c r="A10" s="103" t="s">
        <v>151</v>
      </c>
      <c r="B10" s="103" t="s">
        <v>189</v>
      </c>
      <c r="C10" s="103" t="s">
        <v>194</v>
      </c>
      <c r="D10" s="103">
        <v>1000</v>
      </c>
      <c r="E10" s="103" t="s">
        <v>187</v>
      </c>
      <c r="F10" s="103">
        <v>0</v>
      </c>
      <c r="G10" s="103">
        <v>0.40450000000000003</v>
      </c>
    </row>
    <row r="11" spans="1:7" ht="130.5" x14ac:dyDescent="0.35">
      <c r="A11" s="103" t="s">
        <v>148</v>
      </c>
      <c r="B11" s="103" t="s">
        <v>180</v>
      </c>
      <c r="C11" s="103" t="s">
        <v>219</v>
      </c>
      <c r="D11" s="103">
        <v>6</v>
      </c>
      <c r="E11" s="103" t="s">
        <v>175</v>
      </c>
      <c r="F11" s="103">
        <v>0</v>
      </c>
      <c r="G11" s="103">
        <v>3.8368000000000002</v>
      </c>
    </row>
    <row r="12" spans="1:7" ht="116" x14ac:dyDescent="0.35">
      <c r="A12" s="103" t="s">
        <v>148</v>
      </c>
      <c r="B12" s="103" t="s">
        <v>180</v>
      </c>
      <c r="C12" s="103" t="s">
        <v>220</v>
      </c>
      <c r="D12" s="103">
        <v>4</v>
      </c>
      <c r="E12" s="103" t="s">
        <v>175</v>
      </c>
      <c r="F12" s="103">
        <v>0</v>
      </c>
      <c r="G12" s="103">
        <v>4.0743999999999998</v>
      </c>
    </row>
    <row r="13" spans="1:7" ht="87" x14ac:dyDescent="0.35">
      <c r="A13" s="103" t="s">
        <v>148</v>
      </c>
      <c r="B13" s="103" t="s">
        <v>225</v>
      </c>
      <c r="C13" s="103" t="s">
        <v>226</v>
      </c>
      <c r="D13" s="103">
        <v>6</v>
      </c>
      <c r="E13" s="103" t="s">
        <v>175</v>
      </c>
      <c r="F13" s="103">
        <v>0</v>
      </c>
      <c r="G13" s="103">
        <v>0.52580000000000005</v>
      </c>
    </row>
    <row r="14" spans="1:7" ht="87" x14ac:dyDescent="0.35">
      <c r="A14" s="103" t="s">
        <v>148</v>
      </c>
      <c r="B14" s="103" t="s">
        <v>227</v>
      </c>
      <c r="C14" s="103" t="s">
        <v>228</v>
      </c>
      <c r="D14" s="103">
        <v>2</v>
      </c>
      <c r="E14" s="103" t="s">
        <v>175</v>
      </c>
      <c r="F14" s="103">
        <v>0</v>
      </c>
      <c r="G14" s="103">
        <v>1.1000000000000001E-3</v>
      </c>
    </row>
    <row r="15" spans="1:7" ht="145" x14ac:dyDescent="0.35">
      <c r="A15" s="103" t="s">
        <v>150</v>
      </c>
      <c r="B15" s="103" t="s">
        <v>231</v>
      </c>
      <c r="C15" s="103" t="s">
        <v>232</v>
      </c>
      <c r="D15" s="103">
        <v>5810</v>
      </c>
      <c r="E15" s="103" t="s">
        <v>187</v>
      </c>
      <c r="F15" s="103">
        <v>0</v>
      </c>
      <c r="G15" s="103">
        <v>13.9556</v>
      </c>
    </row>
    <row r="16" spans="1:7" ht="130.5" x14ac:dyDescent="0.35">
      <c r="A16" s="103" t="s">
        <v>151</v>
      </c>
      <c r="B16" s="103" t="s">
        <v>235</v>
      </c>
      <c r="C16" s="103" t="s">
        <v>236</v>
      </c>
      <c r="D16" s="103">
        <v>5810</v>
      </c>
      <c r="E16" s="103" t="s">
        <v>187</v>
      </c>
      <c r="F16" s="103">
        <v>3.4000000000000002E-2</v>
      </c>
      <c r="G16" s="103">
        <v>39.635800000000003</v>
      </c>
    </row>
    <row r="17" spans="1:7" ht="130.5" x14ac:dyDescent="0.35">
      <c r="A17" s="103" t="s">
        <v>151</v>
      </c>
      <c r="B17" s="103" t="s">
        <v>235</v>
      </c>
      <c r="C17" s="103" t="s">
        <v>236</v>
      </c>
      <c r="D17" s="103">
        <v>5810</v>
      </c>
      <c r="E17" s="103" t="s">
        <v>187</v>
      </c>
      <c r="F17" s="103">
        <v>3.4000000000000002E-2</v>
      </c>
      <c r="G17" s="103">
        <v>39.635800000000003</v>
      </c>
    </row>
    <row r="18" spans="1:7" ht="130.5" x14ac:dyDescent="0.35">
      <c r="A18" s="103" t="s">
        <v>151</v>
      </c>
      <c r="B18" s="103" t="s">
        <v>235</v>
      </c>
      <c r="C18" s="103" t="s">
        <v>259</v>
      </c>
      <c r="D18" s="103">
        <v>5810</v>
      </c>
      <c r="E18" s="103" t="s">
        <v>187</v>
      </c>
      <c r="F18" s="103">
        <v>3.4000000000000002E-2</v>
      </c>
      <c r="G18" s="103">
        <v>8.5814000000000004</v>
      </c>
    </row>
    <row r="19" spans="1:7" ht="116" x14ac:dyDescent="0.35">
      <c r="A19" s="103" t="s">
        <v>151</v>
      </c>
      <c r="B19" s="103" t="s">
        <v>238</v>
      </c>
      <c r="C19" s="103" t="s">
        <v>239</v>
      </c>
      <c r="D19" s="103">
        <v>11620</v>
      </c>
      <c r="E19" s="103" t="s">
        <v>187</v>
      </c>
      <c r="F19" s="103">
        <v>0.1</v>
      </c>
      <c r="G19" s="103">
        <v>3.4975999999999998</v>
      </c>
    </row>
    <row r="20" spans="1:7" ht="87" x14ac:dyDescent="0.35">
      <c r="A20" s="103" t="s">
        <v>154</v>
      </c>
      <c r="B20" s="103" t="s">
        <v>242</v>
      </c>
      <c r="C20" s="103" t="s">
        <v>244</v>
      </c>
      <c r="D20" s="103">
        <v>650</v>
      </c>
      <c r="E20" s="103" t="s">
        <v>25</v>
      </c>
      <c r="F20" s="103">
        <v>8.3299999999999999E-2</v>
      </c>
      <c r="G20" s="103">
        <v>0.52139999999999997</v>
      </c>
    </row>
    <row r="21" spans="1:7" ht="101.5" x14ac:dyDescent="0.35">
      <c r="A21" s="103" t="s">
        <v>155</v>
      </c>
      <c r="B21" s="103" t="s">
        <v>179</v>
      </c>
      <c r="C21" s="103" t="s">
        <v>253</v>
      </c>
      <c r="D21" s="103">
        <v>100</v>
      </c>
      <c r="E21" s="103" t="s">
        <v>25</v>
      </c>
      <c r="F21" s="103">
        <v>0</v>
      </c>
      <c r="G21" s="103">
        <v>0.6048</v>
      </c>
    </row>
    <row r="22" spans="1:7" ht="130.5" x14ac:dyDescent="0.35">
      <c r="A22" s="103" t="s">
        <v>157</v>
      </c>
      <c r="B22" s="103" t="s">
        <v>255</v>
      </c>
      <c r="C22" s="103" t="s">
        <v>256</v>
      </c>
      <c r="D22" s="103">
        <v>0.2</v>
      </c>
      <c r="E22" s="103" t="s">
        <v>178</v>
      </c>
      <c r="F22" s="103">
        <v>0</v>
      </c>
      <c r="G22" s="103">
        <v>1.5E-3</v>
      </c>
    </row>
    <row r="23" spans="1:7" ht="72.5" x14ac:dyDescent="0.35">
      <c r="A23" s="103" t="s">
        <v>157</v>
      </c>
      <c r="B23" s="103" t="s">
        <v>172</v>
      </c>
      <c r="C23" s="103" t="s">
        <v>173</v>
      </c>
      <c r="D23" s="103">
        <v>5</v>
      </c>
      <c r="E23" s="103" t="s">
        <v>171</v>
      </c>
      <c r="F23" s="103">
        <v>0</v>
      </c>
      <c r="G23" s="103">
        <v>1.2777000000000001</v>
      </c>
    </row>
    <row r="24" spans="1:7" ht="87" x14ac:dyDescent="0.35">
      <c r="A24" s="103" t="s">
        <v>148</v>
      </c>
      <c r="B24" s="103" t="s">
        <v>180</v>
      </c>
      <c r="C24" s="103" t="s">
        <v>188</v>
      </c>
      <c r="D24" s="103">
        <v>2</v>
      </c>
      <c r="E24" s="103" t="s">
        <v>175</v>
      </c>
      <c r="F24" s="103">
        <v>0</v>
      </c>
      <c r="G24" s="103">
        <v>5.0179999999999998</v>
      </c>
    </row>
    <row r="25" spans="1:7" ht="116" x14ac:dyDescent="0.35">
      <c r="A25" s="103" t="s">
        <v>159</v>
      </c>
      <c r="B25" s="103" t="s">
        <v>260</v>
      </c>
      <c r="C25" s="103" t="s">
        <v>261</v>
      </c>
      <c r="D25" s="103">
        <v>90</v>
      </c>
      <c r="E25" s="103" t="s">
        <v>187</v>
      </c>
      <c r="F25" s="103">
        <v>0</v>
      </c>
      <c r="G25" s="103">
        <v>3.4611000000000001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A56C-7806-4A57-8698-FD28FC93ED06}">
  <dimension ref="A3:G27"/>
  <sheetViews>
    <sheetView workbookViewId="0"/>
  </sheetViews>
  <sheetFormatPr defaultRowHeight="14.5" x14ac:dyDescent="0.35"/>
  <sheetData>
    <row r="3" spans="1:7" ht="87" x14ac:dyDescent="0.35">
      <c r="A3" s="103" t="s">
        <v>148</v>
      </c>
      <c r="B3" s="103" t="s">
        <v>167</v>
      </c>
      <c r="C3" s="103" t="s">
        <v>215</v>
      </c>
      <c r="D3" s="103">
        <v>1607</v>
      </c>
      <c r="E3" s="103" t="s">
        <v>25</v>
      </c>
      <c r="F3" s="103">
        <v>0</v>
      </c>
      <c r="G3" s="103">
        <v>9.5640000000000001</v>
      </c>
    </row>
    <row r="4" spans="1:7" ht="87" x14ac:dyDescent="0.35">
      <c r="A4" s="103" t="s">
        <v>148</v>
      </c>
      <c r="B4" s="103" t="s">
        <v>167</v>
      </c>
      <c r="C4" s="103" t="s">
        <v>216</v>
      </c>
      <c r="D4" s="103">
        <v>1456</v>
      </c>
      <c r="E4" s="103" t="s">
        <v>25</v>
      </c>
      <c r="F4" s="103">
        <v>0</v>
      </c>
      <c r="G4" s="103">
        <v>15.497</v>
      </c>
    </row>
    <row r="5" spans="1:7" ht="87" x14ac:dyDescent="0.35">
      <c r="A5" s="103" t="s">
        <v>148</v>
      </c>
      <c r="B5" s="103" t="s">
        <v>167</v>
      </c>
      <c r="C5" s="103" t="s">
        <v>217</v>
      </c>
      <c r="D5" s="103">
        <v>457</v>
      </c>
      <c r="E5" s="103" t="s">
        <v>25</v>
      </c>
      <c r="F5" s="103">
        <v>0</v>
      </c>
      <c r="G5" s="103">
        <v>8.6472999999999995</v>
      </c>
    </row>
    <row r="6" spans="1:7" ht="87" x14ac:dyDescent="0.35">
      <c r="A6" s="103" t="s">
        <v>148</v>
      </c>
      <c r="B6" s="103" t="s">
        <v>167</v>
      </c>
      <c r="C6" s="103" t="s">
        <v>218</v>
      </c>
      <c r="D6" s="103">
        <v>290</v>
      </c>
      <c r="E6" s="103" t="s">
        <v>25</v>
      </c>
      <c r="F6" s="103">
        <v>0</v>
      </c>
      <c r="G6" s="103">
        <v>8.1597000000000008</v>
      </c>
    </row>
    <row r="7" spans="1:7" ht="87" x14ac:dyDescent="0.35">
      <c r="A7" s="103" t="s">
        <v>148</v>
      </c>
      <c r="B7" s="103" t="s">
        <v>167</v>
      </c>
      <c r="C7" s="103" t="s">
        <v>258</v>
      </c>
      <c r="D7" s="103">
        <v>93</v>
      </c>
      <c r="E7" s="103" t="s">
        <v>25</v>
      </c>
      <c r="F7" s="103">
        <v>0</v>
      </c>
      <c r="G7" s="103">
        <v>4.8</v>
      </c>
    </row>
    <row r="8" spans="1:7" ht="58" x14ac:dyDescent="0.35">
      <c r="A8" s="103" t="s">
        <v>149</v>
      </c>
      <c r="B8" s="103" t="s">
        <v>169</v>
      </c>
      <c r="C8" s="103" t="s">
        <v>254</v>
      </c>
      <c r="D8" s="103">
        <v>1014</v>
      </c>
      <c r="E8" s="103" t="s">
        <v>171</v>
      </c>
      <c r="F8" s="103">
        <v>0</v>
      </c>
      <c r="G8" s="103">
        <v>3.8384999999999998</v>
      </c>
    </row>
    <row r="9" spans="1:7" ht="58" x14ac:dyDescent="0.35">
      <c r="A9" s="103" t="s">
        <v>149</v>
      </c>
      <c r="B9" s="103" t="s">
        <v>169</v>
      </c>
      <c r="C9" s="103" t="s">
        <v>254</v>
      </c>
      <c r="D9" s="103">
        <v>507</v>
      </c>
      <c r="E9" s="103" t="s">
        <v>171</v>
      </c>
      <c r="F9" s="103">
        <v>0</v>
      </c>
      <c r="G9" s="103">
        <v>1.9192</v>
      </c>
    </row>
    <row r="10" spans="1:7" ht="116" x14ac:dyDescent="0.35">
      <c r="A10" s="103" t="s">
        <v>151</v>
      </c>
      <c r="B10" s="103" t="s">
        <v>189</v>
      </c>
      <c r="C10" s="103" t="s">
        <v>194</v>
      </c>
      <c r="D10" s="103">
        <v>4100</v>
      </c>
      <c r="E10" s="103" t="s">
        <v>187</v>
      </c>
      <c r="F10" s="103">
        <v>0</v>
      </c>
      <c r="G10" s="103">
        <v>1.6584000000000001</v>
      </c>
    </row>
    <row r="11" spans="1:7" ht="130.5" x14ac:dyDescent="0.35">
      <c r="A11" s="103" t="s">
        <v>148</v>
      </c>
      <c r="B11" s="103" t="s">
        <v>180</v>
      </c>
      <c r="C11" s="103" t="s">
        <v>219</v>
      </c>
      <c r="D11" s="103">
        <v>25</v>
      </c>
      <c r="E11" s="103" t="s">
        <v>175</v>
      </c>
      <c r="F11" s="103">
        <v>0</v>
      </c>
      <c r="G11" s="103">
        <v>15.986499999999999</v>
      </c>
    </row>
    <row r="12" spans="1:7" ht="116" x14ac:dyDescent="0.35">
      <c r="A12" s="103" t="s">
        <v>148</v>
      </c>
      <c r="B12" s="103" t="s">
        <v>180</v>
      </c>
      <c r="C12" s="103" t="s">
        <v>220</v>
      </c>
      <c r="D12" s="103">
        <v>14</v>
      </c>
      <c r="E12" s="103" t="s">
        <v>175</v>
      </c>
      <c r="F12" s="103">
        <v>0</v>
      </c>
      <c r="G12" s="103">
        <v>14.260400000000001</v>
      </c>
    </row>
    <row r="13" spans="1:7" ht="87" x14ac:dyDescent="0.35">
      <c r="A13" s="103" t="s">
        <v>148</v>
      </c>
      <c r="B13" s="103" t="s">
        <v>225</v>
      </c>
      <c r="C13" s="103" t="s">
        <v>226</v>
      </c>
      <c r="D13" s="103">
        <v>24</v>
      </c>
      <c r="E13" s="103" t="s">
        <v>175</v>
      </c>
      <c r="F13" s="103">
        <v>0</v>
      </c>
      <c r="G13" s="103">
        <v>2.1034000000000002</v>
      </c>
    </row>
    <row r="14" spans="1:7" ht="87" x14ac:dyDescent="0.35">
      <c r="A14" s="103" t="s">
        <v>148</v>
      </c>
      <c r="B14" s="103" t="s">
        <v>227</v>
      </c>
      <c r="C14" s="103" t="s">
        <v>228</v>
      </c>
      <c r="D14" s="103">
        <v>9</v>
      </c>
      <c r="E14" s="103" t="s">
        <v>175</v>
      </c>
      <c r="F14" s="103">
        <v>0</v>
      </c>
      <c r="G14" s="103">
        <v>4.7999999999999996E-3</v>
      </c>
    </row>
    <row r="15" spans="1:7" ht="145" x14ac:dyDescent="0.35">
      <c r="A15" s="103" t="s">
        <v>150</v>
      </c>
      <c r="B15" s="103" t="s">
        <v>231</v>
      </c>
      <c r="C15" s="103" t="s">
        <v>232</v>
      </c>
      <c r="D15" s="103">
        <v>23820</v>
      </c>
      <c r="E15" s="103" t="s">
        <v>187</v>
      </c>
      <c r="F15" s="103">
        <v>0</v>
      </c>
      <c r="G15" s="103">
        <v>57.215600000000002</v>
      </c>
    </row>
    <row r="16" spans="1:7" ht="130.5" x14ac:dyDescent="0.35">
      <c r="A16" s="103" t="s">
        <v>151</v>
      </c>
      <c r="B16" s="103" t="s">
        <v>235</v>
      </c>
      <c r="C16" s="103" t="s">
        <v>236</v>
      </c>
      <c r="D16" s="103">
        <v>23820</v>
      </c>
      <c r="E16" s="103" t="s">
        <v>187</v>
      </c>
      <c r="F16" s="103">
        <v>3.4000000000000002E-2</v>
      </c>
      <c r="G16" s="103">
        <v>162.5</v>
      </c>
    </row>
    <row r="17" spans="1:7" ht="130.5" x14ac:dyDescent="0.35">
      <c r="A17" s="103" t="s">
        <v>151</v>
      </c>
      <c r="B17" s="103" t="s">
        <v>235</v>
      </c>
      <c r="C17" s="103" t="s">
        <v>262</v>
      </c>
      <c r="D17" s="103">
        <v>23820</v>
      </c>
      <c r="E17" s="103" t="s">
        <v>187</v>
      </c>
      <c r="F17" s="103">
        <v>3.4000000000000002E-2</v>
      </c>
      <c r="G17" s="103">
        <v>126.19840000000001</v>
      </c>
    </row>
    <row r="18" spans="1:7" ht="130.5" x14ac:dyDescent="0.35">
      <c r="A18" s="103" t="s">
        <v>151</v>
      </c>
      <c r="B18" s="103" t="s">
        <v>235</v>
      </c>
      <c r="C18" s="103" t="s">
        <v>259</v>
      </c>
      <c r="D18" s="103">
        <v>23820</v>
      </c>
      <c r="E18" s="103" t="s">
        <v>187</v>
      </c>
      <c r="F18" s="103">
        <v>3.4000000000000002E-2</v>
      </c>
      <c r="G18" s="103">
        <v>35.182099999999998</v>
      </c>
    </row>
    <row r="19" spans="1:7" ht="116" x14ac:dyDescent="0.35">
      <c r="A19" s="103" t="s">
        <v>151</v>
      </c>
      <c r="B19" s="103" t="s">
        <v>238</v>
      </c>
      <c r="C19" s="103" t="s">
        <v>239</v>
      </c>
      <c r="D19" s="103">
        <v>47640</v>
      </c>
      <c r="E19" s="103" t="s">
        <v>187</v>
      </c>
      <c r="F19" s="103">
        <v>0.1</v>
      </c>
      <c r="G19" s="103">
        <v>14.339600000000001</v>
      </c>
    </row>
    <row r="20" spans="1:7" ht="87" x14ac:dyDescent="0.35">
      <c r="A20" s="103" t="s">
        <v>154</v>
      </c>
      <c r="B20" s="103" t="s">
        <v>242</v>
      </c>
      <c r="C20" s="103" t="s">
        <v>244</v>
      </c>
      <c r="D20" s="103">
        <v>2665</v>
      </c>
      <c r="E20" s="103" t="s">
        <v>25</v>
      </c>
      <c r="F20" s="103">
        <v>8.3299999999999999E-2</v>
      </c>
      <c r="G20" s="103">
        <v>2.1377999999999999</v>
      </c>
    </row>
    <row r="21" spans="1:7" ht="101.5" x14ac:dyDescent="0.35">
      <c r="A21" s="103" t="s">
        <v>155</v>
      </c>
      <c r="B21" s="103" t="s">
        <v>179</v>
      </c>
      <c r="C21" s="103" t="s">
        <v>253</v>
      </c>
      <c r="D21" s="103">
        <v>410</v>
      </c>
      <c r="E21" s="103" t="s">
        <v>25</v>
      </c>
      <c r="F21" s="103">
        <v>0</v>
      </c>
      <c r="G21" s="103">
        <v>2.4796999999999998</v>
      </c>
    </row>
    <row r="22" spans="1:7" ht="130.5" x14ac:dyDescent="0.35">
      <c r="A22" s="103" t="s">
        <v>157</v>
      </c>
      <c r="B22" s="103" t="s">
        <v>255</v>
      </c>
      <c r="C22" s="103" t="s">
        <v>256</v>
      </c>
      <c r="D22" s="103">
        <v>1</v>
      </c>
      <c r="E22" s="103" t="s">
        <v>178</v>
      </c>
      <c r="F22" s="103">
        <v>0</v>
      </c>
      <c r="G22" s="103">
        <v>7.4000000000000003E-3</v>
      </c>
    </row>
    <row r="23" spans="1:7" ht="72.5" x14ac:dyDescent="0.35">
      <c r="A23" s="103" t="s">
        <v>157</v>
      </c>
      <c r="B23" s="103" t="s">
        <v>172</v>
      </c>
      <c r="C23" s="103" t="s">
        <v>173</v>
      </c>
      <c r="D23" s="103">
        <v>21</v>
      </c>
      <c r="E23" s="103" t="s">
        <v>171</v>
      </c>
      <c r="F23" s="103">
        <v>0</v>
      </c>
      <c r="G23" s="103">
        <v>5.3662000000000001</v>
      </c>
    </row>
    <row r="24" spans="1:7" ht="87" x14ac:dyDescent="0.35">
      <c r="A24" s="103" t="s">
        <v>148</v>
      </c>
      <c r="B24" s="103" t="s">
        <v>180</v>
      </c>
      <c r="C24" s="103" t="s">
        <v>188</v>
      </c>
      <c r="D24" s="103">
        <v>8</v>
      </c>
      <c r="E24" s="103" t="s">
        <v>175</v>
      </c>
      <c r="F24" s="103">
        <v>0</v>
      </c>
      <c r="G24" s="103">
        <v>20.072099999999999</v>
      </c>
    </row>
    <row r="25" spans="1:7" ht="116" x14ac:dyDescent="0.35">
      <c r="A25" s="103" t="s">
        <v>159</v>
      </c>
      <c r="B25" s="103" t="s">
        <v>260</v>
      </c>
      <c r="C25" s="103" t="s">
        <v>261</v>
      </c>
      <c r="D25" s="103">
        <v>369</v>
      </c>
      <c r="E25" s="103" t="s">
        <v>187</v>
      </c>
      <c r="F25" s="103">
        <v>0</v>
      </c>
      <c r="G25" s="103">
        <v>14.1906</v>
      </c>
    </row>
    <row r="26" spans="1:7" ht="145" x14ac:dyDescent="0.35">
      <c r="A26" s="103" t="s">
        <v>150</v>
      </c>
      <c r="B26" s="103"/>
      <c r="C26" s="103"/>
      <c r="D26" s="103">
        <v>0</v>
      </c>
      <c r="E26" s="103"/>
      <c r="F26" s="103"/>
      <c r="G26" s="103"/>
    </row>
    <row r="27" spans="1:7" ht="145" x14ac:dyDescent="0.35">
      <c r="A27" s="103" t="s">
        <v>150</v>
      </c>
      <c r="B27" s="103"/>
      <c r="C27" s="103"/>
      <c r="D27" s="103">
        <v>0</v>
      </c>
      <c r="E27" s="103"/>
      <c r="F27" s="103"/>
      <c r="G27" s="10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2DCA-C05C-4524-BB10-43DE4DD32A15}">
  <dimension ref="E4:L25"/>
  <sheetViews>
    <sheetView workbookViewId="0"/>
  </sheetViews>
  <sheetFormatPr defaultRowHeight="14.5" x14ac:dyDescent="0.35"/>
  <cols>
    <col min="11" max="11" width="11.54296875" bestFit="1" customWidth="1"/>
  </cols>
  <sheetData>
    <row r="4" spans="5:11" ht="87" x14ac:dyDescent="0.35">
      <c r="E4" s="103" t="s">
        <v>148</v>
      </c>
      <c r="F4" s="103" t="s">
        <v>167</v>
      </c>
      <c r="G4" s="103" t="s">
        <v>168</v>
      </c>
      <c r="H4" s="103">
        <v>81</v>
      </c>
      <c r="I4" s="103" t="s">
        <v>25</v>
      </c>
      <c r="J4" s="103">
        <v>0</v>
      </c>
      <c r="K4" s="103">
        <v>0.8377</v>
      </c>
    </row>
    <row r="5" spans="5:11" ht="72.5" x14ac:dyDescent="0.35">
      <c r="E5" s="103" t="s">
        <v>149</v>
      </c>
      <c r="F5" s="103" t="s">
        <v>169</v>
      </c>
      <c r="G5" s="103" t="s">
        <v>170</v>
      </c>
      <c r="H5" s="103">
        <v>1442</v>
      </c>
      <c r="I5" s="103" t="s">
        <v>171</v>
      </c>
      <c r="J5" s="103">
        <v>0</v>
      </c>
      <c r="K5" s="103">
        <v>5.6959999999999997</v>
      </c>
    </row>
    <row r="6" spans="5:11" ht="116" x14ac:dyDescent="0.35">
      <c r="E6" s="103" t="s">
        <v>151</v>
      </c>
      <c r="F6" s="103" t="s">
        <v>189</v>
      </c>
      <c r="G6" s="103" t="s">
        <v>194</v>
      </c>
      <c r="H6" s="103">
        <v>187</v>
      </c>
      <c r="I6" s="103" t="s">
        <v>187</v>
      </c>
      <c r="J6" s="103">
        <v>0</v>
      </c>
      <c r="K6" s="103">
        <v>7.5600000000000001E-2</v>
      </c>
    </row>
    <row r="7" spans="5:11" ht="72.5" x14ac:dyDescent="0.35">
      <c r="E7" s="103" t="s">
        <v>157</v>
      </c>
      <c r="F7" s="103" t="s">
        <v>172</v>
      </c>
      <c r="G7" s="103" t="s">
        <v>173</v>
      </c>
      <c r="H7" s="103">
        <v>18</v>
      </c>
      <c r="I7" s="103" t="s">
        <v>171</v>
      </c>
      <c r="J7" s="103">
        <v>0</v>
      </c>
      <c r="K7" s="103">
        <v>4.5995999999999997</v>
      </c>
    </row>
    <row r="8" spans="5:11" ht="72.5" x14ac:dyDescent="0.35">
      <c r="E8" s="103" t="s">
        <v>157</v>
      </c>
      <c r="F8" s="103" t="s">
        <v>172</v>
      </c>
      <c r="G8" s="103" t="s">
        <v>174</v>
      </c>
      <c r="H8" s="103">
        <v>28</v>
      </c>
      <c r="I8" s="103" t="s">
        <v>171</v>
      </c>
      <c r="J8" s="103">
        <v>0</v>
      </c>
      <c r="K8" s="103">
        <v>7.3653000000000004</v>
      </c>
    </row>
    <row r="9" spans="5:11" ht="72.5" x14ac:dyDescent="0.35">
      <c r="E9" s="103" t="s">
        <v>157</v>
      </c>
      <c r="F9" s="103" t="s">
        <v>172</v>
      </c>
      <c r="G9" s="103" t="s">
        <v>174</v>
      </c>
      <c r="H9" s="103">
        <v>26</v>
      </c>
      <c r="I9" s="103" t="s">
        <v>171</v>
      </c>
      <c r="J9" s="103">
        <v>0</v>
      </c>
      <c r="K9" s="103">
        <v>6.8391999999999999</v>
      </c>
    </row>
    <row r="10" spans="5:11" ht="72.5" x14ac:dyDescent="0.35">
      <c r="E10" s="103" t="s">
        <v>157</v>
      </c>
      <c r="F10" s="103" t="s">
        <v>172</v>
      </c>
      <c r="G10" s="103" t="s">
        <v>174</v>
      </c>
      <c r="H10" s="103">
        <v>9</v>
      </c>
      <c r="I10" s="103" t="s">
        <v>171</v>
      </c>
      <c r="J10" s="103">
        <v>0</v>
      </c>
      <c r="K10" s="103">
        <v>2.3673999999999999</v>
      </c>
    </row>
    <row r="11" spans="5:11" ht="101.5" x14ac:dyDescent="0.35">
      <c r="E11" s="103" t="s">
        <v>157</v>
      </c>
      <c r="F11" s="103" t="s">
        <v>176</v>
      </c>
      <c r="G11" s="103" t="s">
        <v>177</v>
      </c>
      <c r="H11" s="103">
        <v>6</v>
      </c>
      <c r="I11" s="103" t="s">
        <v>178</v>
      </c>
      <c r="J11" s="103">
        <v>0</v>
      </c>
      <c r="K11" s="103">
        <v>3.6196999999999999</v>
      </c>
    </row>
    <row r="12" spans="5:11" ht="130.5" x14ac:dyDescent="0.35">
      <c r="E12" s="103" t="s">
        <v>148</v>
      </c>
      <c r="F12" s="103" t="s">
        <v>180</v>
      </c>
      <c r="G12" s="103" t="s">
        <v>181</v>
      </c>
      <c r="H12" s="103">
        <v>2</v>
      </c>
      <c r="I12" s="103" t="s">
        <v>175</v>
      </c>
      <c r="J12" s="103">
        <v>0</v>
      </c>
      <c r="K12" s="103">
        <v>1.0812999999999999</v>
      </c>
    </row>
    <row r="13" spans="5:11" ht="87" x14ac:dyDescent="0.35">
      <c r="E13" s="103" t="s">
        <v>148</v>
      </c>
      <c r="F13" s="103" t="s">
        <v>180</v>
      </c>
      <c r="G13" s="103" t="s">
        <v>188</v>
      </c>
      <c r="H13" s="103">
        <v>2</v>
      </c>
      <c r="I13" s="103" t="s">
        <v>175</v>
      </c>
      <c r="J13" s="103">
        <v>0</v>
      </c>
      <c r="K13" s="103">
        <v>5.0179999999999998</v>
      </c>
    </row>
    <row r="14" spans="5:11" ht="101.5" x14ac:dyDescent="0.35">
      <c r="E14" s="103" t="s">
        <v>152</v>
      </c>
      <c r="F14" s="103" t="s">
        <v>185</v>
      </c>
      <c r="G14" s="103" t="s">
        <v>186</v>
      </c>
      <c r="H14" s="103">
        <v>115</v>
      </c>
      <c r="I14" s="103" t="s">
        <v>187</v>
      </c>
      <c r="J14" s="103">
        <v>0</v>
      </c>
      <c r="K14" s="103">
        <v>5.9799999999999999E-2</v>
      </c>
    </row>
    <row r="15" spans="5:11" ht="101.5" x14ac:dyDescent="0.35">
      <c r="E15" s="103" t="s">
        <v>152</v>
      </c>
      <c r="F15" s="103" t="s">
        <v>185</v>
      </c>
      <c r="G15" s="103" t="s">
        <v>186</v>
      </c>
      <c r="H15" s="103">
        <v>392</v>
      </c>
      <c r="I15" s="103" t="s">
        <v>187</v>
      </c>
      <c r="J15" s="103">
        <v>0</v>
      </c>
      <c r="K15" s="103">
        <v>0.20380000000000001</v>
      </c>
    </row>
    <row r="16" spans="5:11" ht="116" x14ac:dyDescent="0.35">
      <c r="E16" s="103" t="s">
        <v>146</v>
      </c>
      <c r="F16" s="103" t="s">
        <v>195</v>
      </c>
      <c r="G16" s="103" t="s">
        <v>196</v>
      </c>
      <c r="H16" s="103">
        <v>30</v>
      </c>
      <c r="I16" s="103" t="s">
        <v>25</v>
      </c>
      <c r="J16" s="103">
        <v>0</v>
      </c>
      <c r="K16" s="103">
        <v>0.31630000000000003</v>
      </c>
    </row>
    <row r="17" spans="5:12" ht="58" x14ac:dyDescent="0.35">
      <c r="E17" s="103" t="s">
        <v>161</v>
      </c>
      <c r="F17" s="103" t="s">
        <v>190</v>
      </c>
      <c r="G17" s="103" t="s">
        <v>191</v>
      </c>
      <c r="H17" s="103">
        <v>216</v>
      </c>
      <c r="I17" s="103" t="s">
        <v>192</v>
      </c>
      <c r="J17" s="103">
        <v>0</v>
      </c>
      <c r="K17" s="103">
        <v>5.6800000000000003E-2</v>
      </c>
    </row>
    <row r="18" spans="5:12" ht="58" x14ac:dyDescent="0.35">
      <c r="E18" s="103" t="s">
        <v>161</v>
      </c>
      <c r="F18" s="103" t="s">
        <v>190</v>
      </c>
      <c r="G18" s="103" t="s">
        <v>193</v>
      </c>
      <c r="H18" s="103">
        <v>224</v>
      </c>
      <c r="I18" s="103" t="s">
        <v>192</v>
      </c>
      <c r="J18" s="103">
        <v>2E-3</v>
      </c>
      <c r="K18" s="103">
        <v>0.1525</v>
      </c>
    </row>
    <row r="19" spans="5:12" ht="58" x14ac:dyDescent="0.35">
      <c r="E19" s="103" t="s">
        <v>161</v>
      </c>
      <c r="F19" s="103" t="s">
        <v>190</v>
      </c>
      <c r="G19" s="103" t="s">
        <v>193</v>
      </c>
      <c r="H19" s="103">
        <v>224</v>
      </c>
      <c r="I19" s="103" t="s">
        <v>192</v>
      </c>
      <c r="J19" s="103">
        <v>0</v>
      </c>
      <c r="K19" s="103">
        <v>0.1525</v>
      </c>
    </row>
    <row r="20" spans="5:12" ht="72.5" x14ac:dyDescent="0.35">
      <c r="E20" s="103" t="s">
        <v>157</v>
      </c>
      <c r="F20" s="103" t="s">
        <v>172</v>
      </c>
      <c r="G20" s="103" t="s">
        <v>197</v>
      </c>
      <c r="H20" s="103">
        <v>169537</v>
      </c>
      <c r="I20" s="103" t="s">
        <v>192</v>
      </c>
      <c r="J20" s="103"/>
      <c r="L20" s="103"/>
    </row>
    <row r="21" spans="5:12" ht="72.5" x14ac:dyDescent="0.35">
      <c r="E21" s="103" t="s">
        <v>157</v>
      </c>
      <c r="F21" s="103" t="s">
        <v>172</v>
      </c>
      <c r="G21" s="103" t="s">
        <v>197</v>
      </c>
      <c r="H21" s="103">
        <v>12192</v>
      </c>
      <c r="I21" s="103" t="s">
        <v>192</v>
      </c>
      <c r="J21" s="103"/>
      <c r="L21" s="103"/>
    </row>
    <row r="22" spans="5:12" x14ac:dyDescent="0.35">
      <c r="K22">
        <f>SUM(K4:K21)</f>
        <v>38.441500000000012</v>
      </c>
    </row>
    <row r="25" spans="5:12" x14ac:dyDescent="0.35">
      <c r="J25">
        <v>0.13834024411009846</v>
      </c>
      <c r="K25" t="s">
        <v>198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E5AA-CDA3-496B-9D4E-2374458B67DF}">
  <dimension ref="D3:J77"/>
  <sheetViews>
    <sheetView workbookViewId="0"/>
  </sheetViews>
  <sheetFormatPr defaultRowHeight="14.5" x14ac:dyDescent="0.35"/>
  <sheetData>
    <row r="3" spans="4:10" ht="116" x14ac:dyDescent="0.35">
      <c r="D3" s="103" t="s">
        <v>146</v>
      </c>
      <c r="E3" s="103" t="s">
        <v>195</v>
      </c>
      <c r="F3" s="103" t="s">
        <v>200</v>
      </c>
      <c r="G3" s="103">
        <v>55633</v>
      </c>
      <c r="H3" s="103" t="s">
        <v>25</v>
      </c>
      <c r="I3" s="103">
        <v>0</v>
      </c>
      <c r="J3" s="103">
        <v>208.9939</v>
      </c>
    </row>
    <row r="4" spans="4:10" ht="116" x14ac:dyDescent="0.35">
      <c r="D4" s="103" t="s">
        <v>146</v>
      </c>
      <c r="E4" s="103" t="s">
        <v>201</v>
      </c>
      <c r="F4" s="103" t="s">
        <v>202</v>
      </c>
      <c r="G4" s="103">
        <v>39</v>
      </c>
      <c r="H4" s="103" t="s">
        <v>175</v>
      </c>
      <c r="I4" s="103">
        <v>0</v>
      </c>
      <c r="J4" s="103">
        <v>12.7569</v>
      </c>
    </row>
    <row r="5" spans="4:10" ht="116" x14ac:dyDescent="0.35">
      <c r="D5" s="103" t="s">
        <v>146</v>
      </c>
      <c r="E5" s="103" t="s">
        <v>201</v>
      </c>
      <c r="F5" s="103" t="s">
        <v>203</v>
      </c>
      <c r="G5" s="103">
        <v>208</v>
      </c>
      <c r="H5" s="103" t="s">
        <v>175</v>
      </c>
      <c r="I5" s="103">
        <v>0</v>
      </c>
      <c r="J5" s="103">
        <v>51.450899999999997</v>
      </c>
    </row>
    <row r="6" spans="4:10" ht="116" x14ac:dyDescent="0.35">
      <c r="D6" s="103" t="s">
        <v>146</v>
      </c>
      <c r="E6" s="103" t="s">
        <v>201</v>
      </c>
      <c r="F6" s="103" t="s">
        <v>204</v>
      </c>
      <c r="G6" s="103">
        <v>54</v>
      </c>
      <c r="H6" s="103" t="s">
        <v>175</v>
      </c>
      <c r="I6" s="103">
        <v>0</v>
      </c>
      <c r="J6" s="103">
        <v>12.1282</v>
      </c>
    </row>
    <row r="7" spans="4:10" ht="87" x14ac:dyDescent="0.35">
      <c r="D7" s="103" t="s">
        <v>157</v>
      </c>
      <c r="E7" s="103" t="s">
        <v>172</v>
      </c>
      <c r="F7" s="103" t="s">
        <v>205</v>
      </c>
      <c r="G7" s="103">
        <v>375</v>
      </c>
      <c r="H7" s="103" t="s">
        <v>171</v>
      </c>
      <c r="I7" s="103">
        <v>0</v>
      </c>
      <c r="J7" s="103">
        <v>1.4785999999999999</v>
      </c>
    </row>
    <row r="8" spans="4:10" ht="116" x14ac:dyDescent="0.35">
      <c r="D8" s="103" t="s">
        <v>146</v>
      </c>
      <c r="E8" s="103" t="s">
        <v>206</v>
      </c>
      <c r="F8" s="103" t="s">
        <v>207</v>
      </c>
      <c r="G8" s="103">
        <v>1410</v>
      </c>
      <c r="H8" s="103" t="s">
        <v>25</v>
      </c>
      <c r="I8" s="103">
        <v>0</v>
      </c>
      <c r="J8" s="103">
        <v>117.8732</v>
      </c>
    </row>
    <row r="9" spans="4:10" ht="116" x14ac:dyDescent="0.35">
      <c r="D9" s="103" t="s">
        <v>146</v>
      </c>
      <c r="E9" s="103" t="s">
        <v>206</v>
      </c>
      <c r="F9" s="103" t="s">
        <v>208</v>
      </c>
      <c r="G9" s="103">
        <v>2495</v>
      </c>
      <c r="H9" s="103" t="s">
        <v>25</v>
      </c>
      <c r="I9" s="103">
        <v>0</v>
      </c>
      <c r="J9" s="103">
        <v>285.32069999999999</v>
      </c>
    </row>
    <row r="10" spans="4:10" ht="87" x14ac:dyDescent="0.35">
      <c r="D10" s="103" t="s">
        <v>157</v>
      </c>
      <c r="E10" s="103" t="s">
        <v>172</v>
      </c>
      <c r="F10" s="103" t="s">
        <v>205</v>
      </c>
      <c r="G10" s="103">
        <v>3905</v>
      </c>
      <c r="H10" s="103" t="s">
        <v>171</v>
      </c>
      <c r="I10" s="103">
        <v>0</v>
      </c>
      <c r="J10" s="103">
        <v>15.397399999999999</v>
      </c>
    </row>
    <row r="11" spans="4:10" ht="116" x14ac:dyDescent="0.35">
      <c r="D11" s="103" t="s">
        <v>146</v>
      </c>
      <c r="E11" s="103" t="s">
        <v>206</v>
      </c>
      <c r="F11" s="103" t="s">
        <v>209</v>
      </c>
      <c r="G11" s="103">
        <v>192</v>
      </c>
      <c r="H11" s="103" t="s">
        <v>25</v>
      </c>
      <c r="I11" s="103">
        <v>0</v>
      </c>
      <c r="J11" s="103">
        <v>64.621399999999994</v>
      </c>
    </row>
    <row r="12" spans="4:10" ht="87" x14ac:dyDescent="0.35">
      <c r="D12" s="103" t="s">
        <v>148</v>
      </c>
      <c r="E12" s="103" t="s">
        <v>210</v>
      </c>
      <c r="F12" s="103" t="s">
        <v>211</v>
      </c>
      <c r="G12" s="103">
        <v>1797</v>
      </c>
      <c r="H12" s="103" t="s">
        <v>25</v>
      </c>
      <c r="I12" s="103">
        <v>0</v>
      </c>
      <c r="J12" s="103">
        <v>128.03270000000001</v>
      </c>
    </row>
    <row r="13" spans="4:10" ht="87" x14ac:dyDescent="0.35">
      <c r="D13" s="103" t="s">
        <v>148</v>
      </c>
      <c r="E13" s="103" t="s">
        <v>210</v>
      </c>
      <c r="F13" s="103" t="s">
        <v>212</v>
      </c>
      <c r="G13" s="103">
        <v>1347</v>
      </c>
      <c r="H13" s="103" t="s">
        <v>25</v>
      </c>
      <c r="I13" s="103">
        <v>0</v>
      </c>
      <c r="J13" s="103">
        <v>174.63589999999999</v>
      </c>
    </row>
    <row r="14" spans="4:10" ht="101.5" x14ac:dyDescent="0.35">
      <c r="D14" s="103" t="s">
        <v>148</v>
      </c>
      <c r="E14" s="103" t="s">
        <v>210</v>
      </c>
      <c r="F14" s="103" t="s">
        <v>213</v>
      </c>
      <c r="G14" s="103">
        <v>90</v>
      </c>
      <c r="H14" s="103" t="s">
        <v>25</v>
      </c>
      <c r="I14" s="103">
        <v>0</v>
      </c>
      <c r="J14" s="103">
        <v>18.448599999999999</v>
      </c>
    </row>
    <row r="15" spans="4:10" ht="101.5" x14ac:dyDescent="0.35">
      <c r="D15" s="103" t="s">
        <v>148</v>
      </c>
      <c r="E15" s="103" t="s">
        <v>210</v>
      </c>
      <c r="F15" s="103" t="s">
        <v>214</v>
      </c>
      <c r="G15" s="103">
        <v>157</v>
      </c>
      <c r="H15" s="103" t="s">
        <v>25</v>
      </c>
      <c r="I15" s="103">
        <v>0</v>
      </c>
      <c r="J15" s="103">
        <v>65.556899999999999</v>
      </c>
    </row>
    <row r="16" spans="4:10" ht="87" x14ac:dyDescent="0.35">
      <c r="D16" s="103" t="s">
        <v>148</v>
      </c>
      <c r="E16" s="103" t="s">
        <v>167</v>
      </c>
      <c r="F16" s="103" t="s">
        <v>215</v>
      </c>
      <c r="G16" s="103">
        <v>11531</v>
      </c>
      <c r="H16" s="103" t="s">
        <v>25</v>
      </c>
      <c r="I16" s="103">
        <v>0</v>
      </c>
      <c r="J16" s="103">
        <v>68.626300000000001</v>
      </c>
    </row>
    <row r="17" spans="4:10" ht="87" x14ac:dyDescent="0.35">
      <c r="D17" s="103" t="s">
        <v>148</v>
      </c>
      <c r="E17" s="103" t="s">
        <v>167</v>
      </c>
      <c r="F17" s="103" t="s">
        <v>216</v>
      </c>
      <c r="G17" s="103">
        <v>9951</v>
      </c>
      <c r="H17" s="103" t="s">
        <v>25</v>
      </c>
      <c r="I17" s="103">
        <v>0</v>
      </c>
      <c r="J17" s="103">
        <v>105.91370000000001</v>
      </c>
    </row>
    <row r="18" spans="4:10" ht="87" x14ac:dyDescent="0.35">
      <c r="D18" s="103" t="s">
        <v>148</v>
      </c>
      <c r="E18" s="103" t="s">
        <v>167</v>
      </c>
      <c r="F18" s="103" t="s">
        <v>217</v>
      </c>
      <c r="G18" s="103">
        <v>11183</v>
      </c>
      <c r="H18" s="103" t="s">
        <v>25</v>
      </c>
      <c r="I18" s="103">
        <v>0</v>
      </c>
      <c r="J18" s="103">
        <v>211.6027</v>
      </c>
    </row>
    <row r="19" spans="4:10" ht="87" x14ac:dyDescent="0.35">
      <c r="D19" s="103" t="s">
        <v>148</v>
      </c>
      <c r="E19" s="103" t="s">
        <v>167</v>
      </c>
      <c r="F19" s="103" t="s">
        <v>218</v>
      </c>
      <c r="G19" s="103">
        <v>4436</v>
      </c>
      <c r="H19" s="103" t="s">
        <v>25</v>
      </c>
      <c r="I19" s="103">
        <v>0</v>
      </c>
      <c r="J19" s="103">
        <v>124.81570000000001</v>
      </c>
    </row>
    <row r="20" spans="4:10" ht="72.5" x14ac:dyDescent="0.35">
      <c r="D20" s="103" t="s">
        <v>157</v>
      </c>
      <c r="E20" s="103" t="s">
        <v>172</v>
      </c>
      <c r="F20" s="103" t="s">
        <v>173</v>
      </c>
      <c r="G20" s="103">
        <v>174</v>
      </c>
      <c r="H20" s="103" t="s">
        <v>171</v>
      </c>
      <c r="I20" s="103">
        <v>0</v>
      </c>
      <c r="J20" s="103">
        <v>44.462699999999998</v>
      </c>
    </row>
    <row r="21" spans="4:10" ht="116" x14ac:dyDescent="0.35">
      <c r="D21" s="103" t="s">
        <v>151</v>
      </c>
      <c r="E21" s="103" t="s">
        <v>189</v>
      </c>
      <c r="F21" s="103" t="s">
        <v>194</v>
      </c>
      <c r="G21" s="103">
        <v>28532</v>
      </c>
      <c r="H21" s="103" t="s">
        <v>187</v>
      </c>
      <c r="I21" s="103">
        <v>0</v>
      </c>
      <c r="J21" s="103">
        <v>11.5412</v>
      </c>
    </row>
    <row r="22" spans="4:10" ht="130.5" x14ac:dyDescent="0.35">
      <c r="D22" s="103" t="s">
        <v>148</v>
      </c>
      <c r="E22" s="103" t="s">
        <v>180</v>
      </c>
      <c r="F22" s="103" t="s">
        <v>219</v>
      </c>
      <c r="G22" s="103">
        <v>599</v>
      </c>
      <c r="H22" s="103" t="s">
        <v>175</v>
      </c>
      <c r="I22" s="103">
        <v>0</v>
      </c>
      <c r="J22" s="103">
        <v>383.03649999999999</v>
      </c>
    </row>
    <row r="23" spans="4:10" ht="116" x14ac:dyDescent="0.35">
      <c r="D23" s="103" t="s">
        <v>148</v>
      </c>
      <c r="E23" s="103" t="s">
        <v>180</v>
      </c>
      <c r="F23" s="103" t="s">
        <v>220</v>
      </c>
      <c r="G23" s="103">
        <v>20</v>
      </c>
      <c r="H23" s="103" t="s">
        <v>175</v>
      </c>
      <c r="I23" s="103">
        <v>0</v>
      </c>
      <c r="J23" s="103">
        <v>20.372</v>
      </c>
    </row>
    <row r="24" spans="4:10" ht="130.5" x14ac:dyDescent="0.35">
      <c r="D24" s="103" t="s">
        <v>148</v>
      </c>
      <c r="E24" s="103" t="s">
        <v>180</v>
      </c>
      <c r="F24" s="103" t="s">
        <v>221</v>
      </c>
      <c r="G24" s="103">
        <v>48</v>
      </c>
      <c r="H24" s="103" t="s">
        <v>175</v>
      </c>
      <c r="I24" s="103">
        <v>0</v>
      </c>
      <c r="J24" s="103">
        <v>36.845799999999997</v>
      </c>
    </row>
    <row r="25" spans="4:10" ht="116" x14ac:dyDescent="0.35">
      <c r="D25" s="103" t="s">
        <v>148</v>
      </c>
      <c r="E25" s="103" t="s">
        <v>180</v>
      </c>
      <c r="F25" s="103" t="s">
        <v>222</v>
      </c>
      <c r="G25" s="103">
        <v>12</v>
      </c>
      <c r="H25" s="103" t="s">
        <v>175</v>
      </c>
      <c r="I25" s="103">
        <v>0</v>
      </c>
      <c r="J25" s="103">
        <v>15.0427</v>
      </c>
    </row>
    <row r="26" spans="4:10" ht="130.5" x14ac:dyDescent="0.35">
      <c r="D26" s="103" t="s">
        <v>148</v>
      </c>
      <c r="E26" s="103" t="s">
        <v>180</v>
      </c>
      <c r="F26" s="103" t="s">
        <v>223</v>
      </c>
      <c r="G26" s="103">
        <v>29</v>
      </c>
      <c r="H26" s="103" t="s">
        <v>175</v>
      </c>
      <c r="I26" s="103">
        <v>0</v>
      </c>
      <c r="J26" s="103">
        <v>30.9848</v>
      </c>
    </row>
    <row r="27" spans="4:10" ht="116" x14ac:dyDescent="0.35">
      <c r="D27" s="103" t="s">
        <v>148</v>
      </c>
      <c r="E27" s="103" t="s">
        <v>180</v>
      </c>
      <c r="F27" s="103" t="s">
        <v>224</v>
      </c>
      <c r="G27" s="103">
        <v>5</v>
      </c>
      <c r="H27" s="103" t="s">
        <v>175</v>
      </c>
      <c r="I27" s="103">
        <v>0</v>
      </c>
      <c r="J27" s="103">
        <v>8.8933</v>
      </c>
    </row>
    <row r="28" spans="4:10" ht="87" x14ac:dyDescent="0.35">
      <c r="D28" s="103" t="s">
        <v>148</v>
      </c>
      <c r="E28" s="103" t="s">
        <v>225</v>
      </c>
      <c r="F28" s="103" t="s">
        <v>226</v>
      </c>
      <c r="G28" s="103">
        <v>195</v>
      </c>
      <c r="H28" s="103" t="s">
        <v>175</v>
      </c>
      <c r="I28" s="103">
        <v>0</v>
      </c>
      <c r="J28" s="103">
        <v>17.0898</v>
      </c>
    </row>
    <row r="29" spans="4:10" ht="87" x14ac:dyDescent="0.35">
      <c r="D29" s="103" t="s">
        <v>148</v>
      </c>
      <c r="E29" s="103" t="s">
        <v>227</v>
      </c>
      <c r="F29" s="103" t="s">
        <v>228</v>
      </c>
      <c r="G29" s="103">
        <v>122</v>
      </c>
      <c r="H29" s="103" t="s">
        <v>175</v>
      </c>
      <c r="I29" s="103">
        <v>0</v>
      </c>
      <c r="J29" s="103">
        <v>6.4699999999999994E-2</v>
      </c>
    </row>
    <row r="30" spans="4:10" ht="116" x14ac:dyDescent="0.35">
      <c r="D30" s="103" t="s">
        <v>148</v>
      </c>
      <c r="E30" s="103" t="s">
        <v>229</v>
      </c>
      <c r="F30" s="103" t="s">
        <v>230</v>
      </c>
      <c r="G30" s="103">
        <v>32</v>
      </c>
      <c r="H30" s="103" t="s">
        <v>175</v>
      </c>
      <c r="I30" s="103">
        <v>0</v>
      </c>
      <c r="J30" s="103">
        <v>129.6</v>
      </c>
    </row>
    <row r="31" spans="4:10" ht="87" x14ac:dyDescent="0.35">
      <c r="D31" s="103" t="s">
        <v>148</v>
      </c>
      <c r="E31" s="103" t="s">
        <v>227</v>
      </c>
      <c r="F31" s="103" t="s">
        <v>228</v>
      </c>
      <c r="G31" s="103">
        <v>80</v>
      </c>
      <c r="H31" s="103" t="s">
        <v>175</v>
      </c>
      <c r="I31" s="103">
        <v>0</v>
      </c>
      <c r="J31" s="103">
        <v>4.24E-2</v>
      </c>
    </row>
    <row r="32" spans="4:10" ht="87" x14ac:dyDescent="0.35">
      <c r="D32" s="103" t="s">
        <v>148</v>
      </c>
      <c r="E32" s="103" t="s">
        <v>210</v>
      </c>
      <c r="F32" s="103" t="s">
        <v>211</v>
      </c>
      <c r="G32" s="103">
        <v>700</v>
      </c>
      <c r="H32" s="103" t="s">
        <v>25</v>
      </c>
      <c r="I32" s="103">
        <v>0</v>
      </c>
      <c r="J32" s="103">
        <v>49.873600000000003</v>
      </c>
    </row>
    <row r="33" spans="4:10" ht="145" x14ac:dyDescent="0.35">
      <c r="D33" s="103" t="s">
        <v>150</v>
      </c>
      <c r="E33" s="103" t="s">
        <v>231</v>
      </c>
      <c r="F33" s="103" t="s">
        <v>232</v>
      </c>
      <c r="G33" s="103">
        <v>443519</v>
      </c>
      <c r="H33" s="103" t="s">
        <v>187</v>
      </c>
      <c r="I33" s="103">
        <v>0</v>
      </c>
      <c r="J33" s="103">
        <v>1065.3326</v>
      </c>
    </row>
    <row r="34" spans="4:10" ht="145" x14ac:dyDescent="0.35">
      <c r="D34" s="103" t="s">
        <v>150</v>
      </c>
      <c r="E34" s="103" t="s">
        <v>233</v>
      </c>
      <c r="F34" s="103" t="s">
        <v>234</v>
      </c>
      <c r="G34" s="103">
        <v>374223</v>
      </c>
      <c r="H34" s="103" t="s">
        <v>187</v>
      </c>
      <c r="I34" s="103">
        <v>0</v>
      </c>
      <c r="J34" s="103">
        <v>9099.9807000000001</v>
      </c>
    </row>
    <row r="35" spans="4:10" ht="130.5" x14ac:dyDescent="0.35">
      <c r="D35" s="103" t="s">
        <v>151</v>
      </c>
      <c r="E35" s="103" t="s">
        <v>235</v>
      </c>
      <c r="F35" s="103" t="s">
        <v>236</v>
      </c>
      <c r="G35" s="103">
        <v>374223</v>
      </c>
      <c r="H35" s="103" t="s">
        <v>187</v>
      </c>
      <c r="I35" s="103">
        <v>3.4000000000000002E-2</v>
      </c>
      <c r="J35" s="103">
        <v>2552.9493000000002</v>
      </c>
    </row>
    <row r="36" spans="4:10" ht="130.5" x14ac:dyDescent="0.35">
      <c r="D36" s="103" t="s">
        <v>151</v>
      </c>
      <c r="E36" s="103" t="s">
        <v>235</v>
      </c>
      <c r="F36" s="103" t="s">
        <v>236</v>
      </c>
      <c r="G36" s="103">
        <v>374223</v>
      </c>
      <c r="H36" s="103" t="s">
        <v>187</v>
      </c>
      <c r="I36" s="103">
        <v>3.4000000000000002E-2</v>
      </c>
      <c r="J36" s="103">
        <v>2552.9493000000002</v>
      </c>
    </row>
    <row r="37" spans="4:10" ht="130.5" x14ac:dyDescent="0.35">
      <c r="D37" s="103" t="s">
        <v>151</v>
      </c>
      <c r="E37" s="103" t="s">
        <v>235</v>
      </c>
      <c r="F37" s="103" t="s">
        <v>237</v>
      </c>
      <c r="G37" s="103">
        <v>374223</v>
      </c>
      <c r="H37" s="103" t="s">
        <v>187</v>
      </c>
      <c r="I37" s="103">
        <v>3.4000000000000002E-2</v>
      </c>
      <c r="J37" s="103">
        <v>1982.6334999999999</v>
      </c>
    </row>
    <row r="38" spans="4:10" ht="116" x14ac:dyDescent="0.35">
      <c r="D38" s="103" t="s">
        <v>151</v>
      </c>
      <c r="E38" s="103" t="s">
        <v>238</v>
      </c>
      <c r="F38" s="103" t="s">
        <v>239</v>
      </c>
      <c r="G38" s="103">
        <v>1122669</v>
      </c>
      <c r="H38" s="103" t="s">
        <v>187</v>
      </c>
      <c r="I38" s="103">
        <v>0.1</v>
      </c>
      <c r="J38" s="103">
        <v>337.92340000000002</v>
      </c>
    </row>
    <row r="39" spans="4:10" ht="72.5" x14ac:dyDescent="0.35">
      <c r="D39" s="103" t="s">
        <v>147</v>
      </c>
      <c r="E39" s="103" t="s">
        <v>183</v>
      </c>
      <c r="F39" s="103" t="s">
        <v>184</v>
      </c>
      <c r="G39" s="103">
        <v>41713</v>
      </c>
      <c r="H39" s="103" t="s">
        <v>25</v>
      </c>
      <c r="I39" s="103">
        <v>0</v>
      </c>
      <c r="J39" s="103">
        <v>2566.2004000000002</v>
      </c>
    </row>
    <row r="40" spans="4:10" ht="72.5" x14ac:dyDescent="0.35">
      <c r="D40" s="103" t="s">
        <v>147</v>
      </c>
      <c r="E40" s="103" t="s">
        <v>183</v>
      </c>
      <c r="F40" s="103" t="s">
        <v>240</v>
      </c>
      <c r="G40" s="103">
        <v>22094</v>
      </c>
      <c r="H40" s="103" t="s">
        <v>25</v>
      </c>
      <c r="I40" s="103">
        <v>0</v>
      </c>
      <c r="J40" s="103">
        <v>2167.2093</v>
      </c>
    </row>
    <row r="41" spans="4:10" ht="72.5" x14ac:dyDescent="0.35">
      <c r="D41" s="103" t="s">
        <v>147</v>
      </c>
      <c r="E41" s="103" t="s">
        <v>183</v>
      </c>
      <c r="F41" s="103" t="s">
        <v>241</v>
      </c>
      <c r="G41" s="103">
        <v>356</v>
      </c>
      <c r="H41" s="103" t="s">
        <v>25</v>
      </c>
      <c r="I41" s="103">
        <v>0</v>
      </c>
      <c r="J41" s="103">
        <v>106.3728</v>
      </c>
    </row>
    <row r="42" spans="4:10" ht="87" x14ac:dyDescent="0.35">
      <c r="D42" s="103" t="s">
        <v>154</v>
      </c>
      <c r="E42" s="103" t="s">
        <v>242</v>
      </c>
      <c r="F42" s="103" t="s">
        <v>243</v>
      </c>
      <c r="G42" s="103">
        <v>39</v>
      </c>
      <c r="H42" s="103" t="s">
        <v>175</v>
      </c>
      <c r="I42" s="103">
        <v>8.3299999999999999E-2</v>
      </c>
      <c r="J42" s="103">
        <v>0.92930000000000001</v>
      </c>
    </row>
    <row r="43" spans="4:10" ht="87" x14ac:dyDescent="0.35">
      <c r="D43" s="103" t="s">
        <v>154</v>
      </c>
      <c r="E43" s="103" t="s">
        <v>242</v>
      </c>
      <c r="F43" s="103" t="s">
        <v>244</v>
      </c>
      <c r="G43" s="103">
        <v>44672</v>
      </c>
      <c r="H43" s="103" t="s">
        <v>25</v>
      </c>
      <c r="I43" s="103">
        <v>8.3299999999999999E-2</v>
      </c>
      <c r="J43" s="103">
        <v>35.834400000000002</v>
      </c>
    </row>
    <row r="44" spans="4:10" ht="87" x14ac:dyDescent="0.35">
      <c r="D44" s="103" t="s">
        <v>154</v>
      </c>
      <c r="E44" s="103" t="s">
        <v>242</v>
      </c>
      <c r="F44" s="103" t="s">
        <v>245</v>
      </c>
      <c r="G44" s="103">
        <v>37931</v>
      </c>
      <c r="H44" s="103" t="s">
        <v>25</v>
      </c>
      <c r="I44" s="103">
        <v>8.3299999999999999E-2</v>
      </c>
      <c r="J44" s="103">
        <v>33.467799999999997</v>
      </c>
    </row>
    <row r="45" spans="4:10" ht="87" x14ac:dyDescent="0.35">
      <c r="D45" s="103" t="s">
        <v>154</v>
      </c>
      <c r="E45" s="103" t="s">
        <v>246</v>
      </c>
      <c r="F45" s="103" t="s">
        <v>247</v>
      </c>
      <c r="G45" s="103">
        <v>4</v>
      </c>
      <c r="H45" s="103" t="s">
        <v>175</v>
      </c>
      <c r="I45" s="103">
        <v>1.4999999999999999E-2</v>
      </c>
      <c r="J45" s="103">
        <v>12.5367</v>
      </c>
    </row>
    <row r="46" spans="4:10" ht="72.5" x14ac:dyDescent="0.35">
      <c r="D46" s="103" t="s">
        <v>157</v>
      </c>
      <c r="E46" s="103" t="s">
        <v>172</v>
      </c>
      <c r="F46" s="103" t="s">
        <v>173</v>
      </c>
      <c r="G46" s="103">
        <v>376.79</v>
      </c>
      <c r="H46" s="103" t="s">
        <v>171</v>
      </c>
      <c r="I46" s="103">
        <v>0</v>
      </c>
      <c r="J46" s="103">
        <v>96.282200000000003</v>
      </c>
    </row>
    <row r="47" spans="4:10" ht="87" x14ac:dyDescent="0.35">
      <c r="D47" s="103" t="s">
        <v>154</v>
      </c>
      <c r="E47" s="103" t="s">
        <v>248</v>
      </c>
      <c r="F47" s="103" t="s">
        <v>249</v>
      </c>
      <c r="G47" s="103">
        <v>7526</v>
      </c>
      <c r="H47" s="103" t="s">
        <v>175</v>
      </c>
      <c r="I47" s="103">
        <v>2.5000000000000001E-2</v>
      </c>
      <c r="J47" s="103">
        <v>1.2456</v>
      </c>
    </row>
    <row r="48" spans="4:10" ht="87" x14ac:dyDescent="0.35">
      <c r="D48" s="103" t="s">
        <v>154</v>
      </c>
      <c r="E48" s="103" t="s">
        <v>250</v>
      </c>
      <c r="F48" s="103" t="s">
        <v>251</v>
      </c>
      <c r="G48" s="103">
        <v>137</v>
      </c>
      <c r="H48" s="103" t="s">
        <v>175</v>
      </c>
      <c r="I48" s="103">
        <v>0</v>
      </c>
      <c r="J48" s="103">
        <v>9.0700000000000003E-2</v>
      </c>
    </row>
    <row r="49" spans="4:10" ht="72.5" x14ac:dyDescent="0.35">
      <c r="D49" s="103" t="s">
        <v>157</v>
      </c>
      <c r="E49" s="103" t="s">
        <v>172</v>
      </c>
      <c r="F49" s="103" t="s">
        <v>173</v>
      </c>
      <c r="G49" s="103">
        <v>186</v>
      </c>
      <c r="H49" s="103" t="s">
        <v>171</v>
      </c>
      <c r="I49" s="103">
        <v>0</v>
      </c>
      <c r="J49" s="103">
        <v>47.5291</v>
      </c>
    </row>
    <row r="50" spans="4:10" ht="87" x14ac:dyDescent="0.35">
      <c r="D50" s="103" t="s">
        <v>148</v>
      </c>
      <c r="E50" s="103" t="s">
        <v>180</v>
      </c>
      <c r="F50" s="103" t="s">
        <v>188</v>
      </c>
      <c r="G50" s="103">
        <v>506</v>
      </c>
      <c r="H50" s="103" t="s">
        <v>175</v>
      </c>
      <c r="I50" s="103">
        <v>0</v>
      </c>
      <c r="J50" s="103">
        <v>1269.5622000000001</v>
      </c>
    </row>
    <row r="51" spans="4:10" ht="87" x14ac:dyDescent="0.35">
      <c r="D51" s="103" t="s">
        <v>154</v>
      </c>
      <c r="E51" s="103" t="s">
        <v>246</v>
      </c>
      <c r="F51" s="103" t="s">
        <v>252</v>
      </c>
      <c r="G51" s="103">
        <v>790</v>
      </c>
      <c r="H51" s="103" t="s">
        <v>187</v>
      </c>
      <c r="I51" s="103">
        <v>1.4999999999999999E-2</v>
      </c>
      <c r="J51" s="103">
        <v>109.02</v>
      </c>
    </row>
    <row r="52" spans="4:10" ht="116" x14ac:dyDescent="0.35">
      <c r="D52" s="103" t="s">
        <v>146</v>
      </c>
      <c r="E52" s="103" t="s">
        <v>195</v>
      </c>
      <c r="F52" s="103" t="s">
        <v>196</v>
      </c>
      <c r="G52" s="103">
        <v>6481</v>
      </c>
      <c r="H52" s="103" t="s">
        <v>25</v>
      </c>
      <c r="I52" s="103">
        <v>0</v>
      </c>
      <c r="J52" s="103">
        <v>68.330500000000001</v>
      </c>
    </row>
    <row r="53" spans="4:10" ht="101.5" x14ac:dyDescent="0.35">
      <c r="D53" s="103" t="s">
        <v>155</v>
      </c>
      <c r="E53" s="103" t="s">
        <v>179</v>
      </c>
      <c r="F53" s="103" t="s">
        <v>253</v>
      </c>
      <c r="G53" s="103">
        <v>271968</v>
      </c>
      <c r="H53" s="103" t="s">
        <v>25</v>
      </c>
      <c r="I53" s="103">
        <v>0</v>
      </c>
      <c r="J53" s="103">
        <v>1644.8625</v>
      </c>
    </row>
    <row r="54" spans="4:10" ht="58" x14ac:dyDescent="0.35">
      <c r="D54" s="103" t="s">
        <v>149</v>
      </c>
      <c r="E54" s="103" t="s">
        <v>169</v>
      </c>
      <c r="F54" s="103" t="s">
        <v>254</v>
      </c>
      <c r="G54" s="103">
        <v>56554</v>
      </c>
      <c r="H54" s="103" t="s">
        <v>171</v>
      </c>
      <c r="I54" s="103">
        <v>0</v>
      </c>
      <c r="J54" s="103">
        <v>214.08519999999999</v>
      </c>
    </row>
    <row r="55" spans="4:10" ht="58" x14ac:dyDescent="0.35">
      <c r="D55" s="103" t="s">
        <v>149</v>
      </c>
      <c r="E55" s="103" t="s">
        <v>169</v>
      </c>
      <c r="F55" s="103" t="s">
        <v>254</v>
      </c>
      <c r="G55" s="103">
        <v>4603.2</v>
      </c>
      <c r="H55" s="103" t="s">
        <v>171</v>
      </c>
      <c r="I55" s="103">
        <v>0</v>
      </c>
      <c r="J55" s="103">
        <v>17.4254</v>
      </c>
    </row>
    <row r="56" spans="4:10" ht="58" x14ac:dyDescent="0.35">
      <c r="D56" s="103" t="s">
        <v>149</v>
      </c>
      <c r="E56" s="103" t="s">
        <v>169</v>
      </c>
      <c r="F56" s="103" t="s">
        <v>254</v>
      </c>
      <c r="G56" s="103">
        <v>1150.8</v>
      </c>
      <c r="H56" s="103" t="s">
        <v>171</v>
      </c>
      <c r="I56" s="103">
        <v>0</v>
      </c>
      <c r="J56" s="103">
        <v>4.3563999999999998</v>
      </c>
    </row>
    <row r="57" spans="4:10" ht="130.5" x14ac:dyDescent="0.35">
      <c r="D57" s="103" t="s">
        <v>157</v>
      </c>
      <c r="E57" s="103" t="s">
        <v>255</v>
      </c>
      <c r="F57" s="103" t="s">
        <v>256</v>
      </c>
      <c r="G57" s="103">
        <v>17501</v>
      </c>
      <c r="H57" s="103" t="s">
        <v>178</v>
      </c>
      <c r="I57" s="103">
        <v>0</v>
      </c>
      <c r="J57" s="103">
        <v>129.9974</v>
      </c>
    </row>
    <row r="58" spans="4:10" ht="130.5" x14ac:dyDescent="0.35">
      <c r="D58" s="103" t="s">
        <v>148</v>
      </c>
      <c r="E58" s="103" t="s">
        <v>182</v>
      </c>
      <c r="F58" s="103" t="s">
        <v>257</v>
      </c>
      <c r="G58" s="103">
        <v>31156</v>
      </c>
      <c r="H58" s="103" t="s">
        <v>25</v>
      </c>
      <c r="I58" s="103">
        <v>0</v>
      </c>
      <c r="J58" s="103">
        <v>2311.1520999999998</v>
      </c>
    </row>
    <row r="59" spans="4:10" ht="145" x14ac:dyDescent="0.35">
      <c r="D59" s="103" t="s">
        <v>150</v>
      </c>
      <c r="E59" s="103"/>
      <c r="F59" s="103"/>
      <c r="G59" s="103">
        <v>0</v>
      </c>
      <c r="H59" s="103"/>
      <c r="I59" s="103"/>
      <c r="J59" s="103"/>
    </row>
    <row r="60" spans="4:10" ht="145" x14ac:dyDescent="0.35">
      <c r="D60" s="103" t="s">
        <v>150</v>
      </c>
      <c r="E60" s="103"/>
      <c r="F60" s="103"/>
      <c r="G60" s="103">
        <v>0</v>
      </c>
      <c r="H60" s="103"/>
      <c r="I60" s="103"/>
      <c r="J60" s="103"/>
    </row>
    <row r="61" spans="4:10" ht="145" x14ac:dyDescent="0.35">
      <c r="D61" s="103" t="s">
        <v>150</v>
      </c>
      <c r="E61" s="103"/>
      <c r="F61" s="103"/>
      <c r="G61" s="103">
        <v>0</v>
      </c>
      <c r="H61" s="103"/>
      <c r="I61" s="103"/>
      <c r="J61" s="103"/>
    </row>
    <row r="62" spans="4:10" ht="145" x14ac:dyDescent="0.35">
      <c r="D62" s="103" t="s">
        <v>150</v>
      </c>
      <c r="E62" s="103"/>
      <c r="F62" s="103"/>
      <c r="G62" s="103">
        <v>0</v>
      </c>
      <c r="H62" s="103"/>
      <c r="I62" s="103"/>
      <c r="J62" s="103"/>
    </row>
    <row r="63" spans="4:10" ht="145" x14ac:dyDescent="0.35">
      <c r="D63" s="103" t="s">
        <v>150</v>
      </c>
      <c r="E63" s="103"/>
      <c r="F63" s="103"/>
      <c r="G63" s="103">
        <v>0</v>
      </c>
      <c r="H63" s="103"/>
      <c r="I63" s="103"/>
      <c r="J63" s="103"/>
    </row>
    <row r="64" spans="4:10" ht="145" x14ac:dyDescent="0.35">
      <c r="D64" s="103" t="s">
        <v>150</v>
      </c>
      <c r="E64" s="103"/>
      <c r="F64" s="103"/>
      <c r="G64" s="103">
        <v>0</v>
      </c>
      <c r="H64" s="103"/>
      <c r="I64" s="103"/>
      <c r="J64" s="103"/>
    </row>
    <row r="65" spans="4:10" ht="145" x14ac:dyDescent="0.35">
      <c r="D65" s="103" t="s">
        <v>150</v>
      </c>
      <c r="E65" s="103"/>
      <c r="F65" s="103"/>
      <c r="G65" s="103">
        <v>0</v>
      </c>
      <c r="H65" s="103"/>
      <c r="I65" s="103"/>
      <c r="J65" s="103"/>
    </row>
    <row r="66" spans="4:10" ht="145" x14ac:dyDescent="0.35">
      <c r="D66" s="103" t="s">
        <v>150</v>
      </c>
      <c r="E66" s="103"/>
      <c r="F66" s="103"/>
      <c r="G66" s="103">
        <v>0</v>
      </c>
      <c r="H66" s="103"/>
      <c r="I66" s="103"/>
      <c r="J66" s="103"/>
    </row>
    <row r="67" spans="4:10" ht="145" x14ac:dyDescent="0.35">
      <c r="D67" s="103" t="s">
        <v>150</v>
      </c>
      <c r="E67" s="103"/>
      <c r="F67" s="103"/>
      <c r="G67" s="103">
        <v>0</v>
      </c>
      <c r="H67" s="103"/>
      <c r="I67" s="103"/>
      <c r="J67" s="103"/>
    </row>
    <row r="68" spans="4:10" ht="145" x14ac:dyDescent="0.35">
      <c r="D68" s="103" t="s">
        <v>150</v>
      </c>
      <c r="E68" s="103"/>
      <c r="F68" s="103"/>
      <c r="G68" s="103">
        <v>0</v>
      </c>
      <c r="H68" s="103"/>
      <c r="I68" s="103"/>
      <c r="J68" s="103"/>
    </row>
    <row r="69" spans="4:10" ht="145" x14ac:dyDescent="0.35">
      <c r="D69" s="103" t="s">
        <v>150</v>
      </c>
      <c r="E69" s="103"/>
      <c r="F69" s="103"/>
      <c r="G69" s="103">
        <v>0</v>
      </c>
      <c r="H69" s="103"/>
      <c r="I69" s="103"/>
      <c r="J69" s="103"/>
    </row>
    <row r="70" spans="4:10" ht="145" x14ac:dyDescent="0.35">
      <c r="D70" s="103" t="s">
        <v>150</v>
      </c>
      <c r="E70" s="103"/>
      <c r="F70" s="103"/>
      <c r="G70" s="103">
        <v>0</v>
      </c>
      <c r="H70" s="103"/>
      <c r="I70" s="103"/>
      <c r="J70" s="103"/>
    </row>
    <row r="71" spans="4:10" ht="145" x14ac:dyDescent="0.35">
      <c r="D71" s="103" t="s">
        <v>150</v>
      </c>
      <c r="E71" s="103"/>
      <c r="F71" s="103"/>
      <c r="G71" s="103">
        <v>0</v>
      </c>
      <c r="H71" s="103"/>
      <c r="I71" s="103"/>
      <c r="J71" s="103"/>
    </row>
    <row r="72" spans="4:10" ht="145" x14ac:dyDescent="0.35">
      <c r="D72" s="103" t="s">
        <v>150</v>
      </c>
      <c r="E72" s="103"/>
      <c r="F72" s="103"/>
      <c r="G72" s="103">
        <v>0</v>
      </c>
      <c r="H72" s="103"/>
      <c r="I72" s="103"/>
      <c r="J72" s="103"/>
    </row>
    <row r="73" spans="4:10" ht="145" x14ac:dyDescent="0.35">
      <c r="D73" s="103" t="s">
        <v>150</v>
      </c>
      <c r="E73" s="103"/>
      <c r="F73" s="103"/>
      <c r="G73" s="103">
        <v>0</v>
      </c>
      <c r="H73" s="103"/>
      <c r="I73" s="103"/>
      <c r="J73" s="103"/>
    </row>
    <row r="74" spans="4:10" ht="145" x14ac:dyDescent="0.35">
      <c r="D74" s="103" t="s">
        <v>150</v>
      </c>
      <c r="E74" s="103"/>
      <c r="F74" s="103"/>
      <c r="G74" s="103">
        <v>0</v>
      </c>
      <c r="H74" s="103"/>
      <c r="I74" s="103"/>
      <c r="J74" s="103"/>
    </row>
    <row r="75" spans="4:10" ht="145" x14ac:dyDescent="0.35">
      <c r="D75" s="103" t="s">
        <v>150</v>
      </c>
      <c r="E75" s="103"/>
      <c r="F75" s="103"/>
      <c r="G75" s="103">
        <v>0</v>
      </c>
      <c r="H75" s="103"/>
      <c r="I75" s="103"/>
      <c r="J75" s="103"/>
    </row>
    <row r="76" spans="4:10" ht="145" x14ac:dyDescent="0.35">
      <c r="D76" s="103" t="s">
        <v>150</v>
      </c>
      <c r="E76" s="103"/>
      <c r="F76" s="103"/>
      <c r="G76" s="103">
        <v>0</v>
      </c>
      <c r="H76" s="103"/>
      <c r="I76" s="103"/>
      <c r="J76" s="103"/>
    </row>
    <row r="77" spans="4:10" ht="145" x14ac:dyDescent="0.35">
      <c r="D77" s="103" t="s">
        <v>150</v>
      </c>
      <c r="E77" s="103"/>
      <c r="F77" s="103"/>
      <c r="G77" s="103">
        <v>0</v>
      </c>
      <c r="H77" s="103"/>
      <c r="I77" s="103"/>
      <c r="J77" s="10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4EA6-E0E7-4521-8DB7-18B6F451319E}">
  <dimension ref="A2:G30"/>
  <sheetViews>
    <sheetView workbookViewId="0"/>
  </sheetViews>
  <sheetFormatPr defaultRowHeight="14.5" x14ac:dyDescent="0.35"/>
  <sheetData>
    <row r="2" spans="1:7" ht="87" x14ac:dyDescent="0.35">
      <c r="A2" s="103" t="s">
        <v>148</v>
      </c>
      <c r="B2" s="103" t="s">
        <v>167</v>
      </c>
      <c r="C2" s="103" t="s">
        <v>215</v>
      </c>
      <c r="D2" s="103">
        <v>353</v>
      </c>
      <c r="E2" s="103" t="s">
        <v>25</v>
      </c>
      <c r="F2" s="103">
        <v>0</v>
      </c>
      <c r="G2" s="103">
        <v>2.1009000000000002</v>
      </c>
    </row>
    <row r="3" spans="1:7" ht="87" x14ac:dyDescent="0.35">
      <c r="A3" s="103" t="s">
        <v>148</v>
      </c>
      <c r="B3" s="103" t="s">
        <v>167</v>
      </c>
      <c r="C3" s="103" t="s">
        <v>216</v>
      </c>
      <c r="D3" s="103">
        <v>320</v>
      </c>
      <c r="E3" s="103" t="s">
        <v>25</v>
      </c>
      <c r="F3" s="103">
        <v>0</v>
      </c>
      <c r="G3" s="103">
        <v>3.4058999999999999</v>
      </c>
    </row>
    <row r="4" spans="1:7" ht="87" x14ac:dyDescent="0.35">
      <c r="A4" s="103" t="s">
        <v>148</v>
      </c>
      <c r="B4" s="103" t="s">
        <v>167</v>
      </c>
      <c r="C4" s="103" t="s">
        <v>217</v>
      </c>
      <c r="D4" s="103">
        <v>100</v>
      </c>
      <c r="E4" s="103" t="s">
        <v>25</v>
      </c>
      <c r="F4" s="103">
        <v>0</v>
      </c>
      <c r="G4" s="103">
        <v>1.8922000000000001</v>
      </c>
    </row>
    <row r="5" spans="1:7" ht="87" x14ac:dyDescent="0.35">
      <c r="A5" s="103" t="s">
        <v>148</v>
      </c>
      <c r="B5" s="103" t="s">
        <v>167</v>
      </c>
      <c r="C5" s="103" t="s">
        <v>218</v>
      </c>
      <c r="D5" s="103">
        <v>64</v>
      </c>
      <c r="E5" s="103" t="s">
        <v>25</v>
      </c>
      <c r="F5" s="103">
        <v>0</v>
      </c>
      <c r="G5" s="103">
        <v>1.8008</v>
      </c>
    </row>
    <row r="6" spans="1:7" ht="87" x14ac:dyDescent="0.35">
      <c r="A6" s="103" t="s">
        <v>148</v>
      </c>
      <c r="B6" s="103" t="s">
        <v>167</v>
      </c>
      <c r="C6" s="103" t="s">
        <v>258</v>
      </c>
      <c r="D6" s="103">
        <v>20</v>
      </c>
      <c r="E6" s="103" t="s">
        <v>25</v>
      </c>
      <c r="F6" s="103">
        <v>0</v>
      </c>
      <c r="G6" s="103">
        <v>1.0323</v>
      </c>
    </row>
    <row r="7" spans="1:7" ht="58" x14ac:dyDescent="0.35">
      <c r="A7" s="103" t="s">
        <v>149</v>
      </c>
      <c r="B7" s="103" t="s">
        <v>169</v>
      </c>
      <c r="C7" s="103" t="s">
        <v>254</v>
      </c>
      <c r="D7" s="103">
        <v>223</v>
      </c>
      <c r="E7" s="103" t="s">
        <v>171</v>
      </c>
      <c r="F7" s="103">
        <v>0</v>
      </c>
      <c r="G7" s="103">
        <v>0.84419999999999995</v>
      </c>
    </row>
    <row r="8" spans="1:7" ht="58" x14ac:dyDescent="0.35">
      <c r="A8" s="103" t="s">
        <v>149</v>
      </c>
      <c r="B8" s="103" t="s">
        <v>169</v>
      </c>
      <c r="C8" s="103" t="s">
        <v>254</v>
      </c>
      <c r="D8" s="103">
        <v>111</v>
      </c>
      <c r="E8" s="103" t="s">
        <v>171</v>
      </c>
      <c r="F8" s="103">
        <v>0</v>
      </c>
      <c r="G8" s="103">
        <v>0.42020000000000002</v>
      </c>
    </row>
    <row r="9" spans="1:7" ht="116" x14ac:dyDescent="0.35">
      <c r="A9" s="103" t="s">
        <v>151</v>
      </c>
      <c r="B9" s="103" t="s">
        <v>189</v>
      </c>
      <c r="C9" s="103" t="s">
        <v>194</v>
      </c>
      <c r="D9" s="103">
        <v>900</v>
      </c>
      <c r="E9" s="103" t="s">
        <v>187</v>
      </c>
      <c r="F9" s="103">
        <v>0</v>
      </c>
      <c r="G9" s="103">
        <v>0.36409999999999998</v>
      </c>
    </row>
    <row r="10" spans="1:7" ht="130.5" x14ac:dyDescent="0.35">
      <c r="A10" s="103" t="s">
        <v>148</v>
      </c>
      <c r="B10" s="103" t="s">
        <v>180</v>
      </c>
      <c r="C10" s="103" t="s">
        <v>219</v>
      </c>
      <c r="D10" s="103">
        <v>5</v>
      </c>
      <c r="E10" s="103" t="s">
        <v>175</v>
      </c>
      <c r="F10" s="103">
        <v>0</v>
      </c>
      <c r="G10" s="103">
        <v>3.1972999999999998</v>
      </c>
    </row>
    <row r="11" spans="1:7" ht="116" x14ac:dyDescent="0.35">
      <c r="A11" s="103" t="s">
        <v>148</v>
      </c>
      <c r="B11" s="103" t="s">
        <v>180</v>
      </c>
      <c r="C11" s="103" t="s">
        <v>220</v>
      </c>
      <c r="D11" s="103">
        <v>3</v>
      </c>
      <c r="E11" s="103" t="s">
        <v>175</v>
      </c>
      <c r="F11" s="103">
        <v>0</v>
      </c>
      <c r="G11" s="103">
        <v>3.0558000000000001</v>
      </c>
    </row>
    <row r="12" spans="1:7" ht="87" x14ac:dyDescent="0.35">
      <c r="A12" s="103" t="s">
        <v>148</v>
      </c>
      <c r="B12" s="103" t="s">
        <v>225</v>
      </c>
      <c r="C12" s="103" t="s">
        <v>226</v>
      </c>
      <c r="D12" s="103">
        <v>5</v>
      </c>
      <c r="E12" s="103" t="s">
        <v>175</v>
      </c>
      <c r="F12" s="103">
        <v>0</v>
      </c>
      <c r="G12" s="103">
        <v>0.43819999999999998</v>
      </c>
    </row>
    <row r="13" spans="1:7" ht="87" x14ac:dyDescent="0.35">
      <c r="A13" s="103" t="s">
        <v>148</v>
      </c>
      <c r="B13" s="103" t="s">
        <v>227</v>
      </c>
      <c r="C13" s="103" t="s">
        <v>228</v>
      </c>
      <c r="D13" s="103">
        <v>2</v>
      </c>
      <c r="E13" s="103" t="s">
        <v>175</v>
      </c>
      <c r="F13" s="103">
        <v>0</v>
      </c>
      <c r="G13" s="103">
        <v>1.1000000000000001E-3</v>
      </c>
    </row>
    <row r="14" spans="1:7" ht="145" x14ac:dyDescent="0.35">
      <c r="A14" s="103" t="s">
        <v>150</v>
      </c>
      <c r="B14" s="103" t="s">
        <v>231</v>
      </c>
      <c r="C14" s="103" t="s">
        <v>232</v>
      </c>
      <c r="D14" s="103">
        <v>5229</v>
      </c>
      <c r="E14" s="103" t="s">
        <v>187</v>
      </c>
      <c r="F14" s="103">
        <v>0</v>
      </c>
      <c r="G14" s="103">
        <v>12.5601</v>
      </c>
    </row>
    <row r="15" spans="1:7" ht="130.5" x14ac:dyDescent="0.35">
      <c r="A15" s="103" t="s">
        <v>151</v>
      </c>
      <c r="B15" s="103" t="s">
        <v>235</v>
      </c>
      <c r="C15" s="103" t="s">
        <v>236</v>
      </c>
      <c r="D15" s="103">
        <v>5229</v>
      </c>
      <c r="E15" s="103" t="s">
        <v>187</v>
      </c>
      <c r="F15" s="103">
        <v>3.4000000000000002E-2</v>
      </c>
      <c r="G15" s="103">
        <v>35.672199999999997</v>
      </c>
    </row>
    <row r="16" spans="1:7" ht="130.5" x14ac:dyDescent="0.35">
      <c r="A16" s="103" t="s">
        <v>151</v>
      </c>
      <c r="B16" s="103" t="s">
        <v>235</v>
      </c>
      <c r="C16" s="103" t="s">
        <v>236</v>
      </c>
      <c r="D16" s="103">
        <v>5229</v>
      </c>
      <c r="E16" s="103" t="s">
        <v>187</v>
      </c>
      <c r="F16" s="103">
        <v>3.4000000000000002E-2</v>
      </c>
      <c r="G16" s="103">
        <v>35.672199999999997</v>
      </c>
    </row>
    <row r="17" spans="1:7" ht="130.5" x14ac:dyDescent="0.35">
      <c r="A17" s="103" t="s">
        <v>151</v>
      </c>
      <c r="B17" s="103" t="s">
        <v>235</v>
      </c>
      <c r="C17" s="103" t="s">
        <v>259</v>
      </c>
      <c r="D17" s="103">
        <v>5229</v>
      </c>
      <c r="E17" s="103" t="s">
        <v>187</v>
      </c>
      <c r="F17" s="103">
        <v>3.4000000000000002E-2</v>
      </c>
      <c r="G17" s="103">
        <v>7.7232000000000003</v>
      </c>
    </row>
    <row r="18" spans="1:7" ht="116" x14ac:dyDescent="0.35">
      <c r="A18" s="103" t="s">
        <v>151</v>
      </c>
      <c r="B18" s="103" t="s">
        <v>238</v>
      </c>
      <c r="C18" s="103" t="s">
        <v>239</v>
      </c>
      <c r="D18" s="103">
        <v>10458</v>
      </c>
      <c r="E18" s="103" t="s">
        <v>187</v>
      </c>
      <c r="F18" s="103">
        <v>0.1</v>
      </c>
      <c r="G18" s="103">
        <v>3.1478999999999999</v>
      </c>
    </row>
    <row r="19" spans="1:7" ht="87" x14ac:dyDescent="0.35">
      <c r="A19" s="103" t="s">
        <v>154</v>
      </c>
      <c r="B19" s="103" t="s">
        <v>242</v>
      </c>
      <c r="C19" s="103" t="s">
        <v>244</v>
      </c>
      <c r="D19" s="103">
        <v>585</v>
      </c>
      <c r="E19" s="103" t="s">
        <v>25</v>
      </c>
      <c r="F19" s="103">
        <v>8.3299999999999999E-2</v>
      </c>
      <c r="G19" s="103">
        <v>0.46929999999999999</v>
      </c>
    </row>
    <row r="20" spans="1:7" ht="101.5" x14ac:dyDescent="0.35">
      <c r="A20" s="103" t="s">
        <v>155</v>
      </c>
      <c r="B20" s="103" t="s">
        <v>179</v>
      </c>
      <c r="C20" s="103" t="s">
        <v>253</v>
      </c>
      <c r="D20" s="103">
        <v>90</v>
      </c>
      <c r="E20" s="103" t="s">
        <v>25</v>
      </c>
      <c r="F20" s="103">
        <v>0</v>
      </c>
      <c r="G20" s="103">
        <v>0.54430000000000001</v>
      </c>
    </row>
    <row r="21" spans="1:7" ht="130.5" x14ac:dyDescent="0.35">
      <c r="A21" s="103" t="s">
        <v>157</v>
      </c>
      <c r="B21" s="103" t="s">
        <v>255</v>
      </c>
      <c r="C21" s="103" t="s">
        <v>256</v>
      </c>
      <c r="D21" s="103">
        <v>0.2</v>
      </c>
      <c r="E21" s="103" t="s">
        <v>178</v>
      </c>
      <c r="F21" s="103">
        <v>0</v>
      </c>
      <c r="G21" s="103">
        <v>1.5E-3</v>
      </c>
    </row>
    <row r="22" spans="1:7" ht="72.5" x14ac:dyDescent="0.35">
      <c r="A22" s="103" t="s">
        <v>157</v>
      </c>
      <c r="B22" s="103" t="s">
        <v>172</v>
      </c>
      <c r="C22" s="103" t="s">
        <v>173</v>
      </c>
      <c r="D22" s="103">
        <v>5</v>
      </c>
      <c r="E22" s="103" t="s">
        <v>171</v>
      </c>
      <c r="F22" s="103">
        <v>0</v>
      </c>
      <c r="G22" s="103">
        <v>1.2777000000000001</v>
      </c>
    </row>
    <row r="23" spans="1:7" ht="87" x14ac:dyDescent="0.35">
      <c r="A23" s="103" t="s">
        <v>148</v>
      </c>
      <c r="B23" s="103" t="s">
        <v>180</v>
      </c>
      <c r="C23" s="103" t="s">
        <v>188</v>
      </c>
      <c r="D23" s="103">
        <v>2</v>
      </c>
      <c r="E23" s="103" t="s">
        <v>175</v>
      </c>
      <c r="F23" s="103">
        <v>0</v>
      </c>
      <c r="G23" s="103">
        <v>5.0179999999999998</v>
      </c>
    </row>
    <row r="24" spans="1:7" ht="116" x14ac:dyDescent="0.35">
      <c r="A24" s="103" t="s">
        <v>159</v>
      </c>
      <c r="B24" s="103" t="s">
        <v>260</v>
      </c>
      <c r="C24" s="103" t="s">
        <v>261</v>
      </c>
      <c r="D24" s="103">
        <v>81</v>
      </c>
      <c r="E24" s="103" t="s">
        <v>187</v>
      </c>
      <c r="F24" s="103">
        <v>0</v>
      </c>
      <c r="G24" s="103">
        <v>3.1150000000000002</v>
      </c>
    </row>
    <row r="25" spans="1:7" ht="145" x14ac:dyDescent="0.35">
      <c r="A25" s="103" t="s">
        <v>150</v>
      </c>
      <c r="B25" s="103"/>
      <c r="C25" s="103"/>
      <c r="D25" s="103">
        <v>0</v>
      </c>
      <c r="E25" s="103"/>
      <c r="F25" s="103"/>
      <c r="G25" s="103"/>
    </row>
    <row r="26" spans="1:7" ht="145" x14ac:dyDescent="0.35">
      <c r="A26" s="103" t="s">
        <v>150</v>
      </c>
      <c r="B26" s="103"/>
      <c r="C26" s="103"/>
      <c r="D26" s="103">
        <v>0</v>
      </c>
      <c r="E26" s="103"/>
      <c r="F26" s="103"/>
      <c r="G26" s="103"/>
    </row>
    <row r="27" spans="1:7" ht="145" x14ac:dyDescent="0.35">
      <c r="A27" s="103" t="s">
        <v>150</v>
      </c>
      <c r="B27" s="103"/>
      <c r="C27" s="103"/>
      <c r="D27" s="103">
        <v>0</v>
      </c>
      <c r="E27" s="103"/>
      <c r="F27" s="103"/>
      <c r="G27" s="103"/>
    </row>
    <row r="28" spans="1:7" ht="145" x14ac:dyDescent="0.35">
      <c r="A28" s="103" t="s">
        <v>150</v>
      </c>
      <c r="B28" s="103"/>
      <c r="C28" s="103"/>
      <c r="D28" s="103">
        <v>0</v>
      </c>
      <c r="E28" s="103"/>
      <c r="F28" s="103"/>
      <c r="G28" s="103"/>
    </row>
    <row r="29" spans="1:7" ht="145" x14ac:dyDescent="0.35">
      <c r="A29" s="103" t="s">
        <v>150</v>
      </c>
      <c r="B29" s="103"/>
      <c r="C29" s="103"/>
      <c r="D29" s="103">
        <v>0</v>
      </c>
      <c r="E29" s="103"/>
      <c r="F29" s="103"/>
      <c r="G29" s="103"/>
    </row>
    <row r="30" spans="1:7" ht="145" x14ac:dyDescent="0.35">
      <c r="A30" s="103" t="s">
        <v>150</v>
      </c>
      <c r="B30" s="103"/>
      <c r="C30" s="103"/>
      <c r="D30" s="103">
        <v>0</v>
      </c>
      <c r="E30" s="103"/>
      <c r="F30" s="103"/>
      <c r="G30" s="10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BAB8-3163-4FB8-AB8A-9C8154DFBB03}">
  <dimension ref="A3:G27"/>
  <sheetViews>
    <sheetView workbookViewId="0"/>
  </sheetViews>
  <sheetFormatPr defaultRowHeight="14.5" x14ac:dyDescent="0.35"/>
  <sheetData>
    <row r="3" spans="1:7" ht="87" x14ac:dyDescent="0.35">
      <c r="A3" s="103" t="s">
        <v>148</v>
      </c>
      <c r="B3" s="103" t="s">
        <v>167</v>
      </c>
      <c r="C3" s="103" t="s">
        <v>215</v>
      </c>
      <c r="D3" s="103">
        <v>431</v>
      </c>
      <c r="E3" s="103" t="s">
        <v>25</v>
      </c>
      <c r="F3" s="103">
        <v>0</v>
      </c>
      <c r="G3" s="103">
        <v>2.5651000000000002</v>
      </c>
    </row>
    <row r="4" spans="1:7" ht="87" x14ac:dyDescent="0.35">
      <c r="A4" s="103" t="s">
        <v>148</v>
      </c>
      <c r="B4" s="103" t="s">
        <v>167</v>
      </c>
      <c r="C4" s="103" t="s">
        <v>216</v>
      </c>
      <c r="D4" s="103">
        <v>391</v>
      </c>
      <c r="E4" s="103" t="s">
        <v>25</v>
      </c>
      <c r="F4" s="103">
        <v>0</v>
      </c>
      <c r="G4" s="103">
        <v>4.1616</v>
      </c>
    </row>
    <row r="5" spans="1:7" ht="87" x14ac:dyDescent="0.35">
      <c r="A5" s="103" t="s">
        <v>148</v>
      </c>
      <c r="B5" s="103" t="s">
        <v>167</v>
      </c>
      <c r="C5" s="103" t="s">
        <v>217</v>
      </c>
      <c r="D5" s="103">
        <v>123</v>
      </c>
      <c r="E5" s="103" t="s">
        <v>25</v>
      </c>
      <c r="F5" s="103">
        <v>0</v>
      </c>
      <c r="G5" s="103">
        <v>2.3273999999999999</v>
      </c>
    </row>
    <row r="6" spans="1:7" ht="87" x14ac:dyDescent="0.35">
      <c r="A6" s="103" t="s">
        <v>148</v>
      </c>
      <c r="B6" s="103" t="s">
        <v>167</v>
      </c>
      <c r="C6" s="103" t="s">
        <v>218</v>
      </c>
      <c r="D6" s="103">
        <v>78</v>
      </c>
      <c r="E6" s="103" t="s">
        <v>25</v>
      </c>
      <c r="F6" s="103">
        <v>0</v>
      </c>
      <c r="G6" s="103">
        <v>2.1947000000000001</v>
      </c>
    </row>
    <row r="7" spans="1:7" ht="87" x14ac:dyDescent="0.35">
      <c r="A7" s="103" t="s">
        <v>148</v>
      </c>
      <c r="B7" s="103" t="s">
        <v>167</v>
      </c>
      <c r="C7" s="103" t="s">
        <v>258</v>
      </c>
      <c r="D7" s="103">
        <v>25</v>
      </c>
      <c r="E7" s="103" t="s">
        <v>25</v>
      </c>
      <c r="F7" s="103">
        <v>0</v>
      </c>
      <c r="G7" s="103">
        <v>1.2903</v>
      </c>
    </row>
    <row r="8" spans="1:7" ht="58" x14ac:dyDescent="0.35">
      <c r="A8" s="103" t="s">
        <v>149</v>
      </c>
      <c r="B8" s="103" t="s">
        <v>169</v>
      </c>
      <c r="C8" s="103" t="s">
        <v>254</v>
      </c>
      <c r="D8" s="103">
        <v>272</v>
      </c>
      <c r="E8" s="103" t="s">
        <v>171</v>
      </c>
      <c r="F8" s="103">
        <v>0</v>
      </c>
      <c r="G8" s="103">
        <v>1.0297000000000001</v>
      </c>
    </row>
    <row r="9" spans="1:7" ht="58" x14ac:dyDescent="0.35">
      <c r="A9" s="103" t="s">
        <v>149</v>
      </c>
      <c r="B9" s="103" t="s">
        <v>169</v>
      </c>
      <c r="C9" s="103" t="s">
        <v>254</v>
      </c>
      <c r="D9" s="103">
        <v>136</v>
      </c>
      <c r="E9" s="103" t="s">
        <v>171</v>
      </c>
      <c r="F9" s="103">
        <v>0</v>
      </c>
      <c r="G9" s="103">
        <v>0.51480000000000004</v>
      </c>
    </row>
    <row r="10" spans="1:7" ht="116" x14ac:dyDescent="0.35">
      <c r="A10" s="103" t="s">
        <v>151</v>
      </c>
      <c r="B10" s="103" t="s">
        <v>189</v>
      </c>
      <c r="C10" s="103" t="s">
        <v>194</v>
      </c>
      <c r="D10" s="103">
        <v>1100</v>
      </c>
      <c r="E10" s="103" t="s">
        <v>187</v>
      </c>
      <c r="F10" s="103">
        <v>0</v>
      </c>
      <c r="G10" s="103">
        <v>0.44500000000000001</v>
      </c>
    </row>
    <row r="11" spans="1:7" ht="130.5" x14ac:dyDescent="0.35">
      <c r="A11" s="103" t="s">
        <v>148</v>
      </c>
      <c r="B11" s="103" t="s">
        <v>180</v>
      </c>
      <c r="C11" s="103" t="s">
        <v>219</v>
      </c>
      <c r="D11" s="103">
        <v>7</v>
      </c>
      <c r="E11" s="103" t="s">
        <v>175</v>
      </c>
      <c r="F11" s="103">
        <v>0</v>
      </c>
      <c r="G11" s="103">
        <v>4.4762000000000004</v>
      </c>
    </row>
    <row r="12" spans="1:7" ht="116" x14ac:dyDescent="0.35">
      <c r="A12" s="103" t="s">
        <v>148</v>
      </c>
      <c r="B12" s="103" t="s">
        <v>180</v>
      </c>
      <c r="C12" s="103" t="s">
        <v>220</v>
      </c>
      <c r="D12" s="103">
        <v>4</v>
      </c>
      <c r="E12" s="103" t="s">
        <v>175</v>
      </c>
      <c r="F12" s="103">
        <v>0</v>
      </c>
      <c r="G12" s="103">
        <v>4.0743999999999998</v>
      </c>
    </row>
    <row r="13" spans="1:7" ht="87" x14ac:dyDescent="0.35">
      <c r="A13" s="103" t="s">
        <v>148</v>
      </c>
      <c r="B13" s="103" t="s">
        <v>225</v>
      </c>
      <c r="C13" s="103" t="s">
        <v>226</v>
      </c>
      <c r="D13" s="103">
        <v>6</v>
      </c>
      <c r="E13" s="103" t="s">
        <v>175</v>
      </c>
      <c r="F13" s="103">
        <v>0</v>
      </c>
      <c r="G13" s="103">
        <v>0.52580000000000005</v>
      </c>
    </row>
    <row r="14" spans="1:7" ht="87" x14ac:dyDescent="0.35">
      <c r="A14" s="103" t="s">
        <v>148</v>
      </c>
      <c r="B14" s="103" t="s">
        <v>227</v>
      </c>
      <c r="C14" s="103" t="s">
        <v>228</v>
      </c>
      <c r="D14" s="103">
        <v>3</v>
      </c>
      <c r="E14" s="103" t="s">
        <v>175</v>
      </c>
      <c r="F14" s="103">
        <v>0</v>
      </c>
      <c r="G14" s="103">
        <v>1.6000000000000001E-3</v>
      </c>
    </row>
    <row r="15" spans="1:7" ht="145" x14ac:dyDescent="0.35">
      <c r="A15" s="103" t="s">
        <v>150</v>
      </c>
      <c r="B15" s="103" t="s">
        <v>231</v>
      </c>
      <c r="C15" s="103" t="s">
        <v>232</v>
      </c>
      <c r="D15" s="103">
        <v>6391</v>
      </c>
      <c r="E15" s="103" t="s">
        <v>187</v>
      </c>
      <c r="F15" s="103">
        <v>0</v>
      </c>
      <c r="G15" s="103">
        <v>15.3512</v>
      </c>
    </row>
    <row r="16" spans="1:7" ht="130.5" x14ac:dyDescent="0.35">
      <c r="A16" s="103" t="s">
        <v>151</v>
      </c>
      <c r="B16" s="103" t="s">
        <v>235</v>
      </c>
      <c r="C16" s="103" t="s">
        <v>236</v>
      </c>
      <c r="D16" s="103">
        <v>6391</v>
      </c>
      <c r="E16" s="103" t="s">
        <v>187</v>
      </c>
      <c r="F16" s="103">
        <v>3.4000000000000002E-2</v>
      </c>
      <c r="G16" s="103">
        <v>43.599400000000003</v>
      </c>
    </row>
    <row r="17" spans="1:7" ht="130.5" x14ac:dyDescent="0.35">
      <c r="A17" s="103" t="s">
        <v>151</v>
      </c>
      <c r="B17" s="103" t="s">
        <v>235</v>
      </c>
      <c r="C17" s="103" t="s">
        <v>236</v>
      </c>
      <c r="D17" s="103">
        <v>6391</v>
      </c>
      <c r="E17" s="103" t="s">
        <v>187</v>
      </c>
      <c r="F17" s="103">
        <v>3.4000000000000002E-2</v>
      </c>
      <c r="G17" s="103">
        <v>43.599400000000003</v>
      </c>
    </row>
    <row r="18" spans="1:7" ht="130.5" x14ac:dyDescent="0.35">
      <c r="A18" s="103" t="s">
        <v>151</v>
      </c>
      <c r="B18" s="103" t="s">
        <v>235</v>
      </c>
      <c r="C18" s="103" t="s">
        <v>259</v>
      </c>
      <c r="D18" s="103">
        <v>6391</v>
      </c>
      <c r="E18" s="103" t="s">
        <v>187</v>
      </c>
      <c r="F18" s="103">
        <v>3.4000000000000002E-2</v>
      </c>
      <c r="G18" s="103">
        <v>9.4395000000000007</v>
      </c>
    </row>
    <row r="19" spans="1:7" ht="116" x14ac:dyDescent="0.35">
      <c r="A19" s="103" t="s">
        <v>151</v>
      </c>
      <c r="B19" s="103" t="s">
        <v>238</v>
      </c>
      <c r="C19" s="103" t="s">
        <v>239</v>
      </c>
      <c r="D19" s="103">
        <v>12782</v>
      </c>
      <c r="E19" s="103" t="s">
        <v>187</v>
      </c>
      <c r="F19" s="103">
        <v>0.1</v>
      </c>
      <c r="G19" s="103">
        <v>3.8473999999999999</v>
      </c>
    </row>
    <row r="20" spans="1:7" ht="87" x14ac:dyDescent="0.35">
      <c r="A20" s="103" t="s">
        <v>154</v>
      </c>
      <c r="B20" s="103" t="s">
        <v>242</v>
      </c>
      <c r="C20" s="103" t="s">
        <v>244</v>
      </c>
      <c r="D20" s="103">
        <v>715</v>
      </c>
      <c r="E20" s="103" t="s">
        <v>25</v>
      </c>
      <c r="F20" s="103">
        <v>8.3299999999999999E-2</v>
      </c>
      <c r="G20" s="103">
        <v>0.57350000000000001</v>
      </c>
    </row>
    <row r="21" spans="1:7" ht="101.5" x14ac:dyDescent="0.35">
      <c r="A21" s="103" t="s">
        <v>155</v>
      </c>
      <c r="B21" s="103" t="s">
        <v>179</v>
      </c>
      <c r="C21" s="103" t="s">
        <v>253</v>
      </c>
      <c r="D21" s="103">
        <v>110</v>
      </c>
      <c r="E21" s="103" t="s">
        <v>25</v>
      </c>
      <c r="F21" s="103">
        <v>0</v>
      </c>
      <c r="G21" s="103">
        <v>0.6653</v>
      </c>
    </row>
    <row r="22" spans="1:7" ht="130.5" x14ac:dyDescent="0.35">
      <c r="A22" s="103" t="s">
        <v>157</v>
      </c>
      <c r="B22" s="103" t="s">
        <v>255</v>
      </c>
      <c r="C22" s="103" t="s">
        <v>256</v>
      </c>
      <c r="D22" s="103">
        <v>0.2</v>
      </c>
      <c r="E22" s="103" t="s">
        <v>178</v>
      </c>
      <c r="F22" s="103">
        <v>0</v>
      </c>
      <c r="G22" s="103">
        <v>1.5E-3</v>
      </c>
    </row>
    <row r="23" spans="1:7" ht="72.5" x14ac:dyDescent="0.35">
      <c r="A23" s="103" t="s">
        <v>157</v>
      </c>
      <c r="B23" s="103" t="s">
        <v>172</v>
      </c>
      <c r="C23" s="103" t="s">
        <v>173</v>
      </c>
      <c r="D23" s="103">
        <v>6</v>
      </c>
      <c r="E23" s="103" t="s">
        <v>171</v>
      </c>
      <c r="F23" s="103">
        <v>0</v>
      </c>
      <c r="G23" s="103">
        <v>1.5331999999999999</v>
      </c>
    </row>
    <row r="24" spans="1:7" ht="87" x14ac:dyDescent="0.35">
      <c r="A24" s="103" t="s">
        <v>148</v>
      </c>
      <c r="B24" s="103" t="s">
        <v>180</v>
      </c>
      <c r="C24" s="103" t="s">
        <v>188</v>
      </c>
      <c r="D24" s="103">
        <v>2</v>
      </c>
      <c r="E24" s="103" t="s">
        <v>175</v>
      </c>
      <c r="F24" s="103">
        <v>0</v>
      </c>
      <c r="G24" s="103">
        <v>5.0179999999999998</v>
      </c>
    </row>
    <row r="25" spans="1:7" ht="116" x14ac:dyDescent="0.35">
      <c r="A25" s="103" t="s">
        <v>159</v>
      </c>
      <c r="B25" s="103" t="s">
        <v>260</v>
      </c>
      <c r="C25" s="103" t="s">
        <v>261</v>
      </c>
      <c r="D25" s="103">
        <v>99</v>
      </c>
      <c r="E25" s="103" t="s">
        <v>187</v>
      </c>
      <c r="F25" s="103">
        <v>0</v>
      </c>
      <c r="G25" s="103">
        <v>3.8071999999999999</v>
      </c>
    </row>
    <row r="26" spans="1:7" ht="145" x14ac:dyDescent="0.35">
      <c r="A26" s="103" t="s">
        <v>150</v>
      </c>
      <c r="B26" s="103"/>
      <c r="C26" s="103"/>
      <c r="D26" s="103">
        <v>0</v>
      </c>
      <c r="E26" s="103"/>
      <c r="F26" s="103"/>
      <c r="G26" s="103"/>
    </row>
    <row r="27" spans="1:7" ht="145" x14ac:dyDescent="0.35">
      <c r="A27" s="103" t="s">
        <v>150</v>
      </c>
      <c r="B27" s="103"/>
      <c r="C27" s="103"/>
      <c r="D27" s="103">
        <v>0</v>
      </c>
      <c r="E27" s="103"/>
      <c r="F27" s="103"/>
      <c r="G27" s="10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2891-DD1C-44FB-8FA8-C7637380C68D}">
  <dimension ref="A3:H27"/>
  <sheetViews>
    <sheetView workbookViewId="0"/>
  </sheetViews>
  <sheetFormatPr defaultRowHeight="14.5" x14ac:dyDescent="0.35"/>
  <sheetData>
    <row r="3" spans="1:8" ht="87" x14ac:dyDescent="0.35">
      <c r="A3" s="103" t="s">
        <v>148</v>
      </c>
      <c r="B3" s="103" t="s">
        <v>167</v>
      </c>
      <c r="C3" s="103" t="s">
        <v>215</v>
      </c>
      <c r="D3" s="103">
        <v>510</v>
      </c>
      <c r="E3" s="103" t="s">
        <v>25</v>
      </c>
      <c r="F3" s="103">
        <v>0</v>
      </c>
      <c r="G3" s="103">
        <v>3.0352000000000001</v>
      </c>
      <c r="H3" s="103">
        <v>0</v>
      </c>
    </row>
    <row r="4" spans="1:8" ht="87" x14ac:dyDescent="0.35">
      <c r="A4" s="103" t="s">
        <v>148</v>
      </c>
      <c r="B4" s="103" t="s">
        <v>167</v>
      </c>
      <c r="C4" s="103" t="s">
        <v>216</v>
      </c>
      <c r="D4" s="103">
        <v>462</v>
      </c>
      <c r="E4" s="103" t="s">
        <v>25</v>
      </c>
      <c r="F4" s="103">
        <v>0</v>
      </c>
      <c r="G4" s="103">
        <v>4.9173</v>
      </c>
      <c r="H4" s="103">
        <v>0</v>
      </c>
    </row>
    <row r="5" spans="1:8" ht="87" x14ac:dyDescent="0.35">
      <c r="A5" s="103" t="s">
        <v>148</v>
      </c>
      <c r="B5" s="103" t="s">
        <v>167</v>
      </c>
      <c r="C5" s="103" t="s">
        <v>217</v>
      </c>
      <c r="D5" s="103">
        <v>145</v>
      </c>
      <c r="E5" s="103" t="s">
        <v>25</v>
      </c>
      <c r="F5" s="103">
        <v>0</v>
      </c>
      <c r="G5" s="103">
        <v>2.7437</v>
      </c>
      <c r="H5" s="103">
        <v>0</v>
      </c>
    </row>
    <row r="6" spans="1:8" ht="87" x14ac:dyDescent="0.35">
      <c r="A6" s="103" t="s">
        <v>148</v>
      </c>
      <c r="B6" s="103" t="s">
        <v>167</v>
      </c>
      <c r="C6" s="103" t="s">
        <v>218</v>
      </c>
      <c r="D6" s="103">
        <v>92</v>
      </c>
      <c r="E6" s="103" t="s">
        <v>25</v>
      </c>
      <c r="F6" s="103">
        <v>0</v>
      </c>
      <c r="G6" s="103">
        <v>2.5886</v>
      </c>
      <c r="H6" s="103">
        <v>0</v>
      </c>
    </row>
    <row r="7" spans="1:8" ht="87" x14ac:dyDescent="0.35">
      <c r="A7" s="103" t="s">
        <v>148</v>
      </c>
      <c r="B7" s="103" t="s">
        <v>167</v>
      </c>
      <c r="C7" s="103" t="s">
        <v>258</v>
      </c>
      <c r="D7" s="103">
        <v>29</v>
      </c>
      <c r="E7" s="103" t="s">
        <v>25</v>
      </c>
      <c r="F7" s="103">
        <v>0</v>
      </c>
      <c r="G7" s="103">
        <v>1.4967999999999999</v>
      </c>
      <c r="H7" s="103">
        <v>0</v>
      </c>
    </row>
    <row r="8" spans="1:8" ht="58" x14ac:dyDescent="0.35">
      <c r="A8" s="103" t="s">
        <v>149</v>
      </c>
      <c r="B8" s="103" t="s">
        <v>169</v>
      </c>
      <c r="C8" s="103" t="s">
        <v>254</v>
      </c>
      <c r="D8" s="103">
        <v>321</v>
      </c>
      <c r="E8" s="103" t="s">
        <v>171</v>
      </c>
      <c r="F8" s="103">
        <v>0</v>
      </c>
      <c r="G8" s="103">
        <v>1.2151000000000001</v>
      </c>
      <c r="H8" s="103">
        <v>0</v>
      </c>
    </row>
    <row r="9" spans="1:8" ht="58" x14ac:dyDescent="0.35">
      <c r="A9" s="103" t="s">
        <v>149</v>
      </c>
      <c r="B9" s="103" t="s">
        <v>169</v>
      </c>
      <c r="C9" s="103" t="s">
        <v>254</v>
      </c>
      <c r="D9" s="103">
        <v>161</v>
      </c>
      <c r="E9" s="103" t="s">
        <v>171</v>
      </c>
      <c r="F9" s="103">
        <v>0</v>
      </c>
      <c r="G9" s="103">
        <v>0.60950000000000004</v>
      </c>
      <c r="H9" s="103">
        <v>0</v>
      </c>
    </row>
    <row r="10" spans="1:8" ht="116" x14ac:dyDescent="0.35">
      <c r="A10" s="103" t="s">
        <v>151</v>
      </c>
      <c r="B10" s="103" t="s">
        <v>189</v>
      </c>
      <c r="C10" s="103" t="s">
        <v>194</v>
      </c>
      <c r="D10" s="103">
        <v>1300</v>
      </c>
      <c r="E10" s="103" t="s">
        <v>187</v>
      </c>
      <c r="F10" s="103">
        <v>0</v>
      </c>
      <c r="G10" s="103">
        <v>0.52580000000000005</v>
      </c>
      <c r="H10" s="103">
        <v>0</v>
      </c>
    </row>
    <row r="11" spans="1:8" ht="130.5" x14ac:dyDescent="0.35">
      <c r="A11" s="103" t="s">
        <v>148</v>
      </c>
      <c r="B11" s="103" t="s">
        <v>180</v>
      </c>
      <c r="C11" s="103" t="s">
        <v>219</v>
      </c>
      <c r="D11" s="103">
        <v>8</v>
      </c>
      <c r="E11" s="103" t="s">
        <v>175</v>
      </c>
      <c r="F11" s="103">
        <v>0</v>
      </c>
      <c r="G11" s="103">
        <v>5.1157000000000004</v>
      </c>
      <c r="H11" s="103">
        <v>0</v>
      </c>
    </row>
    <row r="12" spans="1:8" ht="116" x14ac:dyDescent="0.35">
      <c r="A12" s="103" t="s">
        <v>148</v>
      </c>
      <c r="B12" s="103" t="s">
        <v>180</v>
      </c>
      <c r="C12" s="103" t="s">
        <v>220</v>
      </c>
      <c r="D12" s="103">
        <v>5</v>
      </c>
      <c r="E12" s="103" t="s">
        <v>175</v>
      </c>
      <c r="F12" s="103">
        <v>0</v>
      </c>
      <c r="G12" s="103">
        <v>5.093</v>
      </c>
      <c r="H12" s="103">
        <v>0</v>
      </c>
    </row>
    <row r="13" spans="1:8" ht="87" x14ac:dyDescent="0.35">
      <c r="A13" s="103" t="s">
        <v>148</v>
      </c>
      <c r="B13" s="103" t="s">
        <v>225</v>
      </c>
      <c r="C13" s="103" t="s">
        <v>226</v>
      </c>
      <c r="D13" s="103">
        <v>8</v>
      </c>
      <c r="E13" s="103" t="s">
        <v>175</v>
      </c>
      <c r="F13" s="103">
        <v>0</v>
      </c>
      <c r="G13" s="103">
        <v>0.70109999999999995</v>
      </c>
      <c r="H13" s="103">
        <v>0</v>
      </c>
    </row>
    <row r="14" spans="1:8" ht="87" x14ac:dyDescent="0.35">
      <c r="A14" s="103" t="s">
        <v>148</v>
      </c>
      <c r="B14" s="103" t="s">
        <v>227</v>
      </c>
      <c r="C14" s="103" t="s">
        <v>228</v>
      </c>
      <c r="D14" s="103">
        <v>3</v>
      </c>
      <c r="E14" s="103" t="s">
        <v>175</v>
      </c>
      <c r="F14" s="103">
        <v>0</v>
      </c>
      <c r="G14" s="103">
        <v>1.6000000000000001E-3</v>
      </c>
      <c r="H14" s="103">
        <v>0</v>
      </c>
    </row>
    <row r="15" spans="1:8" ht="145" x14ac:dyDescent="0.35">
      <c r="A15" s="103" t="s">
        <v>150</v>
      </c>
      <c r="B15" s="103" t="s">
        <v>231</v>
      </c>
      <c r="C15" s="103" t="s">
        <v>232</v>
      </c>
      <c r="D15" s="103">
        <v>7553</v>
      </c>
      <c r="E15" s="103" t="s">
        <v>187</v>
      </c>
      <c r="F15" s="103">
        <v>0</v>
      </c>
      <c r="G15" s="103">
        <v>18.142299999999999</v>
      </c>
      <c r="H15" s="103">
        <v>0</v>
      </c>
    </row>
    <row r="16" spans="1:8" ht="130.5" x14ac:dyDescent="0.35">
      <c r="A16" s="103" t="s">
        <v>151</v>
      </c>
      <c r="B16" s="103" t="s">
        <v>235</v>
      </c>
      <c r="C16" s="103" t="s">
        <v>236</v>
      </c>
      <c r="D16" s="103">
        <v>7553</v>
      </c>
      <c r="E16" s="103" t="s">
        <v>187</v>
      </c>
      <c r="F16" s="103">
        <v>3.4000000000000002E-2</v>
      </c>
      <c r="G16" s="103">
        <v>51.526600000000002</v>
      </c>
      <c r="H16" s="103">
        <v>1.7519</v>
      </c>
    </row>
    <row r="17" spans="1:8" ht="130.5" x14ac:dyDescent="0.35">
      <c r="A17" s="103" t="s">
        <v>151</v>
      </c>
      <c r="B17" s="103" t="s">
        <v>235</v>
      </c>
      <c r="C17" s="103" t="s">
        <v>236</v>
      </c>
      <c r="D17" s="103">
        <v>7553</v>
      </c>
      <c r="E17" s="103" t="s">
        <v>187</v>
      </c>
      <c r="F17" s="103">
        <v>3.4000000000000002E-2</v>
      </c>
      <c r="G17" s="103">
        <v>51.526600000000002</v>
      </c>
      <c r="H17" s="103">
        <v>1.7519</v>
      </c>
    </row>
    <row r="18" spans="1:8" ht="130.5" x14ac:dyDescent="0.35">
      <c r="A18" s="103" t="s">
        <v>151</v>
      </c>
      <c r="B18" s="103" t="s">
        <v>235</v>
      </c>
      <c r="C18" s="103" t="s">
        <v>259</v>
      </c>
      <c r="D18" s="103">
        <v>7553</v>
      </c>
      <c r="E18" s="103" t="s">
        <v>187</v>
      </c>
      <c r="F18" s="103">
        <v>3.4000000000000002E-2</v>
      </c>
      <c r="G18" s="103">
        <v>11.155799999999999</v>
      </c>
      <c r="H18" s="103">
        <v>0.37930000000000003</v>
      </c>
    </row>
    <row r="19" spans="1:8" ht="116" x14ac:dyDescent="0.35">
      <c r="A19" s="103" t="s">
        <v>151</v>
      </c>
      <c r="B19" s="103" t="s">
        <v>238</v>
      </c>
      <c r="C19" s="103" t="s">
        <v>239</v>
      </c>
      <c r="D19" s="103">
        <v>15105</v>
      </c>
      <c r="E19" s="103" t="s">
        <v>187</v>
      </c>
      <c r="F19" s="103">
        <v>0.1</v>
      </c>
      <c r="G19" s="103">
        <v>4.5465999999999998</v>
      </c>
      <c r="H19" s="103">
        <v>0.45469999999999999</v>
      </c>
    </row>
    <row r="20" spans="1:8" ht="87" x14ac:dyDescent="0.35">
      <c r="A20" s="103" t="s">
        <v>154</v>
      </c>
      <c r="B20" s="103" t="s">
        <v>242</v>
      </c>
      <c r="C20" s="103" t="s">
        <v>244</v>
      </c>
      <c r="D20" s="103">
        <v>845</v>
      </c>
      <c r="E20" s="103" t="s">
        <v>25</v>
      </c>
      <c r="F20" s="103">
        <v>8.3299999999999999E-2</v>
      </c>
      <c r="G20" s="103">
        <v>0.67779999999999996</v>
      </c>
      <c r="H20" s="103">
        <v>5.6500000000000002E-2</v>
      </c>
    </row>
    <row r="21" spans="1:8" ht="101.5" x14ac:dyDescent="0.35">
      <c r="A21" s="103" t="s">
        <v>155</v>
      </c>
      <c r="B21" s="103" t="s">
        <v>179</v>
      </c>
      <c r="C21" s="103" t="s">
        <v>253</v>
      </c>
      <c r="D21" s="103">
        <v>130</v>
      </c>
      <c r="E21" s="103" t="s">
        <v>25</v>
      </c>
      <c r="F21" s="103">
        <v>0</v>
      </c>
      <c r="G21" s="103">
        <v>0.78620000000000001</v>
      </c>
      <c r="H21" s="103">
        <v>0</v>
      </c>
    </row>
    <row r="22" spans="1:8" ht="130.5" x14ac:dyDescent="0.35">
      <c r="A22" s="103" t="s">
        <v>157</v>
      </c>
      <c r="B22" s="103" t="s">
        <v>255</v>
      </c>
      <c r="C22" s="103" t="s">
        <v>256</v>
      </c>
      <c r="D22" s="103">
        <v>0.2</v>
      </c>
      <c r="E22" s="103" t="s">
        <v>178</v>
      </c>
      <c r="F22" s="103">
        <v>0</v>
      </c>
      <c r="G22" s="103">
        <v>1.5E-3</v>
      </c>
      <c r="H22" s="103">
        <v>0</v>
      </c>
    </row>
    <row r="23" spans="1:8" ht="72.5" x14ac:dyDescent="0.35">
      <c r="A23" s="103" t="s">
        <v>157</v>
      </c>
      <c r="B23" s="103" t="s">
        <v>172</v>
      </c>
      <c r="C23" s="103" t="s">
        <v>173</v>
      </c>
      <c r="D23" s="103">
        <v>7</v>
      </c>
      <c r="E23" s="103" t="s">
        <v>171</v>
      </c>
      <c r="F23" s="103">
        <v>0</v>
      </c>
      <c r="G23" s="103">
        <v>1.7887</v>
      </c>
      <c r="H23" s="103">
        <v>0</v>
      </c>
    </row>
    <row r="24" spans="1:8" ht="87" x14ac:dyDescent="0.35">
      <c r="A24" s="103" t="s">
        <v>148</v>
      </c>
      <c r="B24" s="103" t="s">
        <v>180</v>
      </c>
      <c r="C24" s="103" t="s">
        <v>188</v>
      </c>
      <c r="D24" s="103">
        <v>3</v>
      </c>
      <c r="E24" s="103" t="s">
        <v>175</v>
      </c>
      <c r="F24" s="103">
        <v>0</v>
      </c>
      <c r="G24" s="103">
        <v>7.5270000000000001</v>
      </c>
      <c r="H24" s="103">
        <v>0</v>
      </c>
    </row>
    <row r="25" spans="1:8" ht="116" x14ac:dyDescent="0.35">
      <c r="A25" s="103" t="s">
        <v>159</v>
      </c>
      <c r="B25" s="103" t="s">
        <v>260</v>
      </c>
      <c r="C25" s="103" t="s">
        <v>261</v>
      </c>
      <c r="D25" s="103">
        <v>117</v>
      </c>
      <c r="E25" s="103" t="s">
        <v>187</v>
      </c>
      <c r="F25" s="103">
        <v>0</v>
      </c>
      <c r="G25" s="103">
        <v>4.4995000000000003</v>
      </c>
      <c r="H25" s="103">
        <v>0</v>
      </c>
    </row>
    <row r="26" spans="1:8" ht="145" x14ac:dyDescent="0.35">
      <c r="A26" s="103" t="s">
        <v>150</v>
      </c>
      <c r="B26" s="103"/>
      <c r="C26" s="103"/>
      <c r="D26" s="103">
        <v>0</v>
      </c>
      <c r="E26" s="103"/>
      <c r="F26" s="103"/>
      <c r="G26" s="103"/>
      <c r="H26" s="103"/>
    </row>
    <row r="27" spans="1:8" ht="145" x14ac:dyDescent="0.35">
      <c r="A27" s="103" t="s">
        <v>150</v>
      </c>
      <c r="B27" s="103"/>
      <c r="C27" s="103"/>
      <c r="D27" s="103">
        <v>0</v>
      </c>
      <c r="E27" s="103"/>
      <c r="F27" s="103"/>
      <c r="G27" s="103"/>
      <c r="H27" s="10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E925-88F5-47A7-9D69-4DA2E180FAE7}">
  <sheetPr>
    <tabColor rgb="FF00353E"/>
  </sheetPr>
  <dimension ref="A2:N43"/>
  <sheetViews>
    <sheetView showGridLines="0" workbookViewId="0"/>
  </sheetViews>
  <sheetFormatPr defaultRowHeight="14.5" x14ac:dyDescent="0.35"/>
  <cols>
    <col min="2" max="2" width="25.1796875" customWidth="1"/>
    <col min="3" max="3" width="37.54296875" customWidth="1"/>
    <col min="4" max="4" width="20.1796875" customWidth="1"/>
    <col min="5" max="5" width="30.54296875" customWidth="1"/>
    <col min="6" max="6" width="27.453125" customWidth="1"/>
    <col min="7" max="7" width="28.54296875" customWidth="1"/>
    <col min="8" max="9" width="26.81640625" customWidth="1"/>
    <col min="10" max="10" width="32.26953125" customWidth="1"/>
    <col min="11" max="11" width="32.54296875" style="9" customWidth="1"/>
  </cols>
  <sheetData>
    <row r="2" spans="1:14" s="270" customFormat="1" ht="27" customHeight="1" x14ac:dyDescent="0.35">
      <c r="A2" s="268"/>
      <c r="B2" s="269" t="s">
        <v>442</v>
      </c>
      <c r="C2" s="269"/>
    </row>
    <row r="3" spans="1:14" s="275" customFormat="1" ht="18" customHeight="1" x14ac:dyDescent="0.35">
      <c r="A3" s="271"/>
      <c r="B3" s="272" t="s">
        <v>741</v>
      </c>
      <c r="C3" s="273"/>
      <c r="D3" s="273"/>
      <c r="E3" s="273"/>
      <c r="F3" s="274"/>
      <c r="G3" s="274"/>
    </row>
    <row r="4" spans="1:14" ht="15" thickBot="1" x14ac:dyDescent="0.4">
      <c r="D4" s="13"/>
      <c r="E4" s="13"/>
      <c r="F4" s="13"/>
      <c r="G4" s="13"/>
      <c r="H4" s="13"/>
      <c r="I4" s="13"/>
      <c r="J4" s="13"/>
      <c r="K4" s="11"/>
      <c r="L4" s="13"/>
      <c r="M4" s="13"/>
      <c r="N4" s="13"/>
    </row>
    <row r="5" spans="1:14" ht="20" x14ac:dyDescent="0.35">
      <c r="B5" s="671" t="s">
        <v>392</v>
      </c>
      <c r="C5" s="672"/>
      <c r="D5" s="672"/>
      <c r="E5" s="672"/>
      <c r="F5" s="672"/>
      <c r="G5" s="672"/>
      <c r="H5" s="672"/>
      <c r="I5" s="672"/>
      <c r="J5" s="672"/>
      <c r="K5" s="673"/>
      <c r="L5" s="13"/>
      <c r="M5" s="13"/>
      <c r="N5" s="13"/>
    </row>
    <row r="6" spans="1:14" ht="26.5" customHeight="1" x14ac:dyDescent="0.35">
      <c r="B6" s="674" t="s">
        <v>393</v>
      </c>
      <c r="C6" s="171"/>
      <c r="D6" s="171"/>
      <c r="E6" s="171"/>
      <c r="F6" s="171"/>
      <c r="G6" s="171"/>
      <c r="H6" s="171"/>
      <c r="I6" s="171"/>
      <c r="J6" s="171"/>
      <c r="K6" s="675"/>
      <c r="L6" s="13"/>
      <c r="M6" s="13"/>
      <c r="N6" s="13"/>
    </row>
    <row r="7" spans="1:14" s="9" customFormat="1" ht="26" x14ac:dyDescent="0.35">
      <c r="B7" s="676" t="s">
        <v>137</v>
      </c>
      <c r="C7" s="86" t="s">
        <v>116</v>
      </c>
      <c r="D7" s="86" t="s">
        <v>0</v>
      </c>
      <c r="E7" s="86" t="s">
        <v>134</v>
      </c>
      <c r="F7" s="86" t="s">
        <v>138</v>
      </c>
      <c r="G7" s="86" t="s">
        <v>650</v>
      </c>
      <c r="H7" s="86" t="s">
        <v>140</v>
      </c>
      <c r="I7" s="86" t="s">
        <v>141</v>
      </c>
      <c r="J7" s="86" t="s">
        <v>507</v>
      </c>
      <c r="K7" s="677" t="s">
        <v>135</v>
      </c>
      <c r="L7" s="11"/>
      <c r="M7" s="11"/>
      <c r="N7" s="11"/>
    </row>
    <row r="8" spans="1:14" x14ac:dyDescent="0.35">
      <c r="B8" s="678" t="s">
        <v>117</v>
      </c>
      <c r="C8" s="85" t="s">
        <v>98</v>
      </c>
      <c r="D8" s="84" t="s">
        <v>14</v>
      </c>
      <c r="E8" s="169">
        <f>_xlfn.XLOOKUP(B8,'Structure dimensions'!$C$6:$C$49,'Structure dimensions'!$L$6:$L$49)</f>
        <v>118.31400000000001</v>
      </c>
      <c r="F8" s="352">
        <f>_xlfn.XLOOKUP(D8,'Benchmark summary'!$C$31:$C$42,'Benchmark summary'!$I$31:$I$42)</f>
        <v>1.8648154184714496</v>
      </c>
      <c r="G8" s="169">
        <f>F8*E8</f>
        <v>220.6337714210311</v>
      </c>
      <c r="H8" s="352">
        <f>G8*AUB!$D$18</f>
        <v>195.21290143311782</v>
      </c>
      <c r="I8" s="352">
        <f>G8*AUB!$D$19</f>
        <v>25.322745714964626</v>
      </c>
      <c r="J8" s="352">
        <f>G8*AUB!$D$20</f>
        <v>9.8124272948647631E-2</v>
      </c>
      <c r="K8" s="679" t="s">
        <v>136</v>
      </c>
      <c r="L8" s="13"/>
      <c r="M8" s="13"/>
      <c r="N8" s="13"/>
    </row>
    <row r="9" spans="1:14" x14ac:dyDescent="0.35">
      <c r="B9" s="678" t="s">
        <v>118</v>
      </c>
      <c r="C9" s="85" t="s">
        <v>99</v>
      </c>
      <c r="D9" s="84" t="s">
        <v>14</v>
      </c>
      <c r="E9" s="169">
        <f>_xlfn.XLOOKUP(B9,'Structure dimensions'!$C$6:$C$49,'Structure dimensions'!$L$6:$L$49)</f>
        <v>113.048</v>
      </c>
      <c r="F9" s="352">
        <f>_xlfn.XLOOKUP(D9,'Benchmark summary'!$C$31:$C$42,'Benchmark summary'!$I$31:$I$42)</f>
        <v>1.8648154184714496</v>
      </c>
      <c r="G9" s="169">
        <f t="shared" ref="G9:G25" si="0">F9*E9</f>
        <v>210.81365342736044</v>
      </c>
      <c r="H9" s="352">
        <f>G9*AUB!$D$18</f>
        <v>186.52423281446914</v>
      </c>
      <c r="I9" s="352">
        <f>G9*AUB!$D$19</f>
        <v>24.195663721836137</v>
      </c>
      <c r="J9" s="352">
        <f>G9*AUB!$D$20</f>
        <v>9.3756891055147451E-2</v>
      </c>
      <c r="K9" s="679" t="s">
        <v>136</v>
      </c>
      <c r="L9" s="13"/>
      <c r="M9" s="13"/>
      <c r="N9" s="13"/>
    </row>
    <row r="10" spans="1:14" x14ac:dyDescent="0.35">
      <c r="B10" s="678" t="s">
        <v>133</v>
      </c>
      <c r="C10" s="85" t="s">
        <v>100</v>
      </c>
      <c r="D10" s="84" t="s">
        <v>14</v>
      </c>
      <c r="E10" s="169">
        <f>_xlfn.XLOOKUP(B10,'Structure dimensions'!$C$6:$C$49,'Structure dimensions'!$L$6:$L$49)</f>
        <v>93.960000000000008</v>
      </c>
      <c r="F10" s="352">
        <f>_xlfn.XLOOKUP(D10,'Benchmark summary'!$C$31:$C$42,'Benchmark summary'!$I$31:$I$42)</f>
        <v>1.8648154184714496</v>
      </c>
      <c r="G10" s="169">
        <f t="shared" si="0"/>
        <v>175.21805671957742</v>
      </c>
      <c r="H10" s="352">
        <f>G10*AUB!$D$18</f>
        <v>155.02987151694433</v>
      </c>
      <c r="I10" s="352">
        <f>G10*AUB!$D$19</f>
        <v>20.110259034248493</v>
      </c>
      <c r="J10" s="352">
        <f>G10*AUB!$D$20</f>
        <v>7.7926168384594652E-2</v>
      </c>
      <c r="K10" s="679" t="s">
        <v>136</v>
      </c>
      <c r="L10" s="13"/>
      <c r="M10" s="13"/>
      <c r="N10" s="13"/>
    </row>
    <row r="11" spans="1:14" x14ac:dyDescent="0.35">
      <c r="B11" s="678" t="s">
        <v>119</v>
      </c>
      <c r="C11" s="85" t="s">
        <v>101</v>
      </c>
      <c r="D11" s="84" t="s">
        <v>14</v>
      </c>
      <c r="E11" s="169">
        <f>_xlfn.XLOOKUP(B11,'Structure dimensions'!$C$6:$C$49,'Structure dimensions'!$L$6:$L$49)</f>
        <v>100.947</v>
      </c>
      <c r="F11" s="352">
        <f>_xlfn.XLOOKUP(D11,'Benchmark summary'!$C$31:$C$42,'Benchmark summary'!$I$31:$I$42)</f>
        <v>1.8648154184714496</v>
      </c>
      <c r="G11" s="169">
        <f t="shared" si="0"/>
        <v>188.24752204843742</v>
      </c>
      <c r="H11" s="352">
        <f>G11*AUB!$D$18</f>
        <v>166.55811451703892</v>
      </c>
      <c r="I11" s="352">
        <f>G11*AUB!$D$19</f>
        <v>21.605686661667544</v>
      </c>
      <c r="J11" s="352">
        <f>G11*AUB!$D$20</f>
        <v>8.3720869730945877E-2</v>
      </c>
      <c r="K11" s="679" t="s">
        <v>136</v>
      </c>
      <c r="L11" s="13"/>
      <c r="M11" s="13"/>
      <c r="N11" s="13"/>
    </row>
    <row r="12" spans="1:14" x14ac:dyDescent="0.35">
      <c r="B12" s="678" t="s">
        <v>120</v>
      </c>
      <c r="C12" s="85" t="s">
        <v>102</v>
      </c>
      <c r="D12" s="84" t="s">
        <v>14</v>
      </c>
      <c r="E12" s="169">
        <f>_xlfn.XLOOKUP(B12,'Structure dimensions'!$C$6:$C$49,'Structure dimensions'!$L$6:$L$49)</f>
        <v>144.41999999999999</v>
      </c>
      <c r="F12" s="352">
        <f>_xlfn.XLOOKUP(D12,'Benchmark summary'!$C$31:$C$42,'Benchmark summary'!$I$31:$I$42)</f>
        <v>1.8648154184714496</v>
      </c>
      <c r="G12" s="169">
        <f t="shared" si="0"/>
        <v>269.31664273564672</v>
      </c>
      <c r="H12" s="352">
        <f>G12*AUB!$D$18</f>
        <v>238.28665436863662</v>
      </c>
      <c r="I12" s="352">
        <f>G12*AUB!$D$19</f>
        <v>30.910212960048604</v>
      </c>
      <c r="J12" s="352">
        <f>G12*AUB!$D$20</f>
        <v>0.11977540696150657</v>
      </c>
      <c r="K12" s="679" t="s">
        <v>136</v>
      </c>
      <c r="L12" s="13"/>
      <c r="M12" s="13"/>
      <c r="N12" s="13"/>
    </row>
    <row r="13" spans="1:14" x14ac:dyDescent="0.35">
      <c r="B13" s="678" t="s">
        <v>121</v>
      </c>
      <c r="C13" s="85" t="s">
        <v>103</v>
      </c>
      <c r="D13" s="84" t="s">
        <v>14</v>
      </c>
      <c r="E13" s="169">
        <f>_xlfn.XLOOKUP(B13,'Structure dimensions'!$C$6:$C$49,'Structure dimensions'!$L$6:$L$49)</f>
        <v>162.28800000000001</v>
      </c>
      <c r="F13" s="352">
        <f>_xlfn.XLOOKUP(D13,'Benchmark summary'!$C$31:$C$42,'Benchmark summary'!$I$31:$I$42)</f>
        <v>1.8648154184714496</v>
      </c>
      <c r="G13" s="169">
        <f t="shared" si="0"/>
        <v>302.63716463289461</v>
      </c>
      <c r="H13" s="352">
        <f>G13*AUB!$D$18</f>
        <v>267.76806927141189</v>
      </c>
      <c r="I13" s="352">
        <f>G13*AUB!$D$19</f>
        <v>34.734501044594708</v>
      </c>
      <c r="J13" s="352">
        <f>G13*AUB!$D$20</f>
        <v>0.13459431688802784</v>
      </c>
      <c r="K13" s="679" t="s">
        <v>136</v>
      </c>
      <c r="L13" s="13"/>
      <c r="M13" s="13"/>
      <c r="N13" s="13"/>
    </row>
    <row r="14" spans="1:14" ht="85.5" customHeight="1" x14ac:dyDescent="0.35">
      <c r="B14" s="678" t="s">
        <v>122</v>
      </c>
      <c r="C14" s="85" t="s">
        <v>104</v>
      </c>
      <c r="D14" s="84" t="s">
        <v>14</v>
      </c>
      <c r="E14" s="170">
        <v>0</v>
      </c>
      <c r="F14" s="352">
        <f>_xlfn.XLOOKUP(D14,'Benchmark summary'!$C$31:$C$42,'Benchmark summary'!$I$31:$I$42)</f>
        <v>1.8648154184714496</v>
      </c>
      <c r="G14" s="169">
        <f t="shared" si="0"/>
        <v>0</v>
      </c>
      <c r="H14" s="352">
        <f>G14*AUB!$D$18</f>
        <v>0</v>
      </c>
      <c r="I14" s="352">
        <f>G14*AUB!$D$19</f>
        <v>0</v>
      </c>
      <c r="J14" s="352">
        <f>G14*AUB!$D$20</f>
        <v>0</v>
      </c>
      <c r="K14" s="680" t="s">
        <v>389</v>
      </c>
      <c r="L14" s="13"/>
      <c r="M14" s="13"/>
      <c r="N14" s="13"/>
    </row>
    <row r="15" spans="1:14" ht="84" customHeight="1" x14ac:dyDescent="0.35">
      <c r="B15" s="678" t="s">
        <v>123</v>
      </c>
      <c r="C15" s="85" t="s">
        <v>105</v>
      </c>
      <c r="D15" s="84" t="s">
        <v>14</v>
      </c>
      <c r="E15" s="170">
        <v>0</v>
      </c>
      <c r="F15" s="352">
        <f>_xlfn.XLOOKUP(D15,'Benchmark summary'!$C$31:$C$42,'Benchmark summary'!$I$31:$I$42)</f>
        <v>1.8648154184714496</v>
      </c>
      <c r="G15" s="169">
        <f t="shared" si="0"/>
        <v>0</v>
      </c>
      <c r="H15" s="352">
        <f>G15*AUB!$D$18</f>
        <v>0</v>
      </c>
      <c r="I15" s="352">
        <f>G15*AUB!$D$19</f>
        <v>0</v>
      </c>
      <c r="J15" s="352">
        <f>G15*AUB!$D$20</f>
        <v>0</v>
      </c>
      <c r="K15" s="680" t="s">
        <v>390</v>
      </c>
      <c r="L15" s="13"/>
      <c r="M15" s="13"/>
      <c r="N15" s="13"/>
    </row>
    <row r="16" spans="1:14" x14ac:dyDescent="0.35">
      <c r="B16" s="678" t="s">
        <v>124</v>
      </c>
      <c r="C16" s="85" t="s">
        <v>106</v>
      </c>
      <c r="D16" s="84" t="s">
        <v>14</v>
      </c>
      <c r="E16" s="169">
        <f>_xlfn.XLOOKUP(B16,'Structure dimensions'!$C$6:$C$49,'Structure dimensions'!$L$6:$L$49)</f>
        <v>94.809999999999988</v>
      </c>
      <c r="F16" s="352">
        <f>_xlfn.XLOOKUP(D16,'Benchmark summary'!$C$31:$C$42,'Benchmark summary'!$I$31:$I$42)</f>
        <v>1.8648154184714496</v>
      </c>
      <c r="G16" s="169">
        <f t="shared" si="0"/>
        <v>176.80314982527813</v>
      </c>
      <c r="H16" s="352">
        <f>G16*AUB!$D$18</f>
        <v>156.43233416902393</v>
      </c>
      <c r="I16" s="352">
        <f>G16*AUB!$D$19</f>
        <v>20.292184536367596</v>
      </c>
      <c r="J16" s="352">
        <f>G16*AUB!$D$20</f>
        <v>7.8631119886583833E-2</v>
      </c>
      <c r="K16" s="679" t="s">
        <v>136</v>
      </c>
      <c r="L16" s="13"/>
      <c r="M16" s="13"/>
      <c r="N16" s="13"/>
    </row>
    <row r="17" spans="2:14" x14ac:dyDescent="0.35">
      <c r="B17" s="678" t="s">
        <v>125</v>
      </c>
      <c r="C17" s="85" t="s">
        <v>107</v>
      </c>
      <c r="D17" s="84" t="s">
        <v>14</v>
      </c>
      <c r="E17" s="169">
        <f>_xlfn.XLOOKUP(B17,'Structure dimensions'!$C$6:$C$49,'Structure dimensions'!$L$6:$L$49)</f>
        <v>123.312</v>
      </c>
      <c r="F17" s="352">
        <f>_xlfn.XLOOKUP(D17,'Benchmark summary'!$C$31:$C$42,'Benchmark summary'!$I$31:$I$42)</f>
        <v>1.8648154184714496</v>
      </c>
      <c r="G17" s="169">
        <f t="shared" si="0"/>
        <v>229.9541188825514</v>
      </c>
      <c r="H17" s="352">
        <f>G17*AUB!$D$18</f>
        <v>203.45938182734608</v>
      </c>
      <c r="I17" s="352">
        <f>G17*AUB!$D$19</f>
        <v>26.392467667424967</v>
      </c>
      <c r="J17" s="352">
        <f>G17*AUB!$D$20</f>
        <v>0.10226938778034413</v>
      </c>
      <c r="K17" s="679" t="s">
        <v>136</v>
      </c>
      <c r="L17" s="13"/>
      <c r="M17" s="13"/>
      <c r="N17" s="13"/>
    </row>
    <row r="18" spans="2:14" x14ac:dyDescent="0.35">
      <c r="B18" s="678" t="s">
        <v>126</v>
      </c>
      <c r="C18" s="85" t="s">
        <v>108</v>
      </c>
      <c r="D18" s="84" t="s">
        <v>14</v>
      </c>
      <c r="E18" s="169">
        <f>_xlfn.XLOOKUP(B18,'Structure dimensions'!$C$6:$C$49,'Structure dimensions'!$L$6:$L$49)</f>
        <v>114.744</v>
      </c>
      <c r="F18" s="352">
        <f>_xlfn.XLOOKUP(D18,'Benchmark summary'!$C$31:$C$42,'Benchmark summary'!$I$31:$I$42)</f>
        <v>1.8648154184714496</v>
      </c>
      <c r="G18" s="169">
        <f t="shared" si="0"/>
        <v>213.97638037708802</v>
      </c>
      <c r="H18" s="352">
        <f>G18*AUB!$D$18</f>
        <v>189.32255829438336</v>
      </c>
      <c r="I18" s="352">
        <f>G18*AUB!$D$19</f>
        <v>24.558658606064377</v>
      </c>
      <c r="J18" s="352">
        <f>G18*AUB!$D$20</f>
        <v>9.5163476640292968E-2</v>
      </c>
      <c r="K18" s="679" t="s">
        <v>136</v>
      </c>
      <c r="L18" s="13"/>
      <c r="M18" s="13"/>
      <c r="N18" s="13"/>
    </row>
    <row r="19" spans="2:14" x14ac:dyDescent="0.35">
      <c r="B19" s="678" t="s">
        <v>127</v>
      </c>
      <c r="C19" s="85" t="s">
        <v>109</v>
      </c>
      <c r="D19" s="84" t="s">
        <v>14</v>
      </c>
      <c r="E19" s="169">
        <f>_xlfn.XLOOKUP(B19,'Structure dimensions'!$C$6:$C$49,'Structure dimensions'!$L$6:$L$49)</f>
        <v>114.19800000000001</v>
      </c>
      <c r="F19" s="352">
        <f>_xlfn.XLOOKUP(D19,'Benchmark summary'!$C$31:$C$42,'Benchmark summary'!$I$31:$I$42)</f>
        <v>1.8648154184714496</v>
      </c>
      <c r="G19" s="169">
        <f t="shared" si="0"/>
        <v>212.9581911586026</v>
      </c>
      <c r="H19" s="352">
        <f>G19*AUB!$D$18</f>
        <v>188.42168228492983</v>
      </c>
      <c r="I19" s="352">
        <f>G19*AUB!$D$19</f>
        <v>24.441798224703163</v>
      </c>
      <c r="J19" s="352">
        <f>G19*AUB!$D$20</f>
        <v>9.4710648969603434E-2</v>
      </c>
      <c r="K19" s="679" t="s">
        <v>136</v>
      </c>
      <c r="L19" s="13"/>
      <c r="M19" s="13"/>
      <c r="N19" s="13"/>
    </row>
    <row r="20" spans="2:14" x14ac:dyDescent="0.35">
      <c r="B20" s="678" t="s">
        <v>128</v>
      </c>
      <c r="C20" s="85" t="s">
        <v>110</v>
      </c>
      <c r="D20" s="84" t="s">
        <v>14</v>
      </c>
      <c r="E20" s="169">
        <f>_xlfn.XLOOKUP(B20,'Structure dimensions'!$C$6:$C$49,'Structure dimensions'!$L$6:$L$49)</f>
        <v>118.86000000000001</v>
      </c>
      <c r="F20" s="352">
        <f>_xlfn.XLOOKUP(D20,'Benchmark summary'!$C$31:$C$42,'Benchmark summary'!$I$31:$I$42)</f>
        <v>1.8648154184714496</v>
      </c>
      <c r="G20" s="169">
        <f t="shared" si="0"/>
        <v>221.65196063951652</v>
      </c>
      <c r="H20" s="352">
        <f>G20*AUB!$D$18</f>
        <v>196.11377744257135</v>
      </c>
      <c r="I20" s="352">
        <f>G20*AUB!$D$19</f>
        <v>25.439606096325839</v>
      </c>
      <c r="J20" s="352">
        <f>G20*AUB!$D$20</f>
        <v>9.8577100619337166E-2</v>
      </c>
      <c r="K20" s="679" t="s">
        <v>136</v>
      </c>
      <c r="L20" s="13"/>
      <c r="M20" s="13"/>
      <c r="N20" s="13"/>
    </row>
    <row r="21" spans="2:14" ht="43" customHeight="1" x14ac:dyDescent="0.35">
      <c r="B21" s="678" t="s">
        <v>129</v>
      </c>
      <c r="C21" s="85" t="s">
        <v>111</v>
      </c>
      <c r="D21" s="84" t="s">
        <v>20</v>
      </c>
      <c r="E21" s="169">
        <f>_xlfn.XLOOKUP(B21,'Structure dimensions'!$C$6:$C$49,'Structure dimensions'!$L$6:$L$49)</f>
        <v>295.2</v>
      </c>
      <c r="F21" s="352">
        <f>_xlfn.XLOOKUP(D21,'Benchmark summary'!$C$31:$C$42,'Benchmark summary'!$I$31:$I$42)</f>
        <v>6.7794561143312313</v>
      </c>
      <c r="G21" s="169">
        <f t="shared" si="0"/>
        <v>2001.2954449505794</v>
      </c>
      <c r="H21" s="169">
        <f>G21*JUB!$D$16</f>
        <v>1951.922740941739</v>
      </c>
      <c r="I21" s="169">
        <f>G21*JUB!$D$17</f>
        <v>49.292307692307688</v>
      </c>
      <c r="J21" s="351">
        <f>G21*JUB!$D$18</f>
        <v>8.0396316532629367E-2</v>
      </c>
      <c r="K21" s="679" t="s">
        <v>136</v>
      </c>
      <c r="L21" s="13"/>
      <c r="M21" s="13"/>
      <c r="N21" s="13"/>
    </row>
    <row r="22" spans="2:14" x14ac:dyDescent="0.35">
      <c r="B22" s="678" t="s">
        <v>130</v>
      </c>
      <c r="C22" s="85" t="s">
        <v>112</v>
      </c>
      <c r="D22" s="84" t="s">
        <v>20</v>
      </c>
      <c r="E22" s="169">
        <f>_xlfn.XLOOKUP(B22,'Structure dimensions'!$C$6:$C$49,'Structure dimensions'!$L$6:$L$49)</f>
        <v>309.55</v>
      </c>
      <c r="F22" s="352">
        <f>_xlfn.XLOOKUP(D22,'Benchmark summary'!$C$31:$C$42,'Benchmark summary'!$I$31:$I$42)</f>
        <v>6.7794561143312313</v>
      </c>
      <c r="G22" s="169">
        <f t="shared" si="0"/>
        <v>2098.5806401912328</v>
      </c>
      <c r="H22" s="169">
        <f>G22*JUB!$D$16</f>
        <v>2046.8078741819627</v>
      </c>
      <c r="I22" s="169">
        <f>G22*JUB!$D$17</f>
        <v>51.688461538461539</v>
      </c>
      <c r="J22" s="351">
        <f>G22*JUB!$D$18</f>
        <v>8.430447080852109E-2</v>
      </c>
      <c r="K22" s="679" t="s">
        <v>136</v>
      </c>
      <c r="L22" s="13"/>
      <c r="M22" s="13"/>
      <c r="N22" s="13"/>
    </row>
    <row r="23" spans="2:14" ht="29" x14ac:dyDescent="0.35">
      <c r="B23" s="678" t="s">
        <v>263</v>
      </c>
      <c r="C23" s="85" t="s">
        <v>113</v>
      </c>
      <c r="D23" s="84" t="s">
        <v>29</v>
      </c>
      <c r="E23" s="169">
        <f>_xlfn.XLOOKUP(B23,'Structure dimensions'!$C$6:$C$49,'Structure dimensions'!$L$6:$L$49)</f>
        <v>307.5</v>
      </c>
      <c r="F23" s="352">
        <f>_xlfn.XLOOKUP(D23,'Benchmark summary'!$C$31:$C$42,'Benchmark summary'!$I$31:$I$42)</f>
        <v>4.1963111515627665</v>
      </c>
      <c r="G23" s="169">
        <f t="shared" si="0"/>
        <v>1290.3656791055507</v>
      </c>
      <c r="H23" s="170">
        <f>G23*UB!$D$17</f>
        <v>1220.0254469670688</v>
      </c>
      <c r="I23" s="170">
        <f>G23*UB!$D$18</f>
        <v>70.230914261975528</v>
      </c>
      <c r="J23" s="460">
        <f>G23*UB!$D$19</f>
        <v>0.10931787650668871</v>
      </c>
      <c r="K23" s="419" t="s">
        <v>391</v>
      </c>
      <c r="L23" s="13"/>
      <c r="M23" s="13"/>
      <c r="N23" s="13"/>
    </row>
    <row r="24" spans="2:14" x14ac:dyDescent="0.35">
      <c r="B24" s="678" t="s">
        <v>131</v>
      </c>
      <c r="C24" s="85" t="s">
        <v>114</v>
      </c>
      <c r="D24" s="84" t="s">
        <v>29</v>
      </c>
      <c r="E24" s="169">
        <f>_xlfn.XLOOKUP(B24,'Structure dimensions'!$C$6:$C$49,'Structure dimensions'!$L$6:$L$49)</f>
        <v>133.25</v>
      </c>
      <c r="F24" s="352">
        <f>_xlfn.XLOOKUP(D24,'Benchmark summary'!$C$31:$C$42,'Benchmark summary'!$I$31:$I$42)</f>
        <v>4.1963111515627665</v>
      </c>
      <c r="G24" s="169">
        <f t="shared" si="0"/>
        <v>559.15846094573863</v>
      </c>
      <c r="H24" s="170">
        <f>G24*UB!$D$17</f>
        <v>528.67769368572976</v>
      </c>
      <c r="I24" s="170">
        <f>G24*UB!$D$18</f>
        <v>30.433396180189394</v>
      </c>
      <c r="J24" s="461">
        <f>G24*UB!$D$19</f>
        <v>4.7371079819565107E-2</v>
      </c>
      <c r="K24" s="679" t="s">
        <v>136</v>
      </c>
      <c r="L24" s="13"/>
      <c r="M24" s="13"/>
      <c r="N24" s="13"/>
    </row>
    <row r="25" spans="2:14" x14ac:dyDescent="0.35">
      <c r="B25" s="681" t="s">
        <v>132</v>
      </c>
      <c r="C25" s="87" t="s">
        <v>115</v>
      </c>
      <c r="D25" s="88" t="s">
        <v>29</v>
      </c>
      <c r="E25" s="169">
        <f>_xlfn.XLOOKUP(B25,'Structure dimensions'!$C$6:$C$49,'Structure dimensions'!$L$6:$L$49)</f>
        <v>221.4</v>
      </c>
      <c r="F25" s="352">
        <f>_xlfn.XLOOKUP(D25,'Benchmark summary'!$C$31:$C$42,'Benchmark summary'!$I$31:$I$42)</f>
        <v>4.1963111515627665</v>
      </c>
      <c r="G25" s="169">
        <f t="shared" si="0"/>
        <v>929.06328895599654</v>
      </c>
      <c r="H25" s="170">
        <f>G25*UB!$D$17</f>
        <v>878.41832181628945</v>
      </c>
      <c r="I25" s="170">
        <f>G25*UB!$D$18</f>
        <v>50.566258268622384</v>
      </c>
      <c r="J25" s="461">
        <f>G25*UB!$D$19</f>
        <v>7.8708871084815876E-2</v>
      </c>
      <c r="K25" s="682" t="s">
        <v>136</v>
      </c>
      <c r="L25" s="13"/>
      <c r="M25" s="13"/>
      <c r="N25" s="13"/>
    </row>
    <row r="26" spans="2:14" ht="19" thickBot="1" x14ac:dyDescent="0.5">
      <c r="B26" s="683" t="s">
        <v>5</v>
      </c>
      <c r="C26" s="684"/>
      <c r="D26" s="684"/>
      <c r="E26" s="684"/>
      <c r="F26" s="684"/>
      <c r="G26" s="685">
        <f>SUM(G8:G25)</f>
        <v>9300.674126017082</v>
      </c>
      <c r="H26" s="685">
        <f>SUM(H8:H25)</f>
        <v>8768.9816555326634</v>
      </c>
      <c r="I26" s="685">
        <f>SUM(I8:I25)</f>
        <v>530.21512220980253</v>
      </c>
      <c r="J26" s="686">
        <f>SUM(J8:J25)</f>
        <v>1.4773482746172515</v>
      </c>
      <c r="K26" s="687"/>
      <c r="L26" s="13"/>
      <c r="M26" s="13"/>
      <c r="N26" s="13"/>
    </row>
    <row r="27" spans="2:14" x14ac:dyDescent="0.35">
      <c r="D27" s="13"/>
      <c r="E27" s="13"/>
      <c r="F27" s="13"/>
      <c r="G27" s="13"/>
      <c r="H27" s="13"/>
      <c r="I27" s="13"/>
      <c r="J27" s="13"/>
      <c r="K27" s="11"/>
      <c r="L27" s="13"/>
      <c r="M27" s="13"/>
      <c r="N27" s="13"/>
    </row>
    <row r="28" spans="2:14" ht="15" thickBot="1" x14ac:dyDescent="0.4">
      <c r="D28" s="13"/>
      <c r="E28" s="13"/>
      <c r="F28" s="13"/>
      <c r="H28" s="13"/>
      <c r="I28" s="13"/>
      <c r="J28" s="13"/>
      <c r="K28" s="11"/>
      <c r="L28" s="13"/>
      <c r="M28" s="13"/>
      <c r="N28" s="13"/>
    </row>
    <row r="29" spans="2:14" x14ac:dyDescent="0.35">
      <c r="B29" s="765" t="s">
        <v>698</v>
      </c>
      <c r="C29" s="766"/>
      <c r="D29" s="13"/>
      <c r="E29" s="13"/>
      <c r="F29" s="13"/>
      <c r="G29" s="546"/>
      <c r="H29" s="546"/>
      <c r="I29" s="546"/>
      <c r="J29" s="13"/>
      <c r="K29" s="11"/>
      <c r="L29" s="13"/>
      <c r="M29" s="13"/>
      <c r="N29" s="13"/>
    </row>
    <row r="30" spans="2:14" x14ac:dyDescent="0.35">
      <c r="B30" s="147" t="s">
        <v>14</v>
      </c>
      <c r="C30" s="688">
        <f>SUMIF('Other structures'!D8:D25,B30,'Other structures'!E8:E25)</f>
        <v>1298.9009999999998</v>
      </c>
      <c r="D30" s="13"/>
      <c r="E30" s="13"/>
      <c r="F30" s="13"/>
      <c r="G30" s="546"/>
      <c r="H30" s="546"/>
      <c r="I30" s="546"/>
      <c r="J30" s="13"/>
      <c r="K30" s="11"/>
      <c r="L30" s="13"/>
      <c r="M30" s="13"/>
      <c r="N30" s="13"/>
    </row>
    <row r="31" spans="2:14" x14ac:dyDescent="0.35">
      <c r="B31" s="147" t="s">
        <v>20</v>
      </c>
      <c r="C31" s="688">
        <f>SUMIF('Other structures'!D9:D26,B31,'Other structures'!E9:E26)</f>
        <v>604.75</v>
      </c>
      <c r="D31" s="13"/>
      <c r="E31" s="13"/>
      <c r="F31" s="13"/>
      <c r="G31" s="546"/>
      <c r="H31" s="546"/>
      <c r="I31" s="546"/>
      <c r="J31" s="13"/>
      <c r="K31" s="11"/>
      <c r="L31" s="13"/>
      <c r="M31" s="13"/>
      <c r="N31" s="13"/>
    </row>
    <row r="32" spans="2:14" ht="15" thickBot="1" x14ac:dyDescent="0.4">
      <c r="B32" s="233" t="s">
        <v>29</v>
      </c>
      <c r="C32" s="689">
        <f>SUMIF('Other structures'!D10:D27,B32,'Other structures'!E10:E27)</f>
        <v>662.15</v>
      </c>
      <c r="D32" s="13"/>
      <c r="E32" s="13"/>
      <c r="F32" s="13"/>
      <c r="G32" s="13"/>
      <c r="H32" s="546"/>
      <c r="I32" s="546"/>
      <c r="J32" s="13"/>
      <c r="K32" s="11"/>
      <c r="L32" s="13"/>
      <c r="M32" s="13"/>
      <c r="N32" s="13"/>
    </row>
    <row r="33" spans="8:9" x14ac:dyDescent="0.35">
      <c r="H33" s="546"/>
      <c r="I33" s="546"/>
    </row>
    <row r="34" spans="8:9" x14ac:dyDescent="0.35">
      <c r="H34" s="546"/>
      <c r="I34" s="546"/>
    </row>
    <row r="35" spans="8:9" x14ac:dyDescent="0.35">
      <c r="H35" s="546"/>
      <c r="I35" s="546"/>
    </row>
    <row r="36" spans="8:9" x14ac:dyDescent="0.35">
      <c r="H36" s="546"/>
      <c r="I36" s="546"/>
    </row>
    <row r="37" spans="8:9" x14ac:dyDescent="0.35">
      <c r="H37" s="546"/>
      <c r="I37" s="546"/>
    </row>
    <row r="38" spans="8:9" x14ac:dyDescent="0.35">
      <c r="H38" s="546"/>
      <c r="I38" s="546"/>
    </row>
    <row r="39" spans="8:9" x14ac:dyDescent="0.35">
      <c r="H39" s="546"/>
      <c r="I39" s="546"/>
    </row>
    <row r="40" spans="8:9" x14ac:dyDescent="0.35">
      <c r="H40" s="546"/>
      <c r="I40" s="546"/>
    </row>
    <row r="41" spans="8:9" x14ac:dyDescent="0.35">
      <c r="H41" s="546"/>
      <c r="I41" s="546"/>
    </row>
    <row r="42" spans="8:9" x14ac:dyDescent="0.35">
      <c r="H42" s="546"/>
    </row>
    <row r="43" spans="8:9" x14ac:dyDescent="0.35">
      <c r="H43" s="546"/>
    </row>
  </sheetData>
  <autoFilter ref="B7:K26" xr:uid="{4EEFE925-88F5-47A7-9D69-4DA2E180FAE7}"/>
  <mergeCells count="1">
    <mergeCell ref="B29:C2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DF7F-204C-4CC0-B8C1-6249C1046580}">
  <sheetPr>
    <tabColor rgb="FF00353E"/>
  </sheetPr>
  <dimension ref="A1:O81"/>
  <sheetViews>
    <sheetView showGridLines="0" zoomScale="55" zoomScaleNormal="55" workbookViewId="0">
      <selection activeCell="K74" sqref="K74"/>
    </sheetView>
  </sheetViews>
  <sheetFormatPr defaultColWidth="8.7265625" defaultRowHeight="14" x14ac:dyDescent="0.3"/>
  <cols>
    <col min="1" max="1" width="4.1796875" style="118" customWidth="1"/>
    <col min="2" max="2" width="41.453125" style="117" customWidth="1"/>
    <col min="3" max="3" width="21.1796875" style="117" customWidth="1"/>
    <col min="4" max="5" width="21.453125" style="117" customWidth="1"/>
    <col min="6" max="6" width="16.54296875" style="117" customWidth="1"/>
    <col min="7" max="8" width="18.1796875" style="117" customWidth="1"/>
    <col min="9" max="9" width="22.7265625" style="117" customWidth="1"/>
    <col min="10" max="10" width="26.81640625" style="117" customWidth="1"/>
    <col min="11" max="11" width="26.1796875" style="118" customWidth="1"/>
    <col min="12" max="12" width="30" style="118" customWidth="1"/>
    <col min="13" max="13" width="32" style="118" customWidth="1"/>
    <col min="14" max="14" width="30.453125" style="118" customWidth="1"/>
    <col min="15" max="15" width="21.81640625" style="118" customWidth="1"/>
    <col min="16" max="16384" width="8.7265625" style="118"/>
  </cols>
  <sheetData>
    <row r="1" spans="1:15" s="135" customFormat="1" ht="25" customHeight="1" x14ac:dyDescent="0.35">
      <c r="A1" s="58"/>
      <c r="B1" s="267" t="s">
        <v>737</v>
      </c>
      <c r="C1" s="58"/>
      <c r="D1" s="134"/>
      <c r="E1" s="134"/>
      <c r="F1" s="134"/>
      <c r="G1" s="134"/>
      <c r="H1" s="134"/>
      <c r="I1" s="134"/>
      <c r="J1" s="134"/>
    </row>
    <row r="2" spans="1:15" s="135" customFormat="1" ht="18" customHeight="1" x14ac:dyDescent="0.35">
      <c r="B2" s="259" t="s">
        <v>464</v>
      </c>
      <c r="C2" s="58"/>
      <c r="D2" s="58"/>
      <c r="E2" s="58"/>
      <c r="F2" s="134"/>
      <c r="G2" s="134"/>
      <c r="H2" s="134"/>
    </row>
    <row r="3" spans="1:15" ht="39.65" customHeight="1" thickBot="1" x14ac:dyDescent="0.45">
      <c r="B3" s="299" t="s">
        <v>443</v>
      </c>
      <c r="I3" s="299" t="s">
        <v>444</v>
      </c>
      <c r="K3" s="117"/>
      <c r="L3" s="117"/>
    </row>
    <row r="4" spans="1:15" ht="30.65" customHeight="1" x14ac:dyDescent="0.3">
      <c r="B4" s="771" t="s">
        <v>37</v>
      </c>
      <c r="C4" s="773" t="s">
        <v>75</v>
      </c>
      <c r="D4" s="773" t="s">
        <v>381</v>
      </c>
      <c r="E4" s="773" t="s">
        <v>629</v>
      </c>
      <c r="F4" s="773" t="s">
        <v>630</v>
      </c>
      <c r="G4" s="791" t="s">
        <v>631</v>
      </c>
      <c r="I4" s="786" t="s">
        <v>69</v>
      </c>
      <c r="J4" s="787"/>
      <c r="K4" s="788" t="s">
        <v>70</v>
      </c>
      <c r="L4" s="787"/>
      <c r="M4" s="788" t="s">
        <v>342</v>
      </c>
      <c r="N4" s="787"/>
      <c r="O4" s="789" t="s">
        <v>382</v>
      </c>
    </row>
    <row r="5" spans="1:15" s="300" customFormat="1" ht="33.65" customHeight="1" x14ac:dyDescent="0.25">
      <c r="B5" s="772"/>
      <c r="C5" s="774"/>
      <c r="D5" s="774"/>
      <c r="E5" s="774"/>
      <c r="F5" s="774"/>
      <c r="G5" s="792"/>
      <c r="I5" s="64" t="s">
        <v>71</v>
      </c>
      <c r="J5" s="65" t="s">
        <v>72</v>
      </c>
      <c r="K5" s="66" t="s">
        <v>73</v>
      </c>
      <c r="L5" s="67" t="s">
        <v>74</v>
      </c>
      <c r="M5" s="155" t="s">
        <v>636</v>
      </c>
      <c r="N5" s="155" t="s">
        <v>689</v>
      </c>
      <c r="O5" s="790"/>
    </row>
    <row r="6" spans="1:15" s="300" customFormat="1" ht="15" customHeight="1" thickBot="1" x14ac:dyDescent="0.3">
      <c r="B6" s="334" t="s">
        <v>38</v>
      </c>
      <c r="C6" s="177">
        <f>'Structure dimensions'!L32</f>
        <v>741.75</v>
      </c>
      <c r="D6" s="177">
        <f>SUM(I6:L6)</f>
        <v>593.13259999999991</v>
      </c>
      <c r="E6" s="177">
        <f>O6</f>
        <v>593.24729999999988</v>
      </c>
      <c r="F6" s="332">
        <f>D6/C6</f>
        <v>0.79963950117964266</v>
      </c>
      <c r="G6" s="333">
        <f>E6/C6</f>
        <v>0.79979413549039413</v>
      </c>
      <c r="I6" s="197">
        <f>H81</f>
        <v>470.93259999999987</v>
      </c>
      <c r="J6" s="198">
        <v>23.1</v>
      </c>
      <c r="K6" s="199">
        <v>67.400000000000006</v>
      </c>
      <c r="L6" s="198">
        <v>31.7</v>
      </c>
      <c r="M6" s="198">
        <f>I81</f>
        <v>0.1147</v>
      </c>
      <c r="N6" s="198">
        <v>0</v>
      </c>
      <c r="O6" s="80">
        <f>SUM(I6:N6)</f>
        <v>593.24729999999988</v>
      </c>
    </row>
    <row r="7" spans="1:15" ht="15" thickTop="1" thickBot="1" x14ac:dyDescent="0.35">
      <c r="B7" s="77" t="s">
        <v>2</v>
      </c>
      <c r="C7" s="328"/>
      <c r="D7" s="172">
        <f>SUM(D6:D6)</f>
        <v>593.13259999999991</v>
      </c>
      <c r="E7" s="172">
        <f>SUM(E6:E6)</f>
        <v>593.24729999999988</v>
      </c>
      <c r="F7" s="172"/>
      <c r="G7" s="173"/>
      <c r="I7" s="194" t="s">
        <v>81</v>
      </c>
      <c r="J7" s="72">
        <f>SUM(I6:J6)</f>
        <v>494.03259999999989</v>
      </c>
      <c r="K7" s="195" t="s">
        <v>81</v>
      </c>
      <c r="L7" s="72">
        <f>SUM(K6:L6)</f>
        <v>99.100000000000009</v>
      </c>
      <c r="M7" s="184" t="s">
        <v>346</v>
      </c>
      <c r="N7" s="196">
        <f>SUM(M6:N6)</f>
        <v>0.1147</v>
      </c>
      <c r="O7" s="79">
        <f>SUM(O6:O6)</f>
        <v>593.24729999999988</v>
      </c>
    </row>
    <row r="8" spans="1:15" ht="14.5" thickBot="1" x14ac:dyDescent="0.35">
      <c r="A8" s="35"/>
      <c r="B8" s="35"/>
      <c r="C8" s="35"/>
      <c r="D8" s="35"/>
      <c r="E8" s="35"/>
      <c r="F8" s="35"/>
      <c r="I8" s="118" t="s">
        <v>490</v>
      </c>
      <c r="K8" s="117"/>
    </row>
    <row r="9" spans="1:15" ht="16" customHeight="1" x14ac:dyDescent="0.3">
      <c r="B9" s="781" t="s">
        <v>383</v>
      </c>
      <c r="C9" s="782"/>
      <c r="D9" s="83" t="s">
        <v>384</v>
      </c>
      <c r="E9" s="252" t="s">
        <v>10</v>
      </c>
      <c r="F9" s="19"/>
      <c r="J9" s="18"/>
    </row>
    <row r="10" spans="1:15" ht="44.15" customHeight="1" x14ac:dyDescent="0.3">
      <c r="B10" s="775" t="s">
        <v>9</v>
      </c>
      <c r="C10" s="776"/>
      <c r="D10" s="323">
        <v>1</v>
      </c>
      <c r="E10" s="301" t="s">
        <v>385</v>
      </c>
      <c r="F10" s="19"/>
      <c r="J10" s="18"/>
    </row>
    <row r="11" spans="1:15" ht="44.15" customHeight="1" x14ac:dyDescent="0.3">
      <c r="B11" s="775" t="s">
        <v>625</v>
      </c>
      <c r="C11" s="324" t="s">
        <v>623</v>
      </c>
      <c r="D11" s="323">
        <f>D7/D10</f>
        <v>593.13259999999991</v>
      </c>
      <c r="E11" s="301" t="s">
        <v>399</v>
      </c>
      <c r="F11" s="19"/>
      <c r="J11" s="18"/>
    </row>
    <row r="12" spans="1:15" ht="44.15" customHeight="1" x14ac:dyDescent="0.3">
      <c r="B12" s="775"/>
      <c r="C12" s="324" t="s">
        <v>624</v>
      </c>
      <c r="D12" s="323">
        <f>E7</f>
        <v>593.24729999999988</v>
      </c>
      <c r="E12" s="301" t="s">
        <v>399</v>
      </c>
      <c r="F12" s="19"/>
      <c r="J12" s="18"/>
    </row>
    <row r="13" spans="1:15" ht="44.15" customHeight="1" x14ac:dyDescent="0.3">
      <c r="B13" s="775" t="s">
        <v>626</v>
      </c>
      <c r="C13" s="324" t="s">
        <v>623</v>
      </c>
      <c r="D13" s="329">
        <f>AVERAGE(F6:F6)</f>
        <v>0.79963950117964266</v>
      </c>
      <c r="E13" s="301" t="s">
        <v>398</v>
      </c>
      <c r="F13" s="19"/>
      <c r="J13" s="18"/>
    </row>
    <row r="14" spans="1:15" ht="44.15" customHeight="1" x14ac:dyDescent="0.3">
      <c r="B14" s="775"/>
      <c r="C14" s="324" t="s">
        <v>624</v>
      </c>
      <c r="D14" s="329">
        <f>AVERAGE(G6)</f>
        <v>0.79979413549039413</v>
      </c>
      <c r="E14" s="301" t="s">
        <v>398</v>
      </c>
      <c r="F14" s="19"/>
      <c r="J14" s="18"/>
    </row>
    <row r="15" spans="1:15" ht="44.15" customHeight="1" x14ac:dyDescent="0.3">
      <c r="B15" s="777" t="s">
        <v>628</v>
      </c>
      <c r="C15" s="324" t="s">
        <v>3</v>
      </c>
      <c r="D15" s="186">
        <f>J7/E7</f>
        <v>0.8327599636778793</v>
      </c>
      <c r="E15" s="301" t="s">
        <v>388</v>
      </c>
      <c r="F15" s="19"/>
      <c r="J15" s="18"/>
    </row>
    <row r="16" spans="1:15" ht="44.15" customHeight="1" x14ac:dyDescent="0.3">
      <c r="B16" s="778"/>
      <c r="C16" s="324" t="s">
        <v>4</v>
      </c>
      <c r="D16" s="186">
        <f>L7/E6</f>
        <v>0.16704669368069611</v>
      </c>
      <c r="E16" s="301" t="s">
        <v>388</v>
      </c>
      <c r="F16" s="19"/>
      <c r="J16" s="18"/>
    </row>
    <row r="17" spans="2:10" ht="44.15" customHeight="1" x14ac:dyDescent="0.3">
      <c r="B17" s="779"/>
      <c r="C17" s="324" t="s">
        <v>627</v>
      </c>
      <c r="D17" s="186">
        <f>N7/E6</f>
        <v>1.9334264142457962E-4</v>
      </c>
      <c r="E17" s="301" t="s">
        <v>388</v>
      </c>
      <c r="F17" s="19"/>
      <c r="J17" s="18"/>
    </row>
    <row r="18" spans="2:10" ht="44.15" customHeight="1" x14ac:dyDescent="0.3">
      <c r="B18" s="777" t="s">
        <v>626</v>
      </c>
      <c r="C18" s="324" t="s">
        <v>3</v>
      </c>
      <c r="D18" s="185">
        <f>D14*D15</f>
        <v>0.66603653522076145</v>
      </c>
      <c r="E18" s="301" t="s">
        <v>398</v>
      </c>
      <c r="F18" s="19"/>
      <c r="J18" s="18"/>
    </row>
    <row r="19" spans="2:10" ht="44.15" customHeight="1" x14ac:dyDescent="0.3">
      <c r="B19" s="778"/>
      <c r="C19" s="324" t="s">
        <v>4</v>
      </c>
      <c r="D19" s="296">
        <f>D14*D16</f>
        <v>0.13360296595888102</v>
      </c>
      <c r="E19" s="302" t="s">
        <v>398</v>
      </c>
      <c r="F19" s="19"/>
      <c r="J19" s="18"/>
    </row>
    <row r="20" spans="2:10" ht="44.15" customHeight="1" thickBot="1" x14ac:dyDescent="0.35">
      <c r="B20" s="780"/>
      <c r="C20" s="325" t="s">
        <v>627</v>
      </c>
      <c r="D20" s="297">
        <f>D14*D17</f>
        <v>1.5463431075160092E-4</v>
      </c>
      <c r="E20" s="303" t="s">
        <v>398</v>
      </c>
      <c r="F20" s="19"/>
      <c r="J20" s="18"/>
    </row>
    <row r="21" spans="2:10" x14ac:dyDescent="0.3">
      <c r="B21" s="304"/>
      <c r="C21" s="304"/>
      <c r="F21" s="19"/>
      <c r="J21" s="18"/>
    </row>
    <row r="22" spans="2:10" x14ac:dyDescent="0.3">
      <c r="B22" s="304"/>
      <c r="C22" s="304"/>
      <c r="F22" s="19"/>
      <c r="J22" s="18"/>
    </row>
    <row r="23" spans="2:10" x14ac:dyDescent="0.3">
      <c r="B23" s="304"/>
      <c r="C23" s="304"/>
      <c r="F23" s="19"/>
      <c r="J23" s="18"/>
    </row>
    <row r="24" spans="2:10" x14ac:dyDescent="0.3">
      <c r="B24" s="37"/>
      <c r="C24" s="37"/>
      <c r="D24" s="18"/>
      <c r="E24" s="18"/>
      <c r="F24" s="21"/>
      <c r="G24" s="21"/>
      <c r="H24" s="21"/>
      <c r="I24" s="18"/>
      <c r="J24" s="18"/>
    </row>
    <row r="25" spans="2:10" x14ac:dyDescent="0.3">
      <c r="B25" s="37"/>
      <c r="C25" s="37"/>
      <c r="D25" s="18"/>
      <c r="E25" s="18"/>
      <c r="F25" s="23"/>
      <c r="G25" s="23"/>
      <c r="H25" s="23"/>
      <c r="I25" s="18"/>
      <c r="J25" s="18"/>
    </row>
    <row r="26" spans="2:10" x14ac:dyDescent="0.3">
      <c r="B26" s="33"/>
      <c r="C26" s="33"/>
      <c r="D26" s="26"/>
      <c r="E26" s="26"/>
      <c r="F26" s="27"/>
      <c r="G26" s="27"/>
      <c r="H26" s="27"/>
      <c r="I26" s="18"/>
      <c r="J26" s="18"/>
    </row>
    <row r="27" spans="2:10" x14ac:dyDescent="0.3">
      <c r="B27" s="18"/>
      <c r="C27" s="18"/>
      <c r="D27" s="18"/>
      <c r="E27" s="18"/>
      <c r="F27" s="18"/>
      <c r="G27" s="18"/>
      <c r="H27" s="18"/>
      <c r="I27" s="18"/>
      <c r="J27" s="18"/>
    </row>
    <row r="28" spans="2:10" ht="27" customHeight="1" x14ac:dyDescent="0.3">
      <c r="B28" s="769"/>
      <c r="C28" s="769"/>
      <c r="D28" s="769"/>
      <c r="E28" s="769"/>
      <c r="F28" s="769"/>
      <c r="G28" s="769"/>
      <c r="H28" s="253"/>
      <c r="I28" s="18"/>
      <c r="J28" s="18"/>
    </row>
    <row r="29" spans="2:10" x14ac:dyDescent="0.3">
      <c r="B29" s="770"/>
      <c r="C29" s="770"/>
      <c r="D29" s="770"/>
      <c r="E29" s="15"/>
      <c r="F29" s="14"/>
      <c r="G29" s="36"/>
      <c r="H29" s="36"/>
      <c r="I29" s="18"/>
      <c r="J29" s="18"/>
    </row>
    <row r="30" spans="2:10" x14ac:dyDescent="0.3">
      <c r="B30" s="38"/>
      <c r="C30" s="38"/>
      <c r="D30" s="18"/>
      <c r="E30" s="18"/>
      <c r="F30" s="19"/>
      <c r="G30" s="19"/>
      <c r="H30" s="19"/>
      <c r="I30" s="18"/>
      <c r="J30" s="18"/>
    </row>
    <row r="31" spans="2:10" x14ac:dyDescent="0.3">
      <c r="B31" s="38"/>
      <c r="C31" s="38"/>
      <c r="D31" s="18"/>
      <c r="E31" s="18"/>
      <c r="F31" s="19"/>
      <c r="G31" s="19"/>
      <c r="H31" s="19"/>
      <c r="I31" s="18"/>
      <c r="J31" s="18"/>
    </row>
    <row r="32" spans="2:10" x14ac:dyDescent="0.3">
      <c r="B32" s="38"/>
      <c r="C32" s="38"/>
      <c r="D32" s="18"/>
      <c r="E32" s="18"/>
      <c r="F32" s="19"/>
      <c r="G32" s="19"/>
      <c r="H32" s="19"/>
      <c r="I32" s="18"/>
      <c r="J32" s="18"/>
    </row>
    <row r="33" spans="1:14" x14ac:dyDescent="0.3">
      <c r="B33" s="770"/>
      <c r="C33" s="770"/>
      <c r="D33" s="770"/>
      <c r="E33" s="15"/>
      <c r="F33" s="14"/>
      <c r="G33" s="36"/>
      <c r="H33" s="36"/>
      <c r="I33" s="18"/>
      <c r="J33" s="18"/>
    </row>
    <row r="34" spans="1:14" x14ac:dyDescent="0.3">
      <c r="B34" s="38"/>
      <c r="C34" s="38"/>
      <c r="D34" s="18"/>
      <c r="E34" s="18"/>
      <c r="F34" s="21"/>
      <c r="G34" s="21"/>
      <c r="H34" s="21"/>
      <c r="I34" s="18"/>
      <c r="J34" s="18"/>
    </row>
    <row r="35" spans="1:14" x14ac:dyDescent="0.3">
      <c r="B35" s="38"/>
      <c r="C35" s="38"/>
      <c r="D35" s="18"/>
      <c r="E35" s="18"/>
      <c r="F35" s="21"/>
      <c r="G35" s="21"/>
      <c r="H35" s="21"/>
      <c r="I35" s="18"/>
      <c r="J35" s="18"/>
    </row>
    <row r="36" spans="1:14" x14ac:dyDescent="0.3">
      <c r="B36" s="38"/>
      <c r="C36" s="38"/>
      <c r="D36" s="18"/>
      <c r="E36" s="18"/>
      <c r="F36" s="21"/>
      <c r="G36" s="21"/>
      <c r="H36" s="21"/>
      <c r="I36" s="18"/>
      <c r="J36" s="18"/>
    </row>
    <row r="37" spans="1:14" x14ac:dyDescent="0.3">
      <c r="B37" s="38"/>
      <c r="C37" s="38"/>
      <c r="D37" s="18"/>
      <c r="E37" s="18"/>
      <c r="F37" s="21"/>
      <c r="G37" s="21"/>
      <c r="H37" s="21"/>
      <c r="I37" s="18"/>
      <c r="J37" s="18"/>
    </row>
    <row r="38" spans="1:14" x14ac:dyDescent="0.3">
      <c r="B38" s="38"/>
      <c r="C38" s="38"/>
      <c r="D38" s="18"/>
      <c r="E38" s="18"/>
      <c r="F38" s="21"/>
      <c r="G38" s="21"/>
      <c r="H38" s="21"/>
      <c r="I38" s="18"/>
      <c r="J38" s="18"/>
    </row>
    <row r="39" spans="1:14" s="309" customFormat="1" ht="33.65" customHeight="1" x14ac:dyDescent="0.35">
      <c r="A39" s="305"/>
      <c r="B39" s="306" t="s">
        <v>403</v>
      </c>
      <c r="C39" s="307"/>
      <c r="D39" s="308"/>
      <c r="E39" s="308"/>
      <c r="F39" s="308"/>
      <c r="G39" s="308"/>
      <c r="H39" s="308"/>
      <c r="I39" s="308"/>
      <c r="J39" s="308"/>
      <c r="K39" s="308"/>
      <c r="L39" s="308"/>
      <c r="M39" s="308"/>
      <c r="N39" s="308"/>
    </row>
    <row r="40" spans="1:14" ht="14.5" thickBot="1" x14ac:dyDescent="0.35">
      <c r="B40" s="18"/>
      <c r="C40" s="18"/>
      <c r="D40" s="18"/>
      <c r="E40" s="18"/>
      <c r="F40" s="18"/>
      <c r="G40" s="18"/>
      <c r="H40" s="18"/>
      <c r="I40" s="18"/>
      <c r="J40" s="18"/>
      <c r="K40" s="18"/>
      <c r="L40" s="18"/>
      <c r="M40" s="18"/>
      <c r="N40" s="18"/>
    </row>
    <row r="41" spans="1:14" x14ac:dyDescent="0.3">
      <c r="B41" s="783" t="s">
        <v>348</v>
      </c>
      <c r="C41" s="785" t="s">
        <v>350</v>
      </c>
      <c r="D41" s="785"/>
      <c r="E41" s="767" t="s">
        <v>636</v>
      </c>
      <c r="F41" s="768"/>
      <c r="G41" s="18"/>
      <c r="H41" s="18"/>
      <c r="I41" s="18"/>
      <c r="J41" s="18"/>
      <c r="K41" s="18"/>
      <c r="L41" s="18"/>
      <c r="M41" s="18"/>
      <c r="N41" s="18"/>
    </row>
    <row r="42" spans="1:14" x14ac:dyDescent="0.3">
      <c r="B42" s="784"/>
      <c r="C42" s="156" t="s">
        <v>351</v>
      </c>
      <c r="D42" s="156" t="s">
        <v>349</v>
      </c>
      <c r="E42" s="156" t="s">
        <v>351</v>
      </c>
      <c r="F42" s="447" t="s">
        <v>349</v>
      </c>
      <c r="G42" s="18"/>
      <c r="H42" s="18"/>
      <c r="I42" s="18"/>
      <c r="J42" s="18"/>
      <c r="K42" s="18"/>
      <c r="L42" s="18"/>
      <c r="M42" s="18"/>
      <c r="N42" s="18"/>
    </row>
    <row r="43" spans="1:14" ht="24" customHeight="1" x14ac:dyDescent="0.3">
      <c r="B43" s="462" t="s">
        <v>328</v>
      </c>
      <c r="C43" s="310">
        <f t="shared" ref="C43:C50" si="0">SUMIF($J$58:$J$80,B43,$H$58:$H$80)</f>
        <v>2.0343</v>
      </c>
      <c r="D43" s="311">
        <f>C43/$C$51</f>
        <v>4.3197264321900844E-3</v>
      </c>
      <c r="E43" s="310">
        <f t="shared" ref="E43:E50" si="1">SUMIF($J$58:$J$80,B43,$I$58:$I$80)</f>
        <v>0</v>
      </c>
      <c r="F43" s="463">
        <f>E43/$E$51</f>
        <v>0</v>
      </c>
      <c r="G43" s="18"/>
      <c r="H43" s="18"/>
      <c r="I43" s="18"/>
      <c r="J43" s="18"/>
      <c r="K43" s="18"/>
      <c r="L43" s="18"/>
      <c r="M43" s="18"/>
      <c r="N43" s="18"/>
    </row>
    <row r="44" spans="1:14" ht="24" customHeight="1" x14ac:dyDescent="0.3">
      <c r="B44" s="462" t="s">
        <v>329</v>
      </c>
      <c r="C44" s="310">
        <f t="shared" si="0"/>
        <v>0</v>
      </c>
      <c r="D44" s="311">
        <f t="shared" ref="D44:D50" si="2">C44/$C$51</f>
        <v>0</v>
      </c>
      <c r="E44" s="310">
        <f t="shared" si="1"/>
        <v>0</v>
      </c>
      <c r="F44" s="463">
        <f t="shared" ref="F44:F50" si="3">E44/$E$51</f>
        <v>0</v>
      </c>
      <c r="G44" s="18"/>
      <c r="H44" s="18"/>
      <c r="I44" s="18"/>
      <c r="J44" s="18"/>
      <c r="K44" s="18"/>
      <c r="L44" s="18"/>
      <c r="M44" s="18"/>
      <c r="N44" s="18"/>
    </row>
    <row r="45" spans="1:14" ht="24" customHeight="1" x14ac:dyDescent="0.3">
      <c r="B45" s="462" t="s">
        <v>330</v>
      </c>
      <c r="C45" s="310">
        <f t="shared" si="0"/>
        <v>108.57039999999999</v>
      </c>
      <c r="D45" s="311">
        <f t="shared" si="2"/>
        <v>0.23054339410777677</v>
      </c>
      <c r="E45" s="310">
        <f t="shared" si="1"/>
        <v>0</v>
      </c>
      <c r="F45" s="463">
        <f t="shared" si="3"/>
        <v>0</v>
      </c>
      <c r="G45" s="18"/>
      <c r="H45" s="18"/>
      <c r="I45" s="18"/>
      <c r="J45" s="18"/>
      <c r="K45" s="18"/>
      <c r="L45" s="18"/>
      <c r="M45" s="18"/>
      <c r="N45" s="18"/>
    </row>
    <row r="46" spans="1:14" ht="24" customHeight="1" x14ac:dyDescent="0.3">
      <c r="B46" s="462" t="s">
        <v>338</v>
      </c>
      <c r="C46" s="310">
        <f t="shared" si="0"/>
        <v>352.71530000000001</v>
      </c>
      <c r="D46" s="311">
        <f t="shared" si="2"/>
        <v>0.74897193356331682</v>
      </c>
      <c r="E46" s="310">
        <f t="shared" si="1"/>
        <v>0</v>
      </c>
      <c r="F46" s="463">
        <f t="shared" si="3"/>
        <v>0</v>
      </c>
      <c r="G46" s="18"/>
      <c r="H46" s="18"/>
      <c r="I46" s="18"/>
      <c r="J46" s="18"/>
      <c r="K46" s="18"/>
      <c r="L46" s="18"/>
      <c r="M46" s="18"/>
      <c r="N46" s="18"/>
    </row>
    <row r="47" spans="1:14" ht="24" customHeight="1" x14ac:dyDescent="0.3">
      <c r="B47" s="462" t="s">
        <v>337</v>
      </c>
      <c r="C47" s="310">
        <f t="shared" si="0"/>
        <v>1.3111999999999999</v>
      </c>
      <c r="D47" s="311">
        <f t="shared" si="2"/>
        <v>2.7842625462751996E-3</v>
      </c>
      <c r="E47" s="312">
        <f t="shared" si="1"/>
        <v>0.1147</v>
      </c>
      <c r="F47" s="463">
        <f t="shared" si="3"/>
        <v>1</v>
      </c>
      <c r="G47" s="18"/>
      <c r="H47" s="18"/>
      <c r="I47" s="18"/>
      <c r="J47" s="18"/>
      <c r="K47" s="18"/>
      <c r="L47" s="18"/>
      <c r="M47" s="18"/>
      <c r="N47" s="18"/>
    </row>
    <row r="48" spans="1:14" ht="24" customHeight="1" x14ac:dyDescent="0.3">
      <c r="B48" s="462" t="s">
        <v>341</v>
      </c>
      <c r="C48" s="310">
        <f t="shared" si="0"/>
        <v>0</v>
      </c>
      <c r="D48" s="311">
        <f t="shared" si="2"/>
        <v>0</v>
      </c>
      <c r="E48" s="310">
        <f t="shared" si="1"/>
        <v>0</v>
      </c>
      <c r="F48" s="463">
        <f t="shared" si="3"/>
        <v>0</v>
      </c>
      <c r="G48" s="18"/>
      <c r="H48" s="18"/>
      <c r="I48" s="18"/>
      <c r="J48" s="18"/>
      <c r="K48" s="18"/>
      <c r="L48" s="18"/>
      <c r="M48" s="18"/>
      <c r="N48" s="18"/>
    </row>
    <row r="49" spans="1:14" ht="24" customHeight="1" x14ac:dyDescent="0.3">
      <c r="B49" s="462" t="s">
        <v>340</v>
      </c>
      <c r="C49" s="310">
        <f t="shared" si="0"/>
        <v>0</v>
      </c>
      <c r="D49" s="311">
        <f t="shared" si="2"/>
        <v>0</v>
      </c>
      <c r="E49" s="310">
        <f t="shared" si="1"/>
        <v>0</v>
      </c>
      <c r="F49" s="463">
        <f t="shared" si="3"/>
        <v>0</v>
      </c>
      <c r="G49" s="18"/>
      <c r="H49" s="18"/>
      <c r="I49" s="18"/>
      <c r="J49" s="18"/>
      <c r="K49" s="18"/>
      <c r="L49" s="18"/>
      <c r="M49" s="18"/>
      <c r="N49" s="18"/>
    </row>
    <row r="50" spans="1:14" ht="24" customHeight="1" x14ac:dyDescent="0.3">
      <c r="B50" s="462" t="s">
        <v>339</v>
      </c>
      <c r="C50" s="310">
        <f t="shared" si="0"/>
        <v>6.3014000000000001</v>
      </c>
      <c r="D50" s="311">
        <f t="shared" si="2"/>
        <v>1.3380683350441232E-2</v>
      </c>
      <c r="E50" s="310">
        <f t="shared" si="1"/>
        <v>0</v>
      </c>
      <c r="F50" s="463">
        <f t="shared" si="3"/>
        <v>0</v>
      </c>
      <c r="G50" s="18"/>
      <c r="H50" s="18"/>
      <c r="I50" s="18"/>
      <c r="J50" s="18"/>
      <c r="K50" s="18"/>
      <c r="L50" s="18"/>
      <c r="M50" s="18"/>
      <c r="N50" s="18"/>
    </row>
    <row r="51" spans="1:14" ht="24" customHeight="1" thickBot="1" x14ac:dyDescent="0.35">
      <c r="B51" s="464" t="s">
        <v>344</v>
      </c>
      <c r="C51" s="465">
        <f>SUM(C43:C50)</f>
        <v>470.93259999999998</v>
      </c>
      <c r="D51" s="466">
        <f>SUM(D43:D50)</f>
        <v>1</v>
      </c>
      <c r="E51" s="465">
        <f>SUM(E43:E50)</f>
        <v>0.1147</v>
      </c>
      <c r="F51" s="553">
        <f>SUM(F43:F50)</f>
        <v>1</v>
      </c>
      <c r="G51" s="18"/>
      <c r="H51" s="18"/>
      <c r="I51" s="18"/>
      <c r="J51" s="18"/>
      <c r="K51" s="18"/>
      <c r="L51" s="18"/>
      <c r="M51" s="18"/>
      <c r="N51" s="18"/>
    </row>
    <row r="52" spans="1:14" x14ac:dyDescent="0.3">
      <c r="B52" s="18"/>
      <c r="C52" s="18"/>
      <c r="E52" s="18"/>
      <c r="F52" s="18"/>
      <c r="G52" s="18"/>
      <c r="H52" s="18"/>
      <c r="I52" s="18"/>
      <c r="J52" s="18"/>
      <c r="L52" s="18"/>
      <c r="M52" s="18"/>
      <c r="N52" s="18"/>
    </row>
    <row r="53" spans="1:14" x14ac:dyDescent="0.3">
      <c r="B53" s="38"/>
      <c r="C53" s="38"/>
      <c r="D53" s="18"/>
      <c r="E53" s="18"/>
      <c r="F53" s="23"/>
      <c r="G53" s="23"/>
      <c r="H53" s="23"/>
      <c r="I53" s="18"/>
      <c r="J53" s="18"/>
    </row>
    <row r="54" spans="1:14" s="309" customFormat="1" ht="36.65" customHeight="1" x14ac:dyDescent="0.35">
      <c r="A54" s="305"/>
      <c r="B54" s="306" t="s">
        <v>461</v>
      </c>
      <c r="C54" s="307"/>
      <c r="D54" s="308"/>
      <c r="E54" s="308"/>
      <c r="F54" s="308"/>
      <c r="G54" s="308"/>
      <c r="H54" s="308"/>
      <c r="I54" s="308"/>
      <c r="J54" s="308"/>
      <c r="K54" s="308"/>
      <c r="L54" s="308"/>
    </row>
    <row r="55" spans="1:14" s="317" customFormat="1" ht="19.5" customHeight="1" x14ac:dyDescent="0.35">
      <c r="A55" s="313"/>
      <c r="B55" s="314" t="s">
        <v>462</v>
      </c>
      <c r="C55" s="315"/>
      <c r="D55" s="316"/>
      <c r="E55" s="316"/>
      <c r="F55" s="316"/>
      <c r="G55" s="316"/>
      <c r="H55" s="316"/>
      <c r="I55" s="316"/>
      <c r="J55" s="316"/>
      <c r="K55" s="316"/>
      <c r="L55" s="316"/>
    </row>
    <row r="56" spans="1:14" ht="29.15" customHeight="1" thickBot="1" x14ac:dyDescent="0.35">
      <c r="B56" s="38"/>
      <c r="C56" s="38"/>
      <c r="D56" s="18"/>
      <c r="E56" s="18"/>
      <c r="F56" s="23"/>
      <c r="G56" s="23"/>
      <c r="H56" s="23"/>
      <c r="I56" s="18"/>
      <c r="J56" s="18"/>
    </row>
    <row r="57" spans="1:14" ht="35.15" customHeight="1" x14ac:dyDescent="0.3">
      <c r="B57" s="467" t="s">
        <v>320</v>
      </c>
      <c r="C57" s="468" t="s">
        <v>321</v>
      </c>
      <c r="D57" s="468" t="s">
        <v>322</v>
      </c>
      <c r="E57" s="468" t="s">
        <v>323</v>
      </c>
      <c r="F57" s="468" t="s">
        <v>10</v>
      </c>
      <c r="G57" s="468" t="s">
        <v>324</v>
      </c>
      <c r="H57" s="468" t="s">
        <v>325</v>
      </c>
      <c r="I57" s="468" t="s">
        <v>326</v>
      </c>
      <c r="J57" s="469" t="s">
        <v>327</v>
      </c>
    </row>
    <row r="58" spans="1:14" ht="42" x14ac:dyDescent="0.4">
      <c r="A58" s="318"/>
      <c r="B58" s="470" t="s">
        <v>148</v>
      </c>
      <c r="C58" s="319" t="s">
        <v>167</v>
      </c>
      <c r="D58" s="319" t="s">
        <v>168</v>
      </c>
      <c r="E58" s="319">
        <v>55</v>
      </c>
      <c r="F58" s="319" t="s">
        <v>25</v>
      </c>
      <c r="G58" s="320"/>
      <c r="H58" s="319">
        <v>0.56879999999999997</v>
      </c>
      <c r="I58" s="319"/>
      <c r="J58" s="471" t="s">
        <v>339</v>
      </c>
    </row>
    <row r="59" spans="1:14" ht="28" x14ac:dyDescent="0.3">
      <c r="B59" s="470" t="s">
        <v>149</v>
      </c>
      <c r="C59" s="319" t="s">
        <v>169</v>
      </c>
      <c r="D59" s="319" t="s">
        <v>170</v>
      </c>
      <c r="E59" s="319">
        <v>515</v>
      </c>
      <c r="F59" s="319" t="s">
        <v>171</v>
      </c>
      <c r="G59" s="320"/>
      <c r="H59" s="319">
        <v>2.0343</v>
      </c>
      <c r="I59" s="319"/>
      <c r="J59" s="471" t="s">
        <v>328</v>
      </c>
    </row>
    <row r="60" spans="1:14" ht="27" customHeight="1" x14ac:dyDescent="0.3">
      <c r="B60" s="470" t="s">
        <v>151</v>
      </c>
      <c r="C60" s="319" t="s">
        <v>189</v>
      </c>
      <c r="D60" s="319" t="s">
        <v>747</v>
      </c>
      <c r="E60" s="319">
        <v>568</v>
      </c>
      <c r="F60" s="319" t="s">
        <v>187</v>
      </c>
      <c r="G60" s="320"/>
      <c r="H60" s="319">
        <v>0.2298</v>
      </c>
      <c r="I60" s="319"/>
      <c r="J60" s="471" t="s">
        <v>339</v>
      </c>
    </row>
    <row r="61" spans="1:14" ht="28" x14ac:dyDescent="0.3">
      <c r="B61" s="470" t="s">
        <v>157</v>
      </c>
      <c r="C61" s="319" t="s">
        <v>172</v>
      </c>
      <c r="D61" s="319" t="s">
        <v>173</v>
      </c>
      <c r="E61" s="319">
        <v>6</v>
      </c>
      <c r="F61" s="319" t="s">
        <v>171</v>
      </c>
      <c r="G61" s="320"/>
      <c r="H61" s="319">
        <v>1.5331999999999999</v>
      </c>
      <c r="I61" s="319"/>
      <c r="J61" s="471" t="s">
        <v>338</v>
      </c>
    </row>
    <row r="62" spans="1:14" ht="28" x14ac:dyDescent="0.3">
      <c r="B62" s="470" t="s">
        <v>157</v>
      </c>
      <c r="C62" s="319" t="s">
        <v>172</v>
      </c>
      <c r="D62" s="319" t="s">
        <v>174</v>
      </c>
      <c r="E62" s="319">
        <v>408</v>
      </c>
      <c r="F62" s="319" t="s">
        <v>171</v>
      </c>
      <c r="G62" s="320"/>
      <c r="H62" s="319">
        <v>107.3228</v>
      </c>
      <c r="I62" s="319"/>
      <c r="J62" s="471" t="s">
        <v>338</v>
      </c>
    </row>
    <row r="63" spans="1:14" ht="28" x14ac:dyDescent="0.3">
      <c r="B63" s="470" t="s">
        <v>157</v>
      </c>
      <c r="C63" s="319" t="s">
        <v>172</v>
      </c>
      <c r="D63" s="319" t="s">
        <v>174</v>
      </c>
      <c r="E63" s="319">
        <v>258</v>
      </c>
      <c r="F63" s="319" t="s">
        <v>171</v>
      </c>
      <c r="G63" s="320"/>
      <c r="H63" s="319">
        <v>67.865899999999996</v>
      </c>
      <c r="I63" s="319"/>
      <c r="J63" s="471" t="s">
        <v>338</v>
      </c>
    </row>
    <row r="64" spans="1:14" ht="28" x14ac:dyDescent="0.3">
      <c r="B64" s="470" t="s">
        <v>157</v>
      </c>
      <c r="C64" s="319" t="s">
        <v>172</v>
      </c>
      <c r="D64" s="319" t="s">
        <v>174</v>
      </c>
      <c r="E64" s="319">
        <v>39</v>
      </c>
      <c r="F64" s="319" t="s">
        <v>171</v>
      </c>
      <c r="G64" s="320"/>
      <c r="H64" s="319">
        <v>10.258800000000001</v>
      </c>
      <c r="I64" s="319"/>
      <c r="J64" s="471" t="s">
        <v>338</v>
      </c>
    </row>
    <row r="65" spans="2:14" ht="28" x14ac:dyDescent="0.3">
      <c r="B65" s="470" t="s">
        <v>157</v>
      </c>
      <c r="C65" s="319" t="s">
        <v>172</v>
      </c>
      <c r="D65" s="319" t="s">
        <v>174</v>
      </c>
      <c r="E65" s="319">
        <v>234</v>
      </c>
      <c r="F65" s="319" t="s">
        <v>171</v>
      </c>
      <c r="G65" s="320"/>
      <c r="H65" s="319">
        <v>61.552799999999998</v>
      </c>
      <c r="I65" s="319"/>
      <c r="J65" s="471" t="s">
        <v>338</v>
      </c>
    </row>
    <row r="66" spans="2:14" s="321" customFormat="1" ht="39" customHeight="1" x14ac:dyDescent="0.3">
      <c r="B66" s="470" t="s">
        <v>152</v>
      </c>
      <c r="C66" s="319" t="s">
        <v>265</v>
      </c>
      <c r="D66" s="319" t="s">
        <v>266</v>
      </c>
      <c r="E66" s="319">
        <v>30</v>
      </c>
      <c r="F66" s="319" t="s">
        <v>25</v>
      </c>
      <c r="G66" s="320"/>
      <c r="H66" s="319">
        <v>0.2205</v>
      </c>
      <c r="I66" s="319"/>
      <c r="J66" s="471" t="s">
        <v>330</v>
      </c>
    </row>
    <row r="67" spans="2:14" ht="28" x14ac:dyDescent="0.3">
      <c r="B67" s="470" t="s">
        <v>155</v>
      </c>
      <c r="C67" s="319" t="s">
        <v>179</v>
      </c>
      <c r="D67" s="319" t="s">
        <v>253</v>
      </c>
      <c r="E67" s="319">
        <v>557</v>
      </c>
      <c r="F67" s="319" t="s">
        <v>25</v>
      </c>
      <c r="G67" s="320"/>
      <c r="H67" s="319">
        <v>3.3687</v>
      </c>
      <c r="I67" s="319"/>
      <c r="J67" s="471" t="s">
        <v>339</v>
      </c>
    </row>
    <row r="68" spans="2:14" ht="42" x14ac:dyDescent="0.3">
      <c r="B68" s="470" t="s">
        <v>148</v>
      </c>
      <c r="C68" s="319" t="s">
        <v>167</v>
      </c>
      <c r="D68" s="319" t="s">
        <v>267</v>
      </c>
      <c r="E68" s="319">
        <v>153</v>
      </c>
      <c r="F68" s="319" t="s">
        <v>25</v>
      </c>
      <c r="G68" s="320"/>
      <c r="H68" s="319">
        <v>1.5642</v>
      </c>
      <c r="I68" s="319"/>
      <c r="J68" s="471" t="s">
        <v>339</v>
      </c>
    </row>
    <row r="69" spans="2:14" ht="56" x14ac:dyDescent="0.3">
      <c r="B69" s="470" t="s">
        <v>148</v>
      </c>
      <c r="C69" s="319" t="s">
        <v>180</v>
      </c>
      <c r="D69" s="319" t="s">
        <v>181</v>
      </c>
      <c r="E69" s="319">
        <v>4</v>
      </c>
      <c r="F69" s="319" t="s">
        <v>175</v>
      </c>
      <c r="G69" s="320"/>
      <c r="H69" s="319">
        <v>2.1627000000000001</v>
      </c>
      <c r="I69" s="319"/>
      <c r="J69" s="471" t="s">
        <v>338</v>
      </c>
    </row>
    <row r="70" spans="2:14" ht="28" x14ac:dyDescent="0.3">
      <c r="B70" s="470" t="s">
        <v>148</v>
      </c>
      <c r="C70" s="319" t="s">
        <v>180</v>
      </c>
      <c r="D70" s="319" t="s">
        <v>188</v>
      </c>
      <c r="E70" s="319">
        <v>4</v>
      </c>
      <c r="F70" s="319" t="s">
        <v>175</v>
      </c>
      <c r="G70" s="320"/>
      <c r="H70" s="319">
        <v>10.036099999999999</v>
      </c>
      <c r="I70" s="319"/>
      <c r="J70" s="471" t="s">
        <v>338</v>
      </c>
    </row>
    <row r="71" spans="2:14" ht="42" x14ac:dyDescent="0.3">
      <c r="B71" s="470" t="s">
        <v>148</v>
      </c>
      <c r="C71" s="319" t="s">
        <v>182</v>
      </c>
      <c r="D71" s="319" t="s">
        <v>268</v>
      </c>
      <c r="E71" s="319">
        <v>153</v>
      </c>
      <c r="F71" s="319" t="s">
        <v>25</v>
      </c>
      <c r="G71" s="320"/>
      <c r="H71" s="319">
        <v>6.9187000000000003</v>
      </c>
      <c r="I71" s="319"/>
      <c r="J71" s="471" t="s">
        <v>338</v>
      </c>
    </row>
    <row r="72" spans="2:14" ht="28" x14ac:dyDescent="0.3">
      <c r="B72" s="470" t="s">
        <v>147</v>
      </c>
      <c r="C72" s="319" t="s">
        <v>183</v>
      </c>
      <c r="D72" s="319" t="s">
        <v>184</v>
      </c>
      <c r="E72" s="319">
        <v>153</v>
      </c>
      <c r="F72" s="319" t="s">
        <v>25</v>
      </c>
      <c r="G72" s="320"/>
      <c r="H72" s="319">
        <v>9.4125999999999994</v>
      </c>
      <c r="I72" s="319"/>
      <c r="J72" s="471" t="s">
        <v>330</v>
      </c>
    </row>
    <row r="73" spans="2:14" ht="42" x14ac:dyDescent="0.3">
      <c r="B73" s="470" t="s">
        <v>152</v>
      </c>
      <c r="C73" s="319" t="s">
        <v>185</v>
      </c>
      <c r="D73" s="319" t="s">
        <v>186</v>
      </c>
      <c r="E73" s="319">
        <v>969</v>
      </c>
      <c r="F73" s="319" t="s">
        <v>187</v>
      </c>
      <c r="G73" s="320"/>
      <c r="H73" s="319">
        <v>0.50390000000000001</v>
      </c>
      <c r="I73" s="319"/>
      <c r="J73" s="471" t="s">
        <v>339</v>
      </c>
    </row>
    <row r="74" spans="2:14" ht="42" x14ac:dyDescent="0.3">
      <c r="B74" s="470" t="s">
        <v>152</v>
      </c>
      <c r="C74" s="319" t="s">
        <v>185</v>
      </c>
      <c r="D74" s="319" t="s">
        <v>186</v>
      </c>
      <c r="E74" s="319">
        <v>127</v>
      </c>
      <c r="F74" s="319" t="s">
        <v>187</v>
      </c>
      <c r="G74" s="320"/>
      <c r="H74" s="319">
        <v>6.6000000000000003E-2</v>
      </c>
      <c r="I74" s="319"/>
      <c r="J74" s="471" t="s">
        <v>339</v>
      </c>
    </row>
    <row r="75" spans="2:14" ht="42" x14ac:dyDescent="0.3">
      <c r="B75" s="470" t="s">
        <v>157</v>
      </c>
      <c r="C75" s="319" t="s">
        <v>172</v>
      </c>
      <c r="D75" s="319" t="s">
        <v>269</v>
      </c>
      <c r="E75" s="319">
        <v>40</v>
      </c>
      <c r="F75" s="319" t="s">
        <v>175</v>
      </c>
      <c r="G75" s="320"/>
      <c r="H75" s="319">
        <v>29.004999999999999</v>
      </c>
      <c r="I75" s="319"/>
      <c r="J75" s="471" t="s">
        <v>338</v>
      </c>
      <c r="L75" s="117"/>
      <c r="M75" s="117"/>
      <c r="N75" s="117"/>
    </row>
    <row r="76" spans="2:14" ht="42" x14ac:dyDescent="0.3">
      <c r="B76" s="470" t="s">
        <v>157</v>
      </c>
      <c r="C76" s="319" t="s">
        <v>172</v>
      </c>
      <c r="D76" s="319" t="s">
        <v>270</v>
      </c>
      <c r="E76" s="319">
        <v>20</v>
      </c>
      <c r="F76" s="319" t="s">
        <v>175</v>
      </c>
      <c r="G76" s="320"/>
      <c r="H76" s="319">
        <v>7.3731</v>
      </c>
      <c r="I76" s="319"/>
      <c r="J76" s="471" t="s">
        <v>338</v>
      </c>
    </row>
    <row r="77" spans="2:14" ht="42" x14ac:dyDescent="0.3">
      <c r="B77" s="470" t="s">
        <v>157</v>
      </c>
      <c r="C77" s="319" t="s">
        <v>176</v>
      </c>
      <c r="D77" s="319" t="s">
        <v>177</v>
      </c>
      <c r="E77" s="319">
        <v>164</v>
      </c>
      <c r="F77" s="319" t="s">
        <v>178</v>
      </c>
      <c r="G77" s="320"/>
      <c r="H77" s="319">
        <v>98.937299999999993</v>
      </c>
      <c r="I77" s="319"/>
      <c r="J77" s="471" t="s">
        <v>330</v>
      </c>
    </row>
    <row r="78" spans="2:14" ht="28" x14ac:dyDescent="0.3">
      <c r="B78" s="470" t="s">
        <v>161</v>
      </c>
      <c r="C78" s="319" t="s">
        <v>190</v>
      </c>
      <c r="D78" s="319" t="s">
        <v>191</v>
      </c>
      <c r="E78" s="319">
        <v>1353</v>
      </c>
      <c r="F78" s="319" t="s">
        <v>192</v>
      </c>
      <c r="G78" s="320"/>
      <c r="H78" s="319">
        <v>0.35580000000000001</v>
      </c>
      <c r="I78" s="319"/>
      <c r="J78" s="471" t="s">
        <v>337</v>
      </c>
    </row>
    <row r="79" spans="2:14" ht="28" x14ac:dyDescent="0.3">
      <c r="B79" s="470" t="s">
        <v>161</v>
      </c>
      <c r="C79" s="319" t="s">
        <v>190</v>
      </c>
      <c r="D79" s="319" t="s">
        <v>193</v>
      </c>
      <c r="E79" s="319">
        <v>1403</v>
      </c>
      <c r="F79" s="319" t="s">
        <v>192</v>
      </c>
      <c r="G79" s="320">
        <v>0.12</v>
      </c>
      <c r="H79" s="319">
        <v>0.95540000000000003</v>
      </c>
      <c r="I79" s="319">
        <v>0.1147</v>
      </c>
      <c r="J79" s="471" t="s">
        <v>337</v>
      </c>
    </row>
    <row r="80" spans="2:14" ht="28" x14ac:dyDescent="0.3">
      <c r="B80" s="470" t="s">
        <v>157</v>
      </c>
      <c r="C80" s="319" t="s">
        <v>172</v>
      </c>
      <c r="D80" s="319" t="s">
        <v>271</v>
      </c>
      <c r="E80" s="319">
        <v>14</v>
      </c>
      <c r="F80" s="319" t="s">
        <v>175</v>
      </c>
      <c r="G80" s="320"/>
      <c r="H80" s="319">
        <v>48.686199999999999</v>
      </c>
      <c r="I80" s="319"/>
      <c r="J80" s="471" t="s">
        <v>338</v>
      </c>
    </row>
    <row r="81" spans="2:14" ht="29.5" customHeight="1" thickBot="1" x14ac:dyDescent="0.35">
      <c r="B81" s="480" t="s">
        <v>344</v>
      </c>
      <c r="C81" s="472"/>
      <c r="D81" s="472"/>
      <c r="E81" s="472"/>
      <c r="F81" s="472"/>
      <c r="G81" s="473"/>
      <c r="H81" s="474">
        <f>SUM(H58:H80)</f>
        <v>470.93259999999987</v>
      </c>
      <c r="I81" s="475">
        <f>SUM(I58:I80)</f>
        <v>0.1147</v>
      </c>
      <c r="J81" s="476" t="s">
        <v>90</v>
      </c>
      <c r="L81" s="117"/>
      <c r="M81" s="117"/>
      <c r="N81" s="117"/>
    </row>
  </sheetData>
  <mergeCells count="22">
    <mergeCell ref="E4:E5"/>
    <mergeCell ref="I4:J4"/>
    <mergeCell ref="K4:L4"/>
    <mergeCell ref="M4:N4"/>
    <mergeCell ref="O4:O5"/>
    <mergeCell ref="G4:G5"/>
    <mergeCell ref="E41:F41"/>
    <mergeCell ref="B28:G28"/>
    <mergeCell ref="B29:D29"/>
    <mergeCell ref="B33:D33"/>
    <mergeCell ref="B4:B5"/>
    <mergeCell ref="C4:C5"/>
    <mergeCell ref="D4:D5"/>
    <mergeCell ref="F4:F5"/>
    <mergeCell ref="B11:B12"/>
    <mergeCell ref="B13:B14"/>
    <mergeCell ref="B10:C10"/>
    <mergeCell ref="B15:B17"/>
    <mergeCell ref="B18:B20"/>
    <mergeCell ref="B9:C9"/>
    <mergeCell ref="B41:B42"/>
    <mergeCell ref="C41:D4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09EA920-F0FC-41DF-80A8-10A3CD165C30}">
          <x14:formula1>
            <xm:f>'Task 3 - Material summary'!$B$7:$B$14</xm:f>
          </x14:formula1>
          <xm:sqref>J58:J81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A38A-FA1E-465D-A088-F9D643EFA9AB}">
  <sheetPr>
    <tabColor rgb="FF00353E"/>
  </sheetPr>
  <dimension ref="A1:O145"/>
  <sheetViews>
    <sheetView showGridLines="0" workbookViewId="0">
      <selection activeCell="B6" sqref="B6:B9"/>
    </sheetView>
  </sheetViews>
  <sheetFormatPr defaultColWidth="8.7265625" defaultRowHeight="12.5" x14ac:dyDescent="0.25"/>
  <cols>
    <col min="1" max="1" width="9.1796875" style="300" customWidth="1"/>
    <col min="2" max="2" width="50.1796875" style="366" customWidth="1"/>
    <col min="3" max="3" width="27" style="366" customWidth="1"/>
    <col min="4" max="4" width="28.453125" style="366" customWidth="1"/>
    <col min="5" max="5" width="27.54296875" style="366" customWidth="1"/>
    <col min="6" max="6" width="18.7265625" style="366" customWidth="1"/>
    <col min="7" max="7" width="22.26953125" style="366" customWidth="1"/>
    <col min="8" max="8" width="21.453125" style="366" customWidth="1"/>
    <col min="9" max="9" width="21.1796875" style="366" customWidth="1"/>
    <col min="10" max="10" width="22.7265625" style="366" customWidth="1"/>
    <col min="11" max="11" width="22" style="366" customWidth="1"/>
    <col min="12" max="12" width="28" style="300" customWidth="1"/>
    <col min="13" max="13" width="27.54296875" style="300" customWidth="1"/>
    <col min="14" max="14" width="26.81640625" style="300" customWidth="1"/>
    <col min="15" max="15" width="20.54296875" style="300" customWidth="1"/>
    <col min="16" max="16384" width="8.7265625" style="300"/>
  </cols>
  <sheetData>
    <row r="1" spans="2:15" s="363" customFormat="1" ht="25" customHeight="1" x14ac:dyDescent="0.35">
      <c r="B1" s="267" t="s">
        <v>465</v>
      </c>
      <c r="D1" s="364"/>
      <c r="E1" s="364"/>
      <c r="F1" s="364"/>
      <c r="G1" s="364"/>
      <c r="H1" s="364"/>
      <c r="I1" s="364"/>
      <c r="J1" s="364"/>
      <c r="K1" s="364"/>
    </row>
    <row r="2" spans="2:15" s="363" customFormat="1" ht="18" customHeight="1" x14ac:dyDescent="0.35">
      <c r="B2" s="363" t="s">
        <v>638</v>
      </c>
      <c r="F2" s="364"/>
      <c r="G2" s="364"/>
      <c r="H2" s="364"/>
      <c r="I2" s="364"/>
    </row>
    <row r="3" spans="2:15" ht="39.65" customHeight="1" thickBot="1" x14ac:dyDescent="0.35">
      <c r="B3" s="365" t="s">
        <v>443</v>
      </c>
      <c r="I3" s="367" t="s">
        <v>444</v>
      </c>
      <c r="L3" s="366"/>
    </row>
    <row r="4" spans="2:15" ht="14.25" customHeight="1" x14ac:dyDescent="0.25">
      <c r="B4" s="771" t="s">
        <v>37</v>
      </c>
      <c r="C4" s="773" t="s">
        <v>75</v>
      </c>
      <c r="D4" s="773" t="s">
        <v>381</v>
      </c>
      <c r="E4" s="773" t="s">
        <v>629</v>
      </c>
      <c r="F4" s="773" t="s">
        <v>630</v>
      </c>
      <c r="G4" s="791" t="s">
        <v>631</v>
      </c>
      <c r="I4" s="786" t="s">
        <v>69</v>
      </c>
      <c r="J4" s="787"/>
      <c r="K4" s="788" t="s">
        <v>70</v>
      </c>
      <c r="L4" s="787"/>
      <c r="M4" s="794" t="s">
        <v>342</v>
      </c>
      <c r="N4" s="794"/>
      <c r="O4" s="791" t="s">
        <v>382</v>
      </c>
    </row>
    <row r="5" spans="2:15" ht="31.5" customHeight="1" x14ac:dyDescent="0.25">
      <c r="B5" s="772"/>
      <c r="C5" s="774"/>
      <c r="D5" s="774"/>
      <c r="E5" s="774"/>
      <c r="F5" s="774"/>
      <c r="G5" s="792"/>
      <c r="I5" s="64" t="s">
        <v>71</v>
      </c>
      <c r="J5" s="65" t="s">
        <v>72</v>
      </c>
      <c r="K5" s="66" t="s">
        <v>73</v>
      </c>
      <c r="L5" s="67" t="s">
        <v>74</v>
      </c>
      <c r="M5" s="155" t="s">
        <v>636</v>
      </c>
      <c r="N5" s="155" t="s">
        <v>689</v>
      </c>
      <c r="O5" s="792"/>
    </row>
    <row r="6" spans="2:15" ht="15" customHeight="1" x14ac:dyDescent="0.25">
      <c r="B6" s="49" t="s">
        <v>40</v>
      </c>
      <c r="C6" s="164">
        <f>'Structure dimensions'!L34</f>
        <v>145.72999999999999</v>
      </c>
      <c r="D6" s="567">
        <f>SUM(I6:L6)</f>
        <v>428.37800000000004</v>
      </c>
      <c r="E6" s="567">
        <f>O6</f>
        <v>428.49560000000002</v>
      </c>
      <c r="F6" s="81">
        <f>D6/C6</f>
        <v>2.9395320112536889</v>
      </c>
      <c r="G6" s="165">
        <f>E6/C6</f>
        <v>2.940338983050848</v>
      </c>
      <c r="I6" s="178">
        <f>I93</f>
        <v>362.37799999999999</v>
      </c>
      <c r="J6" s="179">
        <v>35.1</v>
      </c>
      <c r="K6" s="180">
        <v>25.1</v>
      </c>
      <c r="L6" s="179">
        <v>5.8</v>
      </c>
      <c r="M6" s="179">
        <f>J93</f>
        <v>0.1176</v>
      </c>
      <c r="N6" s="182">
        <v>0</v>
      </c>
      <c r="O6" s="183">
        <f>SUM(I6:N6)</f>
        <v>428.49560000000002</v>
      </c>
    </row>
    <row r="7" spans="2:15" ht="15" customHeight="1" x14ac:dyDescent="0.25">
      <c r="B7" s="49" t="s">
        <v>41</v>
      </c>
      <c r="C7" s="164">
        <f>'Structure dimensions'!L39</f>
        <v>133</v>
      </c>
      <c r="D7" s="567">
        <f>SUM(I7:L7)</f>
        <v>312.33000000000004</v>
      </c>
      <c r="E7" s="567">
        <f t="shared" ref="E7:E8" si="0">O7</f>
        <v>312.59150000000005</v>
      </c>
      <c r="F7" s="81">
        <f>D7/C7</f>
        <v>2.3483458646616544</v>
      </c>
      <c r="G7" s="165">
        <f>E7/C7</f>
        <v>2.3503120300751883</v>
      </c>
      <c r="I7" s="178">
        <f>I110</f>
        <v>257.33</v>
      </c>
      <c r="J7" s="179">
        <v>22.1</v>
      </c>
      <c r="K7" s="180">
        <v>24.6</v>
      </c>
      <c r="L7" s="179">
        <v>8.3000000000000007</v>
      </c>
      <c r="M7" s="179">
        <f>J110</f>
        <v>0.26150000000000001</v>
      </c>
      <c r="N7" s="182">
        <v>0</v>
      </c>
      <c r="O7" s="183">
        <f>SUM(I7:N7)</f>
        <v>312.59150000000005</v>
      </c>
    </row>
    <row r="8" spans="2:15" ht="15" customHeight="1" x14ac:dyDescent="0.25">
      <c r="B8" s="49" t="s">
        <v>42</v>
      </c>
      <c r="C8" s="164">
        <f>'Structure dimensions'!L48</f>
        <v>113.47199999999999</v>
      </c>
      <c r="D8" s="567">
        <f>SUM(I8:L8)</f>
        <v>89.196400000000011</v>
      </c>
      <c r="E8" s="567">
        <f t="shared" si="0"/>
        <v>89.214700000000008</v>
      </c>
      <c r="F8" s="81">
        <f>D8/C8</f>
        <v>0.78606528482797533</v>
      </c>
      <c r="G8" s="165">
        <f>E8/C8</f>
        <v>0.78622655809362674</v>
      </c>
      <c r="I8" s="178">
        <f>I128</f>
        <v>60.09640000000001</v>
      </c>
      <c r="J8" s="179">
        <v>10.8</v>
      </c>
      <c r="K8" s="180">
        <v>13.8</v>
      </c>
      <c r="L8" s="181">
        <v>4.5</v>
      </c>
      <c r="M8" s="179">
        <f>J128</f>
        <v>1.83E-2</v>
      </c>
      <c r="N8" s="182">
        <v>0</v>
      </c>
      <c r="O8" s="183">
        <f>SUM(I8:N8)</f>
        <v>89.214700000000008</v>
      </c>
    </row>
    <row r="9" spans="2:15" ht="15" customHeight="1" thickBot="1" x14ac:dyDescent="0.3">
      <c r="B9" s="334" t="s">
        <v>43</v>
      </c>
      <c r="C9" s="166">
        <f>'Structure dimensions'!L49</f>
        <v>120.624</v>
      </c>
      <c r="D9" s="568">
        <f>SUM(I9:L9)</f>
        <v>166.70249999999999</v>
      </c>
      <c r="E9" s="568">
        <f>O9</f>
        <v>166.74869999999999</v>
      </c>
      <c r="F9" s="349">
        <f>D9/C9</f>
        <v>1.3820010943095902</v>
      </c>
      <c r="G9" s="167">
        <f t="shared" ref="G9" si="1">E9/C9</f>
        <v>1.3823841026661361</v>
      </c>
      <c r="I9" s="197">
        <f>I145</f>
        <v>122.0025</v>
      </c>
      <c r="J9" s="198">
        <v>16.3</v>
      </c>
      <c r="K9" s="199">
        <v>21.2</v>
      </c>
      <c r="L9" s="201">
        <v>7.2</v>
      </c>
      <c r="M9" s="198">
        <f>J145</f>
        <v>4.6199999999999998E-2</v>
      </c>
      <c r="N9" s="203">
        <v>0</v>
      </c>
      <c r="O9" s="183">
        <f>SUM(I9:N9)</f>
        <v>166.74869999999999</v>
      </c>
    </row>
    <row r="10" spans="2:15" ht="14" thickTop="1" thickBot="1" x14ac:dyDescent="0.3">
      <c r="B10" s="77" t="s">
        <v>2</v>
      </c>
      <c r="C10" s="209">
        <f>SUM(C6:C9)</f>
        <v>512.82600000000002</v>
      </c>
      <c r="D10" s="569">
        <f>SUM(D6:D9)</f>
        <v>996.60690000000011</v>
      </c>
      <c r="E10" s="569">
        <f>SUM(E6:E9)</f>
        <v>997.05050000000006</v>
      </c>
      <c r="F10" s="172"/>
      <c r="G10" s="173"/>
      <c r="I10" s="194" t="s">
        <v>81</v>
      </c>
      <c r="J10" s="72">
        <f>SUM(I6:J9)</f>
        <v>886.1069</v>
      </c>
      <c r="K10" s="195" t="s">
        <v>81</v>
      </c>
      <c r="L10" s="72">
        <f>SUM(K6:L9)</f>
        <v>110.5</v>
      </c>
      <c r="M10" s="184" t="s">
        <v>346</v>
      </c>
      <c r="N10" s="196">
        <f>SUM(M6:N9)</f>
        <v>0.44359999999999999</v>
      </c>
      <c r="O10" s="570">
        <f>SUM(O6:O9)</f>
        <v>997.05050000000006</v>
      </c>
    </row>
    <row r="11" spans="2:15" ht="18.649999999999999" customHeight="1" thickBot="1" x14ac:dyDescent="0.3">
      <c r="B11" s="300"/>
      <c r="C11" s="300"/>
      <c r="D11" s="300"/>
      <c r="E11" s="300"/>
      <c r="F11" s="300"/>
      <c r="G11" s="300"/>
      <c r="I11" s="300" t="s">
        <v>490</v>
      </c>
      <c r="J11" s="100"/>
      <c r="K11" s="161"/>
      <c r="L11" s="100"/>
      <c r="M11" s="162"/>
      <c r="N11" s="163"/>
    </row>
    <row r="12" spans="2:15" ht="14.5" customHeight="1" x14ac:dyDescent="0.3">
      <c r="B12" s="799" t="s">
        <v>383</v>
      </c>
      <c r="C12" s="800"/>
      <c r="D12" s="342" t="s">
        <v>384</v>
      </c>
      <c r="E12" s="343" t="s">
        <v>10</v>
      </c>
      <c r="F12" s="300"/>
      <c r="G12" s="300"/>
      <c r="I12" s="160"/>
      <c r="J12" s="100"/>
      <c r="K12" s="161"/>
      <c r="L12" s="100"/>
      <c r="M12" s="162"/>
      <c r="N12" s="163"/>
    </row>
    <row r="13" spans="2:15" ht="20.5" customHeight="1" x14ac:dyDescent="0.25">
      <c r="B13" s="804" t="s">
        <v>9</v>
      </c>
      <c r="C13" s="805"/>
      <c r="D13" s="185">
        <v>4</v>
      </c>
      <c r="E13" s="357" t="s">
        <v>385</v>
      </c>
      <c r="F13" s="35"/>
      <c r="G13" s="35"/>
    </row>
    <row r="14" spans="2:15" ht="20.5" customHeight="1" x14ac:dyDescent="0.25">
      <c r="B14" s="775" t="s">
        <v>634</v>
      </c>
      <c r="C14" s="344" t="s">
        <v>623</v>
      </c>
      <c r="D14" s="174">
        <f>D10/D13</f>
        <v>249.15172500000003</v>
      </c>
      <c r="E14" s="357" t="s">
        <v>386</v>
      </c>
      <c r="F14" s="35"/>
      <c r="G14" s="35"/>
      <c r="H14" s="35"/>
    </row>
    <row r="15" spans="2:15" ht="32.5" customHeight="1" x14ac:dyDescent="0.25">
      <c r="B15" s="775"/>
      <c r="C15" s="344" t="s">
        <v>624</v>
      </c>
      <c r="D15" s="174">
        <f>E10/D13</f>
        <v>249.26262500000001</v>
      </c>
      <c r="E15" s="357" t="s">
        <v>386</v>
      </c>
      <c r="F15" s="35"/>
      <c r="G15" s="35"/>
      <c r="H15" s="35"/>
    </row>
    <row r="16" spans="2:15" ht="35.15" customHeight="1" x14ac:dyDescent="0.25">
      <c r="B16" s="775" t="s">
        <v>635</v>
      </c>
      <c r="C16" s="344" t="s">
        <v>623</v>
      </c>
      <c r="D16" s="185">
        <f>AVERAGE(F6:F9)</f>
        <v>1.8639860637632273</v>
      </c>
      <c r="E16" s="357" t="s">
        <v>387</v>
      </c>
      <c r="F16" s="14"/>
      <c r="G16" s="14"/>
      <c r="H16" s="14"/>
      <c r="I16" s="14"/>
    </row>
    <row r="17" spans="2:11" ht="35.15" customHeight="1" x14ac:dyDescent="0.25">
      <c r="B17" s="775"/>
      <c r="C17" s="344" t="s">
        <v>624</v>
      </c>
      <c r="D17" s="185">
        <f>AVERAGE(G6:G9)</f>
        <v>1.8648154184714496</v>
      </c>
      <c r="E17" s="357" t="s">
        <v>387</v>
      </c>
      <c r="F17" s="14"/>
      <c r="G17" s="14"/>
      <c r="H17" s="14"/>
      <c r="I17" s="14"/>
    </row>
    <row r="18" spans="2:11" ht="22" customHeight="1" x14ac:dyDescent="0.25">
      <c r="B18" s="775" t="s">
        <v>628</v>
      </c>
      <c r="C18" s="344" t="s">
        <v>3</v>
      </c>
      <c r="D18" s="571">
        <f>(D24+D25)/D17</f>
        <v>0.88478250711944217</v>
      </c>
      <c r="E18" s="357" t="s">
        <v>388</v>
      </c>
      <c r="F18" s="14"/>
      <c r="G18" s="14"/>
      <c r="H18" s="14"/>
      <c r="I18" s="14"/>
    </row>
    <row r="19" spans="2:11" ht="36" customHeight="1" x14ac:dyDescent="0.25">
      <c r="B19" s="775"/>
      <c r="C19" s="344" t="s">
        <v>4</v>
      </c>
      <c r="D19" s="571">
        <f>(D26+D27)/D17</f>
        <v>0.11477275465069998</v>
      </c>
      <c r="E19" s="357" t="s">
        <v>388</v>
      </c>
      <c r="F19" s="14"/>
      <c r="G19" s="14"/>
      <c r="H19" s="14"/>
      <c r="I19" s="14"/>
    </row>
    <row r="20" spans="2:11" ht="36" customHeight="1" x14ac:dyDescent="0.25">
      <c r="B20" s="775"/>
      <c r="C20" s="344" t="s">
        <v>627</v>
      </c>
      <c r="D20" s="571">
        <f>(D28+D29)/D17</f>
        <v>4.4473822985783532E-4</v>
      </c>
      <c r="E20" s="357" t="s">
        <v>388</v>
      </c>
      <c r="F20" s="14"/>
      <c r="G20" s="14"/>
      <c r="H20" s="14"/>
      <c r="I20" s="14"/>
      <c r="J20" s="101"/>
      <c r="K20" s="37"/>
    </row>
    <row r="21" spans="2:11" ht="36" customHeight="1" x14ac:dyDescent="0.25">
      <c r="B21" s="775" t="s">
        <v>635</v>
      </c>
      <c r="C21" s="344" t="s">
        <v>3</v>
      </c>
      <c r="D21" s="185">
        <f>D17*D18</f>
        <v>1.6499560612701609</v>
      </c>
      <c r="E21" s="357" t="s">
        <v>387</v>
      </c>
      <c r="F21" s="14"/>
      <c r="G21" s="14"/>
      <c r="H21" s="14"/>
      <c r="I21" s="14"/>
      <c r="J21" s="101"/>
      <c r="K21" s="37"/>
    </row>
    <row r="22" spans="2:11" ht="36" customHeight="1" x14ac:dyDescent="0.25">
      <c r="B22" s="775"/>
      <c r="C22" s="344" t="s">
        <v>4</v>
      </c>
      <c r="D22" s="185">
        <f>D17*D19</f>
        <v>0.21403000249306611</v>
      </c>
      <c r="E22" s="357" t="s">
        <v>387</v>
      </c>
      <c r="F22" s="14"/>
      <c r="G22" s="14"/>
      <c r="H22" s="14"/>
      <c r="I22" s="14"/>
      <c r="J22" s="101"/>
      <c r="K22" s="37"/>
    </row>
    <row r="23" spans="2:11" ht="36" customHeight="1" x14ac:dyDescent="0.25">
      <c r="B23" s="775"/>
      <c r="C23" s="344" t="s">
        <v>627</v>
      </c>
      <c r="D23" s="185">
        <f>D17*D20</f>
        <v>8.2935470822259095E-4</v>
      </c>
      <c r="E23" s="357" t="s">
        <v>387</v>
      </c>
      <c r="F23" s="14"/>
      <c r="G23" s="14"/>
      <c r="H23" s="14"/>
      <c r="I23" s="14"/>
      <c r="J23" s="101"/>
      <c r="K23" s="37"/>
    </row>
    <row r="24" spans="2:11" ht="36" customHeight="1" x14ac:dyDescent="0.25">
      <c r="B24" s="801" t="s">
        <v>709</v>
      </c>
      <c r="C24" s="572" t="s">
        <v>708</v>
      </c>
      <c r="D24" s="185">
        <f>((I6/C6)+(I7/C7)+(I8/C8)+(I9/C9))/4</f>
        <v>1.4906235336013969</v>
      </c>
      <c r="E24" s="357" t="s">
        <v>387</v>
      </c>
      <c r="F24" s="14"/>
      <c r="G24" s="14"/>
      <c r="H24" s="14"/>
      <c r="I24" s="14"/>
      <c r="J24" s="101"/>
      <c r="K24" s="37"/>
    </row>
    <row r="25" spans="2:11" ht="23.5" customHeight="1" x14ac:dyDescent="0.25">
      <c r="B25" s="802"/>
      <c r="C25" s="572" t="s">
        <v>710</v>
      </c>
      <c r="D25" s="185">
        <f>((J6/C6)+(J7/C7)+(J8/C8)+(J9/C9))/4</f>
        <v>0.15933252766876405</v>
      </c>
      <c r="E25" s="357" t="s">
        <v>387</v>
      </c>
      <c r="F25" s="14"/>
      <c r="G25" s="14"/>
      <c r="H25" s="14"/>
      <c r="I25" s="14"/>
      <c r="J25" s="101"/>
      <c r="K25" s="37"/>
    </row>
    <row r="26" spans="2:11" ht="23.5" customHeight="1" x14ac:dyDescent="0.25">
      <c r="B26" s="802"/>
      <c r="C26" s="572" t="s">
        <v>711</v>
      </c>
      <c r="D26" s="185">
        <f>((K6/C6)+(K7/C7)+(K8/C8)+(K9/C9))/4</f>
        <v>0.16364184776742263</v>
      </c>
      <c r="E26" s="357" t="s">
        <v>387</v>
      </c>
      <c r="F26" s="14"/>
      <c r="G26" s="14"/>
      <c r="H26" s="14"/>
      <c r="I26" s="14"/>
      <c r="J26" s="101"/>
      <c r="K26" s="37"/>
    </row>
    <row r="27" spans="2:11" ht="23.5" customHeight="1" x14ac:dyDescent="0.25">
      <c r="B27" s="802"/>
      <c r="C27" s="572" t="s">
        <v>712</v>
      </c>
      <c r="D27" s="185">
        <f>((L6/C6)+(L7/C7)+(L8/C8)+(L9/C9))/4</f>
        <v>5.038815472564348E-2</v>
      </c>
      <c r="E27" s="357" t="s">
        <v>387</v>
      </c>
      <c r="F27" s="14"/>
      <c r="G27" s="14"/>
      <c r="H27" s="14"/>
      <c r="I27" s="14"/>
      <c r="J27" s="101"/>
      <c r="K27" s="37"/>
    </row>
    <row r="28" spans="2:11" ht="23.5" customHeight="1" x14ac:dyDescent="0.25">
      <c r="B28" s="802"/>
      <c r="C28" s="573" t="s">
        <v>636</v>
      </c>
      <c r="D28" s="185">
        <f>((M6/C6)+(M7/C7)+(M8/C8)+(M9/C9))/4</f>
        <v>8.2935470822259095E-4</v>
      </c>
      <c r="E28" s="357" t="s">
        <v>387</v>
      </c>
      <c r="F28" s="14"/>
      <c r="G28" s="14"/>
      <c r="H28" s="14"/>
      <c r="I28" s="14"/>
      <c r="J28" s="101"/>
      <c r="K28" s="37"/>
    </row>
    <row r="29" spans="2:11" ht="33.65" customHeight="1" thickBot="1" x14ac:dyDescent="0.3">
      <c r="B29" s="803"/>
      <c r="C29" s="574" t="s">
        <v>689</v>
      </c>
      <c r="D29" s="187">
        <v>0</v>
      </c>
      <c r="E29" s="358" t="s">
        <v>387</v>
      </c>
      <c r="G29" s="14"/>
      <c r="H29" s="14"/>
      <c r="I29" s="100"/>
      <c r="J29" s="101"/>
      <c r="K29" s="37"/>
    </row>
    <row r="30" spans="2:11" ht="15.5" x14ac:dyDescent="0.25">
      <c r="B30" s="300"/>
      <c r="C30" s="300"/>
      <c r="D30" s="550"/>
      <c r="E30" s="300"/>
      <c r="F30" s="14"/>
      <c r="G30" s="14"/>
      <c r="H30" s="14"/>
      <c r="I30" s="100"/>
      <c r="J30" s="101"/>
      <c r="K30" s="37"/>
    </row>
    <row r="31" spans="2:11" ht="13" x14ac:dyDescent="0.25">
      <c r="B31" s="300"/>
      <c r="C31" s="300"/>
      <c r="D31" s="300"/>
      <c r="E31" s="300"/>
      <c r="F31" s="14"/>
      <c r="G31" s="14"/>
      <c r="H31" s="14"/>
      <c r="I31" s="100"/>
      <c r="J31" s="101"/>
      <c r="K31" s="37"/>
    </row>
    <row r="32" spans="2:11" ht="13" x14ac:dyDescent="0.25">
      <c r="B32" s="300"/>
      <c r="C32" s="300"/>
      <c r="D32" s="300"/>
      <c r="E32" s="300"/>
      <c r="F32" s="14"/>
      <c r="G32" s="14"/>
      <c r="H32" s="14"/>
      <c r="I32" s="100"/>
      <c r="J32" s="101"/>
      <c r="K32" s="37"/>
    </row>
    <row r="33" spans="2:11" x14ac:dyDescent="0.25">
      <c r="F33" s="369"/>
      <c r="G33" s="369"/>
      <c r="H33" s="369"/>
      <c r="K33" s="37"/>
    </row>
    <row r="34" spans="2:11" x14ac:dyDescent="0.25">
      <c r="B34" s="37"/>
      <c r="C34" s="37"/>
      <c r="D34" s="37"/>
      <c r="E34" s="37"/>
      <c r="F34" s="370"/>
      <c r="G34" s="370"/>
      <c r="H34" s="370"/>
      <c r="I34" s="370"/>
      <c r="J34" s="37"/>
      <c r="K34" s="37"/>
    </row>
    <row r="35" spans="2:11" x14ac:dyDescent="0.25">
      <c r="B35" s="37"/>
      <c r="C35" s="37"/>
      <c r="D35" s="37"/>
      <c r="E35" s="37"/>
      <c r="F35" s="370"/>
      <c r="G35" s="370"/>
      <c r="H35" s="370"/>
      <c r="I35" s="370"/>
      <c r="J35" s="37"/>
      <c r="K35" s="37"/>
    </row>
    <row r="36" spans="2:11" x14ac:dyDescent="0.25">
      <c r="B36" s="37"/>
      <c r="C36" s="37"/>
      <c r="D36" s="37"/>
      <c r="E36" s="37"/>
      <c r="F36" s="371"/>
      <c r="G36" s="371"/>
      <c r="H36" s="371"/>
      <c r="I36" s="371"/>
      <c r="J36" s="37"/>
      <c r="K36" s="37"/>
    </row>
    <row r="37" spans="2:11" ht="13" x14ac:dyDescent="0.3">
      <c r="B37" s="33"/>
      <c r="C37" s="33"/>
      <c r="D37" s="33"/>
      <c r="E37" s="33"/>
      <c r="F37" s="372"/>
      <c r="G37" s="372"/>
      <c r="H37" s="372"/>
      <c r="I37" s="372"/>
      <c r="J37" s="37"/>
      <c r="K37" s="37"/>
    </row>
    <row r="38" spans="2:11" x14ac:dyDescent="0.25">
      <c r="B38" s="37"/>
      <c r="C38" s="37"/>
      <c r="D38" s="37"/>
      <c r="E38" s="37"/>
      <c r="F38" s="37"/>
      <c r="G38" s="37"/>
      <c r="H38" s="37"/>
      <c r="I38" s="37"/>
      <c r="J38" s="37"/>
      <c r="K38" s="37"/>
    </row>
    <row r="39" spans="2:11" ht="27" customHeight="1" x14ac:dyDescent="0.25">
      <c r="B39" s="769"/>
      <c r="C39" s="769"/>
      <c r="D39" s="769"/>
      <c r="E39" s="769"/>
      <c r="F39" s="769"/>
      <c r="G39" s="769"/>
      <c r="H39" s="769"/>
      <c r="I39" s="769"/>
      <c r="J39" s="37"/>
      <c r="K39" s="37"/>
    </row>
    <row r="40" spans="2:11" ht="13" x14ac:dyDescent="0.3">
      <c r="B40" s="770"/>
      <c r="C40" s="770"/>
      <c r="D40" s="770"/>
      <c r="E40" s="15"/>
      <c r="F40" s="14"/>
      <c r="G40" s="14"/>
      <c r="H40" s="14"/>
      <c r="I40" s="36"/>
      <c r="J40" s="37"/>
      <c r="K40" s="37"/>
    </row>
    <row r="41" spans="2:11" x14ac:dyDescent="0.25">
      <c r="B41" s="38"/>
      <c r="C41" s="38"/>
      <c r="D41" s="37"/>
      <c r="E41" s="37"/>
      <c r="F41" s="369"/>
      <c r="G41" s="369"/>
      <c r="H41" s="369"/>
      <c r="I41" s="369"/>
      <c r="J41" s="37"/>
      <c r="K41" s="37"/>
    </row>
    <row r="42" spans="2:11" x14ac:dyDescent="0.25">
      <c r="B42" s="38"/>
      <c r="C42" s="38"/>
      <c r="D42" s="37"/>
      <c r="E42" s="37"/>
      <c r="F42" s="369"/>
      <c r="G42" s="369"/>
      <c r="H42" s="369"/>
      <c r="I42" s="369"/>
      <c r="J42" s="37"/>
      <c r="K42" s="37"/>
    </row>
    <row r="43" spans="2:11" x14ac:dyDescent="0.25">
      <c r="B43" s="38"/>
      <c r="C43" s="38"/>
      <c r="D43" s="37"/>
      <c r="E43" s="37"/>
      <c r="F43" s="369"/>
      <c r="G43" s="369"/>
      <c r="H43" s="369"/>
      <c r="I43" s="369"/>
      <c r="J43" s="37"/>
      <c r="K43" s="37"/>
    </row>
    <row r="44" spans="2:11" ht="13" x14ac:dyDescent="0.3">
      <c r="B44" s="770"/>
      <c r="C44" s="770"/>
      <c r="D44" s="770"/>
      <c r="E44" s="15"/>
      <c r="F44" s="14"/>
      <c r="G44" s="14"/>
      <c r="H44" s="14"/>
      <c r="I44" s="36"/>
      <c r="J44" s="37"/>
      <c r="K44" s="37"/>
    </row>
    <row r="45" spans="2:11" x14ac:dyDescent="0.25">
      <c r="B45" s="38"/>
      <c r="C45" s="38"/>
      <c r="D45" s="37"/>
      <c r="E45" s="37"/>
      <c r="F45" s="370"/>
      <c r="G45" s="370"/>
      <c r="H45" s="370"/>
      <c r="I45" s="370"/>
      <c r="J45" s="37"/>
      <c r="K45" s="37"/>
    </row>
    <row r="46" spans="2:11" x14ac:dyDescent="0.25">
      <c r="B46" s="38"/>
      <c r="C46" s="38"/>
      <c r="D46" s="37"/>
      <c r="E46" s="37"/>
      <c r="F46" s="370"/>
      <c r="G46" s="370"/>
      <c r="H46" s="370"/>
      <c r="I46" s="370"/>
      <c r="J46" s="37"/>
      <c r="K46" s="37"/>
    </row>
    <row r="47" spans="2:11" x14ac:dyDescent="0.25">
      <c r="B47" s="38"/>
      <c r="C47" s="38"/>
      <c r="D47" s="37"/>
      <c r="E47" s="37"/>
      <c r="F47" s="370"/>
      <c r="G47" s="370"/>
      <c r="H47" s="370"/>
      <c r="I47" s="370"/>
      <c r="J47" s="37"/>
      <c r="K47" s="37"/>
    </row>
    <row r="48" spans="2:11" x14ac:dyDescent="0.25">
      <c r="B48" s="38"/>
      <c r="C48" s="38"/>
      <c r="D48" s="37"/>
      <c r="E48" s="37"/>
      <c r="F48" s="370"/>
      <c r="G48" s="370"/>
      <c r="H48" s="370"/>
      <c r="I48" s="370"/>
      <c r="J48" s="37"/>
      <c r="K48" s="37"/>
    </row>
    <row r="49" spans="2:15" x14ac:dyDescent="0.25">
      <c r="B49" s="38"/>
      <c r="C49" s="38"/>
      <c r="D49" s="37"/>
      <c r="E49" s="37"/>
      <c r="F49" s="370"/>
      <c r="G49" s="370"/>
      <c r="H49" s="370"/>
      <c r="I49" s="370"/>
      <c r="J49" s="37"/>
      <c r="K49" s="37"/>
    </row>
    <row r="50" spans="2:15" ht="13" x14ac:dyDescent="0.3">
      <c r="B50" s="770"/>
      <c r="C50" s="770"/>
      <c r="D50" s="770"/>
      <c r="E50" s="15"/>
      <c r="F50" s="14"/>
      <c r="G50" s="14"/>
      <c r="H50" s="14"/>
      <c r="I50" s="36"/>
      <c r="J50" s="37"/>
      <c r="K50" s="37"/>
    </row>
    <row r="51" spans="2:15" s="373" customFormat="1" ht="33.65" customHeight="1" x14ac:dyDescent="0.35">
      <c r="B51" s="306" t="s">
        <v>403</v>
      </c>
      <c r="D51" s="374"/>
      <c r="E51" s="374"/>
      <c r="F51" s="374"/>
      <c r="G51" s="374"/>
      <c r="H51" s="374"/>
      <c r="I51" s="374"/>
      <c r="J51" s="374"/>
      <c r="K51" s="374"/>
      <c r="L51" s="374"/>
      <c r="M51" s="374"/>
      <c r="N51" s="374"/>
      <c r="O51" s="374"/>
    </row>
    <row r="52" spans="2:15" ht="13" thickBot="1" x14ac:dyDescent="0.3">
      <c r="B52" s="37"/>
      <c r="C52" s="37"/>
      <c r="D52" s="37"/>
      <c r="E52" s="37"/>
      <c r="F52" s="37"/>
      <c r="G52" s="37"/>
      <c r="H52" s="37"/>
      <c r="I52" s="37"/>
      <c r="J52" s="37"/>
      <c r="K52" s="37"/>
      <c r="L52" s="37"/>
      <c r="M52" s="37"/>
      <c r="N52" s="37"/>
      <c r="O52" s="37"/>
    </row>
    <row r="53" spans="2:15" ht="39" customHeight="1" x14ac:dyDescent="0.25">
      <c r="B53" s="797" t="s">
        <v>348</v>
      </c>
      <c r="C53" s="795" t="s">
        <v>350</v>
      </c>
      <c r="D53" s="795"/>
      <c r="E53" s="795" t="s">
        <v>637</v>
      </c>
      <c r="F53" s="795"/>
      <c r="G53" s="795" t="s">
        <v>697</v>
      </c>
      <c r="H53" s="796"/>
      <c r="I53" s="37"/>
      <c r="J53" s="37"/>
      <c r="K53" s="37"/>
      <c r="L53" s="37"/>
      <c r="M53" s="37"/>
      <c r="N53" s="37"/>
      <c r="O53" s="37"/>
    </row>
    <row r="54" spans="2:15" ht="13" x14ac:dyDescent="0.25">
      <c r="B54" s="798"/>
      <c r="C54" s="375" t="s">
        <v>351</v>
      </c>
      <c r="D54" s="375" t="s">
        <v>349</v>
      </c>
      <c r="E54" s="375" t="s">
        <v>351</v>
      </c>
      <c r="F54" s="375" t="s">
        <v>349</v>
      </c>
      <c r="G54" s="375" t="s">
        <v>695</v>
      </c>
      <c r="H54" s="454" t="s">
        <v>696</v>
      </c>
      <c r="I54" s="37"/>
      <c r="J54" s="37"/>
      <c r="K54" s="37"/>
      <c r="L54" s="37"/>
      <c r="M54" s="37"/>
      <c r="N54" s="37"/>
      <c r="O54" s="37"/>
    </row>
    <row r="55" spans="2:15" ht="24" customHeight="1" x14ac:dyDescent="0.25">
      <c r="B55" s="455" t="s">
        <v>328</v>
      </c>
      <c r="C55" s="377">
        <f>SUMIF($K$77:$K$144,B55,$I$77:$I$144)</f>
        <v>43.796400000000006</v>
      </c>
      <c r="D55" s="378">
        <f>C55/$C$63</f>
        <v>5.4622129093675816E-2</v>
      </c>
      <c r="E55" s="377">
        <f t="shared" ref="E55:E62" si="2">SUMIF($K$77:$K$144,B55,$J$77:$J$144)</f>
        <v>0</v>
      </c>
      <c r="F55" s="378">
        <f>E55/$E$63</f>
        <v>0</v>
      </c>
      <c r="G55" s="577">
        <f t="shared" ref="G55:G63" si="3">D55*$D$24</f>
        <v>8.1421031082446707E-2</v>
      </c>
      <c r="H55" s="381">
        <f>F55*$D$28</f>
        <v>0</v>
      </c>
      <c r="I55" s="37"/>
      <c r="J55" s="37"/>
      <c r="K55" s="37"/>
      <c r="L55" s="37"/>
      <c r="M55" s="37"/>
      <c r="N55" s="37"/>
      <c r="O55" s="37"/>
    </row>
    <row r="56" spans="2:15" ht="24" customHeight="1" x14ac:dyDescent="0.25">
      <c r="B56" s="455" t="s">
        <v>329</v>
      </c>
      <c r="C56" s="377">
        <f t="shared" ref="C56:C62" si="4">SUMIF($K$77:$K$144,B56,$I$77:$I$144)</f>
        <v>0</v>
      </c>
      <c r="D56" s="378">
        <f t="shared" ref="D56:D62" si="5">C56/$C$63</f>
        <v>0</v>
      </c>
      <c r="E56" s="377">
        <f t="shared" si="2"/>
        <v>0</v>
      </c>
      <c r="F56" s="378">
        <f t="shared" ref="F56:F62" si="6">E56/$E$63</f>
        <v>0</v>
      </c>
      <c r="G56" s="577">
        <f t="shared" si="3"/>
        <v>0</v>
      </c>
      <c r="H56" s="381">
        <f t="shared" ref="H56:H63" si="7">F56*$D$28</f>
        <v>0</v>
      </c>
      <c r="I56" s="37"/>
      <c r="J56" s="37"/>
      <c r="K56" s="37"/>
      <c r="L56" s="37"/>
      <c r="M56" s="37"/>
      <c r="N56" s="37"/>
      <c r="O56" s="37"/>
    </row>
    <row r="57" spans="2:15" ht="24" customHeight="1" x14ac:dyDescent="0.25">
      <c r="B57" s="455" t="s">
        <v>330</v>
      </c>
      <c r="C57" s="377">
        <f t="shared" si="4"/>
        <v>110.51089999999999</v>
      </c>
      <c r="D57" s="378">
        <f t="shared" si="5"/>
        <v>0.13782732475861709</v>
      </c>
      <c r="E57" s="377">
        <f t="shared" si="2"/>
        <v>0</v>
      </c>
      <c r="F57" s="378">
        <f t="shared" si="6"/>
        <v>0</v>
      </c>
      <c r="G57" s="577">
        <f t="shared" si="3"/>
        <v>0.2054486538585171</v>
      </c>
      <c r="H57" s="381">
        <f t="shared" si="7"/>
        <v>0</v>
      </c>
      <c r="I57" s="37"/>
      <c r="J57" s="37"/>
      <c r="K57" s="37"/>
      <c r="L57" s="37"/>
      <c r="M57" s="37"/>
      <c r="N57" s="37"/>
      <c r="O57" s="37"/>
    </row>
    <row r="58" spans="2:15" ht="24" customHeight="1" x14ac:dyDescent="0.25">
      <c r="B58" s="455" t="s">
        <v>338</v>
      </c>
      <c r="C58" s="377">
        <f>SUMIF($K$77:$K$144,B58,$I$77:$I$144)</f>
        <v>636.13089999999988</v>
      </c>
      <c r="D58" s="378">
        <f t="shared" si="5"/>
        <v>0.79337169585345302</v>
      </c>
      <c r="E58" s="377">
        <f t="shared" si="2"/>
        <v>0</v>
      </c>
      <c r="F58" s="378">
        <f t="shared" si="6"/>
        <v>0</v>
      </c>
      <c r="G58" s="577">
        <f t="shared" si="3"/>
        <v>1.1826185207324069</v>
      </c>
      <c r="H58" s="381">
        <f t="shared" si="7"/>
        <v>0</v>
      </c>
      <c r="I58" s="37"/>
      <c r="J58" s="37"/>
      <c r="K58" s="37"/>
      <c r="L58" s="37"/>
      <c r="M58" s="37"/>
      <c r="N58" s="37"/>
      <c r="O58" s="37"/>
    </row>
    <row r="59" spans="2:15" ht="24" customHeight="1" x14ac:dyDescent="0.25">
      <c r="B59" s="455" t="s">
        <v>337</v>
      </c>
      <c r="C59" s="377">
        <f t="shared" si="4"/>
        <v>5.0731999999999999</v>
      </c>
      <c r="D59" s="378">
        <f t="shared" si="5"/>
        <v>6.3272092071046046E-3</v>
      </c>
      <c r="E59" s="380">
        <f t="shared" si="2"/>
        <v>0.44359999999999999</v>
      </c>
      <c r="F59" s="378">
        <f t="shared" si="6"/>
        <v>1</v>
      </c>
      <c r="G59" s="577">
        <f t="shared" si="3"/>
        <v>9.4314869461295577E-3</v>
      </c>
      <c r="H59" s="576">
        <f>F59*$D$28</f>
        <v>8.2935470822259095E-4</v>
      </c>
      <c r="I59" s="37"/>
      <c r="J59" s="37"/>
      <c r="K59" s="37"/>
      <c r="L59" s="37"/>
      <c r="M59" s="37"/>
      <c r="N59" s="37"/>
      <c r="O59" s="37"/>
    </row>
    <row r="60" spans="2:15" ht="24" customHeight="1" x14ac:dyDescent="0.25">
      <c r="B60" s="455" t="s">
        <v>341</v>
      </c>
      <c r="C60" s="377">
        <f t="shared" si="4"/>
        <v>0</v>
      </c>
      <c r="D60" s="378">
        <f t="shared" si="5"/>
        <v>0</v>
      </c>
      <c r="E60" s="377">
        <f t="shared" si="2"/>
        <v>0</v>
      </c>
      <c r="F60" s="378">
        <f t="shared" si="6"/>
        <v>0</v>
      </c>
      <c r="G60" s="577">
        <f t="shared" si="3"/>
        <v>0</v>
      </c>
      <c r="H60" s="381">
        <f t="shared" si="7"/>
        <v>0</v>
      </c>
      <c r="I60" s="37"/>
      <c r="J60" s="37"/>
      <c r="K60" s="37"/>
      <c r="L60" s="37"/>
      <c r="M60" s="37"/>
      <c r="N60" s="37"/>
      <c r="O60" s="37"/>
    </row>
    <row r="61" spans="2:15" ht="24" customHeight="1" x14ac:dyDescent="0.25">
      <c r="B61" s="455" t="s">
        <v>340</v>
      </c>
      <c r="C61" s="377">
        <f t="shared" si="4"/>
        <v>0</v>
      </c>
      <c r="D61" s="378">
        <f t="shared" si="5"/>
        <v>0</v>
      </c>
      <c r="E61" s="377">
        <f t="shared" si="2"/>
        <v>0</v>
      </c>
      <c r="F61" s="378">
        <f t="shared" si="6"/>
        <v>0</v>
      </c>
      <c r="G61" s="577">
        <f t="shared" si="3"/>
        <v>0</v>
      </c>
      <c r="H61" s="381">
        <f t="shared" si="7"/>
        <v>0</v>
      </c>
      <c r="I61" s="37"/>
      <c r="J61" s="37"/>
      <c r="K61" s="37"/>
      <c r="L61" s="37"/>
      <c r="M61" s="37"/>
      <c r="N61" s="37"/>
      <c r="O61" s="37"/>
    </row>
    <row r="62" spans="2:15" ht="24" customHeight="1" x14ac:dyDescent="0.25">
      <c r="B62" s="455" t="s">
        <v>339</v>
      </c>
      <c r="C62" s="377">
        <f t="shared" si="4"/>
        <v>6.2954999999999997</v>
      </c>
      <c r="D62" s="378">
        <f t="shared" si="5"/>
        <v>7.8516410871495388E-3</v>
      </c>
      <c r="E62" s="377">
        <f t="shared" si="2"/>
        <v>0</v>
      </c>
      <c r="F62" s="378">
        <f t="shared" si="6"/>
        <v>0</v>
      </c>
      <c r="G62" s="577">
        <f t="shared" si="3"/>
        <v>1.1703840981896758E-2</v>
      </c>
      <c r="H62" s="381">
        <f t="shared" si="7"/>
        <v>0</v>
      </c>
      <c r="I62" s="37"/>
      <c r="J62" s="37"/>
      <c r="K62" s="37"/>
      <c r="L62" s="37"/>
      <c r="M62" s="37"/>
      <c r="N62" s="37"/>
      <c r="O62" s="37"/>
    </row>
    <row r="63" spans="2:15" ht="24" customHeight="1" thickBot="1" x14ac:dyDescent="0.35">
      <c r="B63" s="457" t="s">
        <v>344</v>
      </c>
      <c r="C63" s="458">
        <f>SUM(C55:C62)</f>
        <v>801.80689999999981</v>
      </c>
      <c r="D63" s="553">
        <f>SUM(D55:D62)</f>
        <v>1</v>
      </c>
      <c r="E63" s="459">
        <f>SUM(E55:E62)</f>
        <v>0.44359999999999999</v>
      </c>
      <c r="F63" s="553">
        <f>SUM(F55:F62)</f>
        <v>1</v>
      </c>
      <c r="G63" s="578">
        <f t="shared" si="3"/>
        <v>1.4906235336013969</v>
      </c>
      <c r="H63" s="381">
        <f t="shared" si="7"/>
        <v>8.2935470822259095E-4</v>
      </c>
      <c r="I63" s="37"/>
      <c r="J63" s="37"/>
      <c r="K63" s="37"/>
      <c r="L63" s="37"/>
      <c r="M63" s="37"/>
      <c r="N63" s="37"/>
      <c r="O63" s="37"/>
    </row>
    <row r="64" spans="2:15" ht="39" customHeight="1" x14ac:dyDescent="0.25">
      <c r="B64" s="37"/>
      <c r="C64" s="37"/>
      <c r="E64" s="37"/>
      <c r="F64" s="37"/>
      <c r="G64" s="37"/>
      <c r="H64" s="37"/>
      <c r="I64" s="37"/>
      <c r="J64" s="37"/>
      <c r="K64" s="37"/>
      <c r="L64" s="37"/>
      <c r="M64" s="37"/>
      <c r="N64" s="37"/>
      <c r="O64" s="37"/>
    </row>
    <row r="65" spans="1:15" ht="39" customHeight="1" x14ac:dyDescent="0.25">
      <c r="B65" s="37"/>
      <c r="C65" s="37"/>
      <c r="E65" s="37"/>
      <c r="F65" s="37"/>
      <c r="G65" s="37"/>
      <c r="H65" s="37"/>
      <c r="I65" s="37"/>
      <c r="J65" s="37"/>
      <c r="K65" s="37"/>
      <c r="L65" s="37"/>
      <c r="M65" s="37"/>
      <c r="N65" s="37"/>
      <c r="O65" s="37"/>
    </row>
    <row r="66" spans="1:15" ht="39" customHeight="1" x14ac:dyDescent="0.25">
      <c r="B66" s="37"/>
      <c r="C66" s="37"/>
      <c r="E66" s="37"/>
      <c r="F66" s="37"/>
      <c r="G66" s="37"/>
      <c r="H66" s="37"/>
      <c r="I66" s="37"/>
      <c r="J66" s="37"/>
      <c r="K66" s="37"/>
      <c r="L66" s="37"/>
      <c r="M66" s="37"/>
      <c r="N66" s="37"/>
      <c r="O66" s="37"/>
    </row>
    <row r="67" spans="1:15" ht="39" customHeight="1" x14ac:dyDescent="0.25">
      <c r="B67" s="37"/>
      <c r="C67" s="37"/>
      <c r="E67" s="37"/>
      <c r="F67" s="37"/>
      <c r="G67" s="37"/>
      <c r="H67" s="37"/>
      <c r="I67" s="37"/>
      <c r="J67" s="37"/>
      <c r="K67" s="37"/>
      <c r="L67" s="37"/>
      <c r="M67" s="37"/>
      <c r="N67" s="37"/>
      <c r="O67" s="37"/>
    </row>
    <row r="68" spans="1:15" ht="39" customHeight="1" x14ac:dyDescent="0.25">
      <c r="B68" s="37"/>
      <c r="C68" s="37"/>
      <c r="E68" s="37"/>
      <c r="F68" s="37"/>
      <c r="G68" s="37"/>
      <c r="H68" s="37"/>
      <c r="I68" s="37"/>
      <c r="J68" s="37"/>
      <c r="K68" s="37"/>
      <c r="L68" s="37"/>
      <c r="M68" s="37"/>
      <c r="N68" s="37"/>
      <c r="O68" s="37"/>
    </row>
    <row r="69" spans="1:15" ht="39" customHeight="1" x14ac:dyDescent="0.25">
      <c r="B69" s="37"/>
      <c r="C69" s="37"/>
      <c r="E69" s="37"/>
      <c r="F69" s="37"/>
      <c r="G69" s="37"/>
      <c r="H69" s="37"/>
      <c r="I69" s="37"/>
      <c r="J69" s="37"/>
      <c r="K69" s="37"/>
      <c r="L69" s="37"/>
      <c r="M69" s="37"/>
      <c r="N69" s="37"/>
      <c r="O69" s="37"/>
    </row>
    <row r="70" spans="1:15" ht="39" customHeight="1" x14ac:dyDescent="0.25">
      <c r="B70" s="37"/>
      <c r="C70" s="37"/>
      <c r="E70" s="37"/>
      <c r="F70" s="37"/>
      <c r="G70" s="37"/>
      <c r="H70" s="37"/>
      <c r="I70" s="37"/>
      <c r="J70" s="37"/>
      <c r="K70" s="37"/>
      <c r="L70" s="37"/>
      <c r="M70" s="37"/>
      <c r="N70" s="37"/>
      <c r="O70" s="37"/>
    </row>
    <row r="71" spans="1:15" ht="39" customHeight="1" x14ac:dyDescent="0.25">
      <c r="B71" s="37"/>
      <c r="C71" s="37"/>
      <c r="E71" s="37"/>
      <c r="F71" s="37"/>
      <c r="G71" s="37"/>
      <c r="H71" s="37"/>
      <c r="I71" s="37"/>
      <c r="J71" s="37"/>
      <c r="K71" s="37"/>
      <c r="L71" s="37"/>
      <c r="M71" s="37"/>
      <c r="N71" s="37"/>
      <c r="O71" s="37"/>
    </row>
    <row r="72" spans="1:15" ht="39" customHeight="1" x14ac:dyDescent="0.25">
      <c r="B72" s="37"/>
      <c r="C72" s="37"/>
      <c r="E72" s="37"/>
      <c r="F72" s="37"/>
      <c r="G72" s="37"/>
      <c r="H72" s="37"/>
      <c r="I72" s="37"/>
      <c r="J72" s="37"/>
      <c r="K72" s="37"/>
      <c r="L72" s="37"/>
      <c r="M72" s="37"/>
      <c r="N72" s="37"/>
      <c r="O72" s="37"/>
    </row>
    <row r="73" spans="1:15" s="383" customFormat="1" ht="34.5" customHeight="1" x14ac:dyDescent="0.35">
      <c r="A73" s="382"/>
      <c r="B73" s="306" t="s">
        <v>461</v>
      </c>
      <c r="D73" s="384"/>
      <c r="E73" s="384"/>
      <c r="F73" s="384"/>
      <c r="G73" s="384"/>
      <c r="H73" s="384"/>
      <c r="I73" s="384"/>
      <c r="J73" s="384"/>
      <c r="K73" s="384"/>
      <c r="L73" s="384"/>
      <c r="M73" s="384"/>
    </row>
    <row r="74" spans="1:15" s="387" customFormat="1" ht="19.5" customHeight="1" x14ac:dyDescent="0.35">
      <c r="A74" s="385"/>
      <c r="B74" s="386" t="s">
        <v>462</v>
      </c>
      <c r="D74" s="388"/>
      <c r="E74" s="388"/>
      <c r="F74" s="388"/>
      <c r="G74" s="388"/>
      <c r="H74" s="388"/>
      <c r="I74" s="388"/>
      <c r="J74" s="388"/>
      <c r="K74" s="388"/>
      <c r="L74" s="388"/>
      <c r="M74" s="388"/>
    </row>
    <row r="75" spans="1:15" ht="29.15" customHeight="1" thickBot="1" x14ac:dyDescent="0.3">
      <c r="B75" s="38"/>
      <c r="C75" s="38"/>
      <c r="D75" s="37"/>
      <c r="E75" s="37"/>
      <c r="F75" s="371"/>
      <c r="G75" s="371"/>
      <c r="H75" s="371"/>
      <c r="I75" s="371"/>
      <c r="J75" s="37"/>
      <c r="K75" s="37"/>
    </row>
    <row r="76" spans="1:15" ht="26" x14ac:dyDescent="0.25">
      <c r="B76" s="493" t="s">
        <v>137</v>
      </c>
      <c r="C76" s="494" t="s">
        <v>320</v>
      </c>
      <c r="D76" s="494" t="s">
        <v>321</v>
      </c>
      <c r="E76" s="494" t="s">
        <v>322</v>
      </c>
      <c r="F76" s="494" t="s">
        <v>323</v>
      </c>
      <c r="G76" s="494" t="s">
        <v>10</v>
      </c>
      <c r="H76" s="494" t="s">
        <v>324</v>
      </c>
      <c r="I76" s="494" t="s">
        <v>325</v>
      </c>
      <c r="J76" s="494" t="s">
        <v>326</v>
      </c>
      <c r="K76" s="495" t="s">
        <v>327</v>
      </c>
    </row>
    <row r="77" spans="1:15" ht="25" x14ac:dyDescent="0.25">
      <c r="B77" s="793" t="s">
        <v>353</v>
      </c>
      <c r="C77" s="390" t="s">
        <v>148</v>
      </c>
      <c r="D77" s="390" t="s">
        <v>167</v>
      </c>
      <c r="E77" s="390" t="s">
        <v>168</v>
      </c>
      <c r="F77" s="390">
        <v>100</v>
      </c>
      <c r="G77" s="390" t="s">
        <v>25</v>
      </c>
      <c r="H77" s="391"/>
      <c r="I77" s="390">
        <v>1.0342</v>
      </c>
      <c r="J77" s="376"/>
      <c r="K77" s="496" t="s">
        <v>339</v>
      </c>
    </row>
    <row r="78" spans="1:15" x14ac:dyDescent="0.25">
      <c r="B78" s="793"/>
      <c r="C78" s="390" t="s">
        <v>149</v>
      </c>
      <c r="D78" s="390" t="s">
        <v>169</v>
      </c>
      <c r="E78" s="390" t="s">
        <v>170</v>
      </c>
      <c r="F78" s="390">
        <v>2379</v>
      </c>
      <c r="G78" s="390" t="s">
        <v>171</v>
      </c>
      <c r="H78" s="391"/>
      <c r="I78" s="390">
        <v>9.3971999999999998</v>
      </c>
      <c r="J78" s="376"/>
      <c r="K78" s="496" t="s">
        <v>328</v>
      </c>
    </row>
    <row r="79" spans="1:15" ht="27" customHeight="1" x14ac:dyDescent="0.25">
      <c r="B79" s="793"/>
      <c r="C79" s="390" t="s">
        <v>148</v>
      </c>
      <c r="D79" s="390" t="s">
        <v>354</v>
      </c>
      <c r="E79" s="390" t="s">
        <v>355</v>
      </c>
      <c r="F79" s="390">
        <v>155</v>
      </c>
      <c r="G79" s="390" t="s">
        <v>171</v>
      </c>
      <c r="H79" s="391"/>
      <c r="I79" s="390">
        <v>2.0192000000000001</v>
      </c>
      <c r="J79" s="376"/>
      <c r="K79" s="496" t="s">
        <v>328</v>
      </c>
    </row>
    <row r="80" spans="1:15" ht="25" x14ac:dyDescent="0.25">
      <c r="B80" s="793"/>
      <c r="C80" s="390" t="s">
        <v>151</v>
      </c>
      <c r="D80" s="390" t="s">
        <v>189</v>
      </c>
      <c r="E80" s="390" t="s">
        <v>747</v>
      </c>
      <c r="F80" s="390">
        <v>286</v>
      </c>
      <c r="G80" s="390" t="s">
        <v>187</v>
      </c>
      <c r="H80" s="391"/>
      <c r="I80" s="390">
        <v>0.1157</v>
      </c>
      <c r="J80" s="376"/>
      <c r="K80" s="496" t="s">
        <v>339</v>
      </c>
    </row>
    <row r="81" spans="2:15" ht="25" x14ac:dyDescent="0.25">
      <c r="B81" s="793"/>
      <c r="C81" s="390" t="s">
        <v>157</v>
      </c>
      <c r="D81" s="390" t="s">
        <v>172</v>
      </c>
      <c r="E81" s="390" t="s">
        <v>173</v>
      </c>
      <c r="F81" s="390">
        <v>19</v>
      </c>
      <c r="G81" s="390" t="s">
        <v>171</v>
      </c>
      <c r="H81" s="391"/>
      <c r="I81" s="390">
        <v>4.8551000000000002</v>
      </c>
      <c r="J81" s="376"/>
      <c r="K81" s="496" t="s">
        <v>338</v>
      </c>
    </row>
    <row r="82" spans="2:15" ht="25" x14ac:dyDescent="0.25">
      <c r="B82" s="793"/>
      <c r="C82" s="390" t="s">
        <v>157</v>
      </c>
      <c r="D82" s="390" t="s">
        <v>172</v>
      </c>
      <c r="E82" s="390" t="s">
        <v>174</v>
      </c>
      <c r="F82" s="390">
        <v>447</v>
      </c>
      <c r="G82" s="390" t="s">
        <v>171</v>
      </c>
      <c r="H82" s="391"/>
      <c r="I82" s="390">
        <v>117.5817</v>
      </c>
      <c r="J82" s="376"/>
      <c r="K82" s="496" t="s">
        <v>338</v>
      </c>
    </row>
    <row r="83" spans="2:15" ht="25" x14ac:dyDescent="0.25">
      <c r="B83" s="793"/>
      <c r="C83" s="390" t="s">
        <v>157</v>
      </c>
      <c r="D83" s="390" t="s">
        <v>172</v>
      </c>
      <c r="E83" s="390" t="s">
        <v>174</v>
      </c>
      <c r="F83" s="390">
        <v>6</v>
      </c>
      <c r="G83" s="390" t="s">
        <v>171</v>
      </c>
      <c r="H83" s="391"/>
      <c r="I83" s="390">
        <v>1.5783</v>
      </c>
      <c r="J83" s="392"/>
      <c r="K83" s="496" t="s">
        <v>338</v>
      </c>
    </row>
    <row r="84" spans="2:15" ht="25" x14ac:dyDescent="0.25">
      <c r="B84" s="793"/>
      <c r="C84" s="390" t="s">
        <v>157</v>
      </c>
      <c r="D84" s="390" t="s">
        <v>172</v>
      </c>
      <c r="E84" s="390" t="s">
        <v>174</v>
      </c>
      <c r="F84" s="390">
        <v>24</v>
      </c>
      <c r="G84" s="390" t="s">
        <v>171</v>
      </c>
      <c r="H84" s="391"/>
      <c r="I84" s="390">
        <v>6.3131000000000004</v>
      </c>
      <c r="J84" s="392"/>
      <c r="K84" s="496" t="s">
        <v>338</v>
      </c>
    </row>
    <row r="85" spans="2:15" s="393" customFormat="1" ht="25" customHeight="1" x14ac:dyDescent="0.25">
      <c r="B85" s="793"/>
      <c r="C85" s="390" t="s">
        <v>157</v>
      </c>
      <c r="D85" s="390" t="s">
        <v>172</v>
      </c>
      <c r="E85" s="390" t="s">
        <v>271</v>
      </c>
      <c r="F85" s="390">
        <v>47</v>
      </c>
      <c r="G85" s="390" t="s">
        <v>175</v>
      </c>
      <c r="H85" s="391"/>
      <c r="I85" s="390">
        <v>163.44659999999999</v>
      </c>
      <c r="J85" s="394"/>
      <c r="K85" s="496" t="s">
        <v>338</v>
      </c>
      <c r="M85" s="300"/>
      <c r="N85" s="300"/>
    </row>
    <row r="86" spans="2:15" ht="25" x14ac:dyDescent="0.25">
      <c r="B86" s="793"/>
      <c r="C86" s="392" t="s">
        <v>157</v>
      </c>
      <c r="D86" s="392" t="s">
        <v>176</v>
      </c>
      <c r="E86" s="392" t="s">
        <v>177</v>
      </c>
      <c r="F86" s="392">
        <v>79</v>
      </c>
      <c r="G86" s="392" t="s">
        <v>178</v>
      </c>
      <c r="H86" s="395"/>
      <c r="I86" s="392">
        <v>47.658799999999999</v>
      </c>
      <c r="J86" s="392"/>
      <c r="K86" s="496" t="s">
        <v>330</v>
      </c>
    </row>
    <row r="87" spans="2:15" ht="37.5" x14ac:dyDescent="0.25">
      <c r="B87" s="793"/>
      <c r="C87" s="392" t="s">
        <v>148</v>
      </c>
      <c r="D87" s="392" t="s">
        <v>180</v>
      </c>
      <c r="E87" s="392" t="s">
        <v>181</v>
      </c>
      <c r="F87" s="392">
        <v>3</v>
      </c>
      <c r="G87" s="392" t="s">
        <v>175</v>
      </c>
      <c r="H87" s="395"/>
      <c r="I87" s="392">
        <v>1.6220000000000001</v>
      </c>
      <c r="J87" s="392"/>
      <c r="K87" s="496" t="s">
        <v>338</v>
      </c>
    </row>
    <row r="88" spans="2:15" ht="25" x14ac:dyDescent="0.25">
      <c r="B88" s="793"/>
      <c r="C88" s="392" t="s">
        <v>148</v>
      </c>
      <c r="D88" s="392" t="s">
        <v>180</v>
      </c>
      <c r="E88" s="392" t="s">
        <v>188</v>
      </c>
      <c r="F88" s="392">
        <v>2</v>
      </c>
      <c r="G88" s="392" t="s">
        <v>175</v>
      </c>
      <c r="H88" s="395"/>
      <c r="I88" s="392">
        <v>5.0179999999999998</v>
      </c>
      <c r="J88" s="392"/>
      <c r="K88" s="496" t="s">
        <v>338</v>
      </c>
    </row>
    <row r="89" spans="2:15" ht="25" x14ac:dyDescent="0.25">
      <c r="B89" s="793"/>
      <c r="C89" s="392" t="s">
        <v>152</v>
      </c>
      <c r="D89" s="392" t="s">
        <v>185</v>
      </c>
      <c r="E89" s="392" t="s">
        <v>186</v>
      </c>
      <c r="F89" s="392">
        <v>610</v>
      </c>
      <c r="G89" s="392" t="s">
        <v>187</v>
      </c>
      <c r="H89" s="395"/>
      <c r="I89" s="392">
        <v>0.31719999999999998</v>
      </c>
      <c r="J89" s="392"/>
      <c r="K89" s="496" t="s">
        <v>339</v>
      </c>
    </row>
    <row r="90" spans="2:15" ht="25" x14ac:dyDescent="0.25">
      <c r="B90" s="793"/>
      <c r="C90" s="392" t="s">
        <v>152</v>
      </c>
      <c r="D90" s="392" t="s">
        <v>185</v>
      </c>
      <c r="E90" s="392" t="s">
        <v>186</v>
      </c>
      <c r="F90" s="392">
        <v>146</v>
      </c>
      <c r="G90" s="392" t="s">
        <v>187</v>
      </c>
      <c r="H90" s="395"/>
      <c r="I90" s="392">
        <v>7.5899999999999995E-2</v>
      </c>
      <c r="J90" s="392"/>
      <c r="K90" s="496" t="s">
        <v>339</v>
      </c>
    </row>
    <row r="91" spans="2:15" ht="25" x14ac:dyDescent="0.25">
      <c r="B91" s="793"/>
      <c r="C91" s="392" t="s">
        <v>161</v>
      </c>
      <c r="D91" s="392" t="s">
        <v>190</v>
      </c>
      <c r="E91" s="392" t="s">
        <v>193</v>
      </c>
      <c r="F91" s="392">
        <v>1439</v>
      </c>
      <c r="G91" s="392" t="s">
        <v>192</v>
      </c>
      <c r="H91" s="395">
        <v>0.12</v>
      </c>
      <c r="I91" s="392">
        <v>0.98</v>
      </c>
      <c r="J91" s="392">
        <v>0.1176</v>
      </c>
      <c r="K91" s="496" t="s">
        <v>337</v>
      </c>
    </row>
    <row r="92" spans="2:15" ht="25" x14ac:dyDescent="0.25">
      <c r="B92" s="793"/>
      <c r="C92" s="392" t="s">
        <v>161</v>
      </c>
      <c r="D92" s="392" t="s">
        <v>190</v>
      </c>
      <c r="E92" s="392" t="s">
        <v>191</v>
      </c>
      <c r="F92" s="392">
        <v>1388</v>
      </c>
      <c r="G92" s="392" t="s">
        <v>192</v>
      </c>
      <c r="H92" s="395"/>
      <c r="I92" s="392">
        <v>0.36499999999999999</v>
      </c>
      <c r="J92" s="392"/>
      <c r="K92" s="496" t="s">
        <v>337</v>
      </c>
    </row>
    <row r="93" spans="2:15" ht="14" x14ac:dyDescent="0.3">
      <c r="B93" s="504" t="s">
        <v>344</v>
      </c>
      <c r="C93" s="428"/>
      <c r="D93" s="428"/>
      <c r="E93" s="428"/>
      <c r="F93" s="428"/>
      <c r="G93" s="428"/>
      <c r="H93" s="490"/>
      <c r="I93" s="491">
        <f>SUM(I77:I92)</f>
        <v>362.37799999999999</v>
      </c>
      <c r="J93" s="491">
        <f>SUM(J77:J92)</f>
        <v>0.1176</v>
      </c>
      <c r="K93" s="497" t="s">
        <v>90</v>
      </c>
      <c r="M93" s="366"/>
      <c r="N93" s="366"/>
      <c r="O93" s="366"/>
    </row>
    <row r="94" spans="2:15" ht="25" x14ac:dyDescent="0.25">
      <c r="B94" s="793" t="s">
        <v>284</v>
      </c>
      <c r="C94" s="390" t="s">
        <v>148</v>
      </c>
      <c r="D94" s="390" t="s">
        <v>167</v>
      </c>
      <c r="E94" s="390" t="s">
        <v>168</v>
      </c>
      <c r="F94" s="390">
        <v>120</v>
      </c>
      <c r="G94" s="390" t="s">
        <v>25</v>
      </c>
      <c r="H94" s="391"/>
      <c r="I94" s="390">
        <v>1.2410000000000001</v>
      </c>
      <c r="J94" s="390"/>
      <c r="K94" s="496" t="s">
        <v>339</v>
      </c>
    </row>
    <row r="95" spans="2:15" x14ac:dyDescent="0.25">
      <c r="B95" s="793"/>
      <c r="C95" s="390" t="s">
        <v>149</v>
      </c>
      <c r="D95" s="390" t="s">
        <v>169</v>
      </c>
      <c r="E95" s="390" t="s">
        <v>170</v>
      </c>
      <c r="F95" s="390">
        <v>3836</v>
      </c>
      <c r="G95" s="390" t="s">
        <v>171</v>
      </c>
      <c r="H95" s="391"/>
      <c r="I95" s="390">
        <v>15.1524</v>
      </c>
      <c r="J95" s="390"/>
      <c r="K95" s="496" t="s">
        <v>328</v>
      </c>
    </row>
    <row r="96" spans="2:15" ht="25" x14ac:dyDescent="0.25">
      <c r="B96" s="793"/>
      <c r="C96" s="390" t="s">
        <v>148</v>
      </c>
      <c r="D96" s="390" t="s">
        <v>354</v>
      </c>
      <c r="E96" s="390" t="s">
        <v>355</v>
      </c>
      <c r="F96" s="390">
        <v>122</v>
      </c>
      <c r="G96" s="390" t="s">
        <v>171</v>
      </c>
      <c r="H96" s="391"/>
      <c r="I96" s="390">
        <v>1.5892999999999999</v>
      </c>
      <c r="J96" s="390"/>
      <c r="K96" s="496" t="s">
        <v>328</v>
      </c>
    </row>
    <row r="97" spans="2:15" ht="25" x14ac:dyDescent="0.25">
      <c r="B97" s="793"/>
      <c r="C97" s="390" t="s">
        <v>151</v>
      </c>
      <c r="D97" s="390" t="s">
        <v>189</v>
      </c>
      <c r="E97" s="390" t="s">
        <v>747</v>
      </c>
      <c r="F97" s="390">
        <v>730</v>
      </c>
      <c r="G97" s="390" t="s">
        <v>187</v>
      </c>
      <c r="H97" s="391"/>
      <c r="I97" s="390">
        <v>0.29530000000000001</v>
      </c>
      <c r="J97" s="390"/>
      <c r="K97" s="496" t="s">
        <v>339</v>
      </c>
    </row>
    <row r="98" spans="2:15" ht="25" x14ac:dyDescent="0.25">
      <c r="B98" s="793"/>
      <c r="C98" s="390" t="s">
        <v>157</v>
      </c>
      <c r="D98" s="390" t="s">
        <v>172</v>
      </c>
      <c r="E98" s="390" t="s">
        <v>173</v>
      </c>
      <c r="F98" s="390">
        <v>28</v>
      </c>
      <c r="G98" s="390" t="s">
        <v>171</v>
      </c>
      <c r="H98" s="391"/>
      <c r="I98" s="390">
        <v>7.1548999999999996</v>
      </c>
      <c r="J98" s="390"/>
      <c r="K98" s="496" t="s">
        <v>338</v>
      </c>
    </row>
    <row r="99" spans="2:15" ht="25" x14ac:dyDescent="0.25">
      <c r="B99" s="793"/>
      <c r="C99" s="390" t="s">
        <v>157</v>
      </c>
      <c r="D99" s="390" t="s">
        <v>172</v>
      </c>
      <c r="E99" s="390" t="s">
        <v>174</v>
      </c>
      <c r="F99" s="390">
        <v>212</v>
      </c>
      <c r="G99" s="390" t="s">
        <v>171</v>
      </c>
      <c r="H99" s="391"/>
      <c r="I99" s="390">
        <v>55.765799999999999</v>
      </c>
      <c r="J99" s="390"/>
      <c r="K99" s="496" t="s">
        <v>338</v>
      </c>
    </row>
    <row r="100" spans="2:15" ht="25" x14ac:dyDescent="0.25">
      <c r="B100" s="793"/>
      <c r="C100" s="390" t="s">
        <v>157</v>
      </c>
      <c r="D100" s="390" t="s">
        <v>172</v>
      </c>
      <c r="E100" s="390" t="s">
        <v>174</v>
      </c>
      <c r="F100" s="390">
        <v>447</v>
      </c>
      <c r="G100" s="390" t="s">
        <v>171</v>
      </c>
      <c r="H100" s="391"/>
      <c r="I100" s="390">
        <v>117.5817</v>
      </c>
      <c r="J100" s="390"/>
      <c r="K100" s="496" t="s">
        <v>338</v>
      </c>
    </row>
    <row r="101" spans="2:15" ht="25" x14ac:dyDescent="0.25">
      <c r="B101" s="793"/>
      <c r="C101" s="390" t="s">
        <v>157</v>
      </c>
      <c r="D101" s="390" t="s">
        <v>172</v>
      </c>
      <c r="E101" s="390" t="s">
        <v>174</v>
      </c>
      <c r="F101" s="390">
        <v>3</v>
      </c>
      <c r="G101" s="390" t="s">
        <v>171</v>
      </c>
      <c r="H101" s="391"/>
      <c r="I101" s="390">
        <v>0.78910000000000002</v>
      </c>
      <c r="J101" s="390"/>
      <c r="K101" s="496" t="s">
        <v>338</v>
      </c>
    </row>
    <row r="102" spans="2:15" ht="25" x14ac:dyDescent="0.25">
      <c r="B102" s="793"/>
      <c r="C102" s="390" t="s">
        <v>157</v>
      </c>
      <c r="D102" s="390" t="s">
        <v>172</v>
      </c>
      <c r="E102" s="390" t="s">
        <v>174</v>
      </c>
      <c r="F102" s="390">
        <v>26</v>
      </c>
      <c r="G102" s="390" t="s">
        <v>171</v>
      </c>
      <c r="H102" s="391"/>
      <c r="I102" s="390">
        <v>6.8391999999999999</v>
      </c>
      <c r="J102" s="390"/>
      <c r="K102" s="496" t="s">
        <v>338</v>
      </c>
    </row>
    <row r="103" spans="2:15" ht="25" x14ac:dyDescent="0.25">
      <c r="B103" s="793"/>
      <c r="C103" s="390" t="s">
        <v>161</v>
      </c>
      <c r="D103" s="390" t="s">
        <v>190</v>
      </c>
      <c r="E103" s="390" t="s">
        <v>193</v>
      </c>
      <c r="F103" s="390">
        <v>3200</v>
      </c>
      <c r="G103" s="390" t="s">
        <v>192</v>
      </c>
      <c r="H103" s="391">
        <v>0.12</v>
      </c>
      <c r="I103" s="390">
        <v>2.1791999999999998</v>
      </c>
      <c r="J103" s="390">
        <v>0.26150000000000001</v>
      </c>
      <c r="K103" s="496" t="s">
        <v>337</v>
      </c>
    </row>
    <row r="104" spans="2:15" ht="25" x14ac:dyDescent="0.25">
      <c r="B104" s="793"/>
      <c r="C104" s="390" t="s">
        <v>161</v>
      </c>
      <c r="D104" s="390" t="s">
        <v>190</v>
      </c>
      <c r="E104" s="390" t="s">
        <v>191</v>
      </c>
      <c r="F104" s="390">
        <v>3086</v>
      </c>
      <c r="G104" s="390" t="s">
        <v>192</v>
      </c>
      <c r="H104" s="391"/>
      <c r="I104" s="390">
        <v>0.81159999999999999</v>
      </c>
      <c r="J104" s="390"/>
      <c r="K104" s="496" t="s">
        <v>337</v>
      </c>
    </row>
    <row r="105" spans="2:15" ht="25" x14ac:dyDescent="0.25">
      <c r="B105" s="793"/>
      <c r="C105" s="390" t="s">
        <v>157</v>
      </c>
      <c r="D105" s="390" t="s">
        <v>176</v>
      </c>
      <c r="E105" s="390" t="s">
        <v>177</v>
      </c>
      <c r="F105" s="390">
        <v>76</v>
      </c>
      <c r="G105" s="390" t="s">
        <v>178</v>
      </c>
      <c r="H105" s="391"/>
      <c r="I105" s="390">
        <v>45.848999999999997</v>
      </c>
      <c r="J105" s="390"/>
      <c r="K105" s="496" t="s">
        <v>330</v>
      </c>
    </row>
    <row r="106" spans="2:15" ht="37.5" x14ac:dyDescent="0.25">
      <c r="B106" s="793"/>
      <c r="C106" s="390" t="s">
        <v>148</v>
      </c>
      <c r="D106" s="390" t="s">
        <v>180</v>
      </c>
      <c r="E106" s="390" t="s">
        <v>181</v>
      </c>
      <c r="F106" s="390">
        <v>2</v>
      </c>
      <c r="G106" s="390" t="s">
        <v>175</v>
      </c>
      <c r="H106" s="391"/>
      <c r="I106" s="390">
        <v>1.0812999999999999</v>
      </c>
      <c r="J106" s="390"/>
      <c r="K106" s="496" t="s">
        <v>338</v>
      </c>
    </row>
    <row r="107" spans="2:15" ht="25" x14ac:dyDescent="0.25">
      <c r="B107" s="793"/>
      <c r="C107" s="390" t="s">
        <v>152</v>
      </c>
      <c r="D107" s="390" t="s">
        <v>185</v>
      </c>
      <c r="E107" s="390" t="s">
        <v>186</v>
      </c>
      <c r="F107" s="390">
        <v>172</v>
      </c>
      <c r="G107" s="390" t="s">
        <v>187</v>
      </c>
      <c r="H107" s="391"/>
      <c r="I107" s="390">
        <v>8.9399999999999993E-2</v>
      </c>
      <c r="J107" s="390"/>
      <c r="K107" s="496" t="s">
        <v>339</v>
      </c>
    </row>
    <row r="108" spans="2:15" ht="25" x14ac:dyDescent="0.25">
      <c r="B108" s="793"/>
      <c r="C108" s="390" t="s">
        <v>152</v>
      </c>
      <c r="D108" s="390" t="s">
        <v>185</v>
      </c>
      <c r="E108" s="390" t="s">
        <v>186</v>
      </c>
      <c r="F108" s="390">
        <v>758</v>
      </c>
      <c r="G108" s="390" t="s">
        <v>187</v>
      </c>
      <c r="H108" s="391"/>
      <c r="I108" s="390">
        <v>0.39419999999999999</v>
      </c>
      <c r="J108" s="390"/>
      <c r="K108" s="496" t="s">
        <v>339</v>
      </c>
    </row>
    <row r="109" spans="2:15" ht="25" x14ac:dyDescent="0.25">
      <c r="B109" s="793"/>
      <c r="C109" s="390" t="s">
        <v>146</v>
      </c>
      <c r="D109" s="390" t="s">
        <v>195</v>
      </c>
      <c r="E109" s="390" t="s">
        <v>196</v>
      </c>
      <c r="F109" s="390">
        <v>49</v>
      </c>
      <c r="G109" s="390" t="s">
        <v>25</v>
      </c>
      <c r="H109" s="391"/>
      <c r="I109" s="390">
        <v>0.51659999999999995</v>
      </c>
      <c r="J109" s="390"/>
      <c r="K109" s="496" t="s">
        <v>330</v>
      </c>
    </row>
    <row r="110" spans="2:15" ht="14" x14ac:dyDescent="0.3">
      <c r="B110" s="504" t="s">
        <v>344</v>
      </c>
      <c r="C110" s="428"/>
      <c r="D110" s="428"/>
      <c r="E110" s="428"/>
      <c r="F110" s="428"/>
      <c r="G110" s="428"/>
      <c r="H110" s="490"/>
      <c r="I110" s="492">
        <f>SUM(I94:I109)</f>
        <v>257.33</v>
      </c>
      <c r="J110" s="491">
        <f>SUM(J94:J109)</f>
        <v>0.26150000000000001</v>
      </c>
      <c r="K110" s="497" t="s">
        <v>90</v>
      </c>
      <c r="M110" s="366"/>
      <c r="N110" s="366"/>
      <c r="O110" s="366"/>
    </row>
    <row r="111" spans="2:15" ht="25" x14ac:dyDescent="0.25">
      <c r="B111" s="793" t="s">
        <v>285</v>
      </c>
      <c r="C111" s="390" t="s">
        <v>148</v>
      </c>
      <c r="D111" s="390" t="s">
        <v>167</v>
      </c>
      <c r="E111" s="390" t="s">
        <v>168</v>
      </c>
      <c r="F111" s="394">
        <v>81</v>
      </c>
      <c r="G111" s="390" t="s">
        <v>25</v>
      </c>
      <c r="H111" s="391"/>
      <c r="I111" s="390">
        <v>0.8377</v>
      </c>
      <c r="J111" s="390"/>
      <c r="K111" s="496" t="s">
        <v>339</v>
      </c>
    </row>
    <row r="112" spans="2:15" x14ac:dyDescent="0.25">
      <c r="B112" s="793"/>
      <c r="C112" s="390" t="s">
        <v>149</v>
      </c>
      <c r="D112" s="390" t="s">
        <v>169</v>
      </c>
      <c r="E112" s="390" t="s">
        <v>170</v>
      </c>
      <c r="F112" s="394">
        <v>1442</v>
      </c>
      <c r="G112" s="390" t="s">
        <v>171</v>
      </c>
      <c r="H112" s="391"/>
      <c r="I112" s="390">
        <v>5.6959999999999997</v>
      </c>
      <c r="J112" s="390"/>
      <c r="K112" s="496" t="s">
        <v>328</v>
      </c>
    </row>
    <row r="113" spans="2:15" ht="25" x14ac:dyDescent="0.25">
      <c r="B113" s="793"/>
      <c r="C113" s="390" t="s">
        <v>151</v>
      </c>
      <c r="D113" s="390" t="s">
        <v>189</v>
      </c>
      <c r="E113" s="390" t="s">
        <v>747</v>
      </c>
      <c r="F113" s="394">
        <v>187</v>
      </c>
      <c r="G113" s="390" t="s">
        <v>187</v>
      </c>
      <c r="H113" s="391"/>
      <c r="I113" s="390">
        <v>7.5600000000000001E-2</v>
      </c>
      <c r="J113" s="390"/>
      <c r="K113" s="496" t="s">
        <v>339</v>
      </c>
    </row>
    <row r="114" spans="2:15" ht="25" x14ac:dyDescent="0.25">
      <c r="B114" s="793"/>
      <c r="C114" s="390" t="s">
        <v>157</v>
      </c>
      <c r="D114" s="390" t="s">
        <v>172</v>
      </c>
      <c r="E114" s="390" t="s">
        <v>173</v>
      </c>
      <c r="F114" s="394">
        <v>18</v>
      </c>
      <c r="G114" s="390" t="s">
        <v>171</v>
      </c>
      <c r="H114" s="391"/>
      <c r="I114" s="390">
        <v>4.5995999999999997</v>
      </c>
      <c r="J114" s="390"/>
      <c r="K114" s="496" t="s">
        <v>338</v>
      </c>
    </row>
    <row r="115" spans="2:15" ht="25" x14ac:dyDescent="0.25">
      <c r="B115" s="793"/>
      <c r="C115" s="390" t="s">
        <v>157</v>
      </c>
      <c r="D115" s="390" t="s">
        <v>172</v>
      </c>
      <c r="E115" s="390" t="s">
        <v>174</v>
      </c>
      <c r="F115" s="394">
        <v>28</v>
      </c>
      <c r="G115" s="390" t="s">
        <v>171</v>
      </c>
      <c r="H115" s="391"/>
      <c r="I115" s="390">
        <v>7.3653000000000004</v>
      </c>
      <c r="J115" s="390"/>
      <c r="K115" s="496" t="s">
        <v>338</v>
      </c>
    </row>
    <row r="116" spans="2:15" ht="25" x14ac:dyDescent="0.25">
      <c r="B116" s="793"/>
      <c r="C116" s="390" t="s">
        <v>157</v>
      </c>
      <c r="D116" s="390" t="s">
        <v>172</v>
      </c>
      <c r="E116" s="390" t="s">
        <v>174</v>
      </c>
      <c r="F116" s="394">
        <v>26</v>
      </c>
      <c r="G116" s="390" t="s">
        <v>171</v>
      </c>
      <c r="H116" s="391"/>
      <c r="I116" s="390">
        <v>6.8391999999999999</v>
      </c>
      <c r="J116" s="390"/>
      <c r="K116" s="496" t="s">
        <v>338</v>
      </c>
    </row>
    <row r="117" spans="2:15" ht="25" x14ac:dyDescent="0.25">
      <c r="B117" s="793"/>
      <c r="C117" s="390" t="s">
        <v>157</v>
      </c>
      <c r="D117" s="390" t="s">
        <v>172</v>
      </c>
      <c r="E117" s="390" t="s">
        <v>174</v>
      </c>
      <c r="F117" s="394">
        <v>9</v>
      </c>
      <c r="G117" s="390" t="s">
        <v>171</v>
      </c>
      <c r="H117" s="391"/>
      <c r="I117" s="390">
        <v>2.3673999999999999</v>
      </c>
      <c r="J117" s="390"/>
      <c r="K117" s="496" t="s">
        <v>338</v>
      </c>
    </row>
    <row r="118" spans="2:15" ht="25" x14ac:dyDescent="0.25">
      <c r="B118" s="793"/>
      <c r="C118" s="390" t="s">
        <v>157</v>
      </c>
      <c r="D118" s="390" t="s">
        <v>176</v>
      </c>
      <c r="E118" s="390" t="s">
        <v>177</v>
      </c>
      <c r="F118" s="394">
        <v>6</v>
      </c>
      <c r="G118" s="390" t="s">
        <v>178</v>
      </c>
      <c r="H118" s="391"/>
      <c r="I118" s="390">
        <v>3.6196999999999999</v>
      </c>
      <c r="J118" s="390"/>
      <c r="K118" s="496" t="s">
        <v>330</v>
      </c>
    </row>
    <row r="119" spans="2:15" ht="37.5" x14ac:dyDescent="0.25">
      <c r="B119" s="793"/>
      <c r="C119" s="390" t="s">
        <v>148</v>
      </c>
      <c r="D119" s="390" t="s">
        <v>180</v>
      </c>
      <c r="E119" s="390" t="s">
        <v>181</v>
      </c>
      <c r="F119" s="394">
        <v>2</v>
      </c>
      <c r="G119" s="390" t="s">
        <v>175</v>
      </c>
      <c r="H119" s="391"/>
      <c r="I119" s="390">
        <v>1.0812999999999999</v>
      </c>
      <c r="J119" s="390"/>
      <c r="K119" s="496" t="s">
        <v>338</v>
      </c>
    </row>
    <row r="120" spans="2:15" ht="25" x14ac:dyDescent="0.25">
      <c r="B120" s="793"/>
      <c r="C120" s="390" t="s">
        <v>148</v>
      </c>
      <c r="D120" s="390" t="s">
        <v>180</v>
      </c>
      <c r="E120" s="390" t="s">
        <v>188</v>
      </c>
      <c r="F120" s="394">
        <v>2</v>
      </c>
      <c r="G120" s="390" t="s">
        <v>175</v>
      </c>
      <c r="H120" s="391"/>
      <c r="I120" s="390">
        <v>5.0179999999999998</v>
      </c>
      <c r="J120" s="390"/>
      <c r="K120" s="496" t="s">
        <v>338</v>
      </c>
    </row>
    <row r="121" spans="2:15" ht="25" x14ac:dyDescent="0.25">
      <c r="B121" s="793"/>
      <c r="C121" s="390" t="s">
        <v>152</v>
      </c>
      <c r="D121" s="390" t="s">
        <v>185</v>
      </c>
      <c r="E121" s="390" t="s">
        <v>186</v>
      </c>
      <c r="F121" s="394">
        <v>115</v>
      </c>
      <c r="G121" s="390" t="s">
        <v>187</v>
      </c>
      <c r="H121" s="391"/>
      <c r="I121" s="390">
        <v>5.9799999999999999E-2</v>
      </c>
      <c r="J121" s="390"/>
      <c r="K121" s="496" t="s">
        <v>339</v>
      </c>
    </row>
    <row r="122" spans="2:15" ht="25" x14ac:dyDescent="0.25">
      <c r="B122" s="793"/>
      <c r="C122" s="390" t="s">
        <v>152</v>
      </c>
      <c r="D122" s="390" t="s">
        <v>185</v>
      </c>
      <c r="E122" s="390" t="s">
        <v>186</v>
      </c>
      <c r="F122" s="394">
        <v>392</v>
      </c>
      <c r="G122" s="390" t="s">
        <v>187</v>
      </c>
      <c r="H122" s="391"/>
      <c r="I122" s="390">
        <v>0.20380000000000001</v>
      </c>
      <c r="J122" s="390"/>
      <c r="K122" s="496" t="s">
        <v>339</v>
      </c>
    </row>
    <row r="123" spans="2:15" ht="25" x14ac:dyDescent="0.25">
      <c r="B123" s="793"/>
      <c r="C123" s="390" t="s">
        <v>146</v>
      </c>
      <c r="D123" s="390" t="s">
        <v>195</v>
      </c>
      <c r="E123" s="390" t="s">
        <v>196</v>
      </c>
      <c r="F123" s="394">
        <v>30</v>
      </c>
      <c r="G123" s="390" t="s">
        <v>25</v>
      </c>
      <c r="H123" s="391"/>
      <c r="I123" s="390">
        <v>0.31630000000000003</v>
      </c>
      <c r="J123" s="390"/>
      <c r="K123" s="496" t="s">
        <v>330</v>
      </c>
    </row>
    <row r="124" spans="2:15" ht="25" x14ac:dyDescent="0.25">
      <c r="B124" s="793"/>
      <c r="C124" s="390" t="s">
        <v>161</v>
      </c>
      <c r="D124" s="390" t="s">
        <v>190</v>
      </c>
      <c r="E124" s="390" t="s">
        <v>191</v>
      </c>
      <c r="F124" s="394">
        <v>216</v>
      </c>
      <c r="G124" s="390" t="s">
        <v>192</v>
      </c>
      <c r="H124" s="391"/>
      <c r="I124" s="390">
        <v>5.6800000000000003E-2</v>
      </c>
      <c r="J124" s="390"/>
      <c r="K124" s="496" t="s">
        <v>337</v>
      </c>
    </row>
    <row r="125" spans="2:15" ht="25" x14ac:dyDescent="0.25">
      <c r="B125" s="793"/>
      <c r="C125" s="390" t="s">
        <v>161</v>
      </c>
      <c r="D125" s="390" t="s">
        <v>190</v>
      </c>
      <c r="E125" s="390" t="s">
        <v>193</v>
      </c>
      <c r="F125" s="394">
        <v>224</v>
      </c>
      <c r="G125" s="390" t="s">
        <v>192</v>
      </c>
      <c r="H125" s="391">
        <v>0.12</v>
      </c>
      <c r="I125" s="390">
        <v>0.1525</v>
      </c>
      <c r="J125" s="390">
        <v>1.83E-2</v>
      </c>
      <c r="K125" s="496" t="s">
        <v>337</v>
      </c>
    </row>
    <row r="126" spans="2:15" ht="25" x14ac:dyDescent="0.25">
      <c r="B126" s="793"/>
      <c r="C126" s="390" t="s">
        <v>157</v>
      </c>
      <c r="D126" s="390" t="s">
        <v>172</v>
      </c>
      <c r="E126" s="390" t="s">
        <v>356</v>
      </c>
      <c r="F126" s="394">
        <v>169537</v>
      </c>
      <c r="G126" s="394" t="s">
        <v>192</v>
      </c>
      <c r="H126" s="391">
        <v>0</v>
      </c>
      <c r="I126" s="390">
        <v>20.3444</v>
      </c>
      <c r="J126" s="390">
        <v>0</v>
      </c>
      <c r="K126" s="496" t="s">
        <v>338</v>
      </c>
    </row>
    <row r="127" spans="2:15" ht="25" x14ac:dyDescent="0.25">
      <c r="B127" s="793"/>
      <c r="C127" s="390" t="s">
        <v>157</v>
      </c>
      <c r="D127" s="390" t="s">
        <v>172</v>
      </c>
      <c r="E127" s="390" t="s">
        <v>356</v>
      </c>
      <c r="F127" s="390">
        <v>12192</v>
      </c>
      <c r="G127" s="390" t="s">
        <v>192</v>
      </c>
      <c r="H127" s="391">
        <v>0</v>
      </c>
      <c r="I127" s="390">
        <v>1.4630000000000001</v>
      </c>
      <c r="J127" s="390">
        <v>0</v>
      </c>
      <c r="K127" s="496" t="s">
        <v>338</v>
      </c>
    </row>
    <row r="128" spans="2:15" ht="14" x14ac:dyDescent="0.3">
      <c r="B128" s="504" t="s">
        <v>344</v>
      </c>
      <c r="C128" s="428"/>
      <c r="D128" s="428"/>
      <c r="E128" s="428"/>
      <c r="F128" s="428"/>
      <c r="G128" s="428"/>
      <c r="H128" s="490"/>
      <c r="I128" s="492">
        <f>SUM(I111:I127)</f>
        <v>60.09640000000001</v>
      </c>
      <c r="J128" s="492">
        <f>SUM(J111:J127)</f>
        <v>1.83E-2</v>
      </c>
      <c r="K128" s="497" t="s">
        <v>90</v>
      </c>
      <c r="M128" s="366"/>
      <c r="N128" s="366"/>
      <c r="O128" s="366"/>
    </row>
    <row r="129" spans="2:11" ht="25" x14ac:dyDescent="0.25">
      <c r="B129" s="793" t="s">
        <v>286</v>
      </c>
      <c r="C129" s="390" t="s">
        <v>148</v>
      </c>
      <c r="D129" s="390" t="s">
        <v>167</v>
      </c>
      <c r="E129" s="390" t="s">
        <v>168</v>
      </c>
      <c r="F129" s="390">
        <v>111</v>
      </c>
      <c r="G129" s="390" t="s">
        <v>25</v>
      </c>
      <c r="H129" s="391"/>
      <c r="I129" s="390">
        <v>1.1478999999999999</v>
      </c>
      <c r="J129" s="390"/>
      <c r="K129" s="496" t="s">
        <v>339</v>
      </c>
    </row>
    <row r="130" spans="2:11" x14ac:dyDescent="0.25">
      <c r="B130" s="793"/>
      <c r="C130" s="390" t="s">
        <v>149</v>
      </c>
      <c r="D130" s="390" t="s">
        <v>169</v>
      </c>
      <c r="E130" s="390" t="s">
        <v>170</v>
      </c>
      <c r="F130" s="390">
        <v>2517</v>
      </c>
      <c r="G130" s="390" t="s">
        <v>171</v>
      </c>
      <c r="H130" s="391"/>
      <c r="I130" s="390">
        <v>9.9422999999999995</v>
      </c>
      <c r="J130" s="390"/>
      <c r="K130" s="496" t="s">
        <v>328</v>
      </c>
    </row>
    <row r="131" spans="2:11" ht="25" x14ac:dyDescent="0.25">
      <c r="B131" s="793"/>
      <c r="C131" s="390" t="s">
        <v>151</v>
      </c>
      <c r="D131" s="390" t="s">
        <v>189</v>
      </c>
      <c r="E131" s="390" t="s">
        <v>747</v>
      </c>
      <c r="F131" s="390">
        <v>265</v>
      </c>
      <c r="G131" s="390" t="s">
        <v>187</v>
      </c>
      <c r="H131" s="391"/>
      <c r="I131" s="390">
        <v>0.1072</v>
      </c>
      <c r="J131" s="390"/>
      <c r="K131" s="496" t="s">
        <v>339</v>
      </c>
    </row>
    <row r="132" spans="2:11" ht="25" x14ac:dyDescent="0.25">
      <c r="B132" s="793"/>
      <c r="C132" s="390" t="s">
        <v>157</v>
      </c>
      <c r="D132" s="390" t="s">
        <v>172</v>
      </c>
      <c r="E132" s="390" t="s">
        <v>174</v>
      </c>
      <c r="F132" s="390">
        <v>23</v>
      </c>
      <c r="G132" s="390" t="s">
        <v>171</v>
      </c>
      <c r="H132" s="391"/>
      <c r="I132" s="390">
        <v>6.0500999999999996</v>
      </c>
      <c r="J132" s="390"/>
      <c r="K132" s="496" t="s">
        <v>338</v>
      </c>
    </row>
    <row r="133" spans="2:11" ht="25" x14ac:dyDescent="0.25">
      <c r="B133" s="793"/>
      <c r="C133" s="390" t="s">
        <v>157</v>
      </c>
      <c r="D133" s="390" t="s">
        <v>172</v>
      </c>
      <c r="E133" s="390" t="s">
        <v>174</v>
      </c>
      <c r="F133" s="390">
        <v>65</v>
      </c>
      <c r="G133" s="390" t="s">
        <v>171</v>
      </c>
      <c r="H133" s="391"/>
      <c r="I133" s="390">
        <v>17.097999999999999</v>
      </c>
      <c r="J133" s="390"/>
      <c r="K133" s="496" t="s">
        <v>338</v>
      </c>
    </row>
    <row r="134" spans="2:11" ht="25" x14ac:dyDescent="0.25">
      <c r="B134" s="793"/>
      <c r="C134" s="390" t="s">
        <v>157</v>
      </c>
      <c r="D134" s="390" t="s">
        <v>172</v>
      </c>
      <c r="E134" s="390" t="s">
        <v>174</v>
      </c>
      <c r="F134" s="390">
        <v>80</v>
      </c>
      <c r="G134" s="390" t="s">
        <v>171</v>
      </c>
      <c r="H134" s="391"/>
      <c r="I134" s="390">
        <v>21.043700000000001</v>
      </c>
      <c r="J134" s="390"/>
      <c r="K134" s="496" t="s">
        <v>338</v>
      </c>
    </row>
    <row r="135" spans="2:11" ht="25" x14ac:dyDescent="0.25">
      <c r="B135" s="793"/>
      <c r="C135" s="390" t="s">
        <v>157</v>
      </c>
      <c r="D135" s="390" t="s">
        <v>172</v>
      </c>
      <c r="E135" s="390" t="s">
        <v>174</v>
      </c>
      <c r="F135" s="390">
        <v>21</v>
      </c>
      <c r="G135" s="390" t="s">
        <v>171</v>
      </c>
      <c r="H135" s="391"/>
      <c r="I135" s="390">
        <v>5.524</v>
      </c>
      <c r="J135" s="390"/>
      <c r="K135" s="496" t="s">
        <v>338</v>
      </c>
    </row>
    <row r="136" spans="2:11" ht="25" x14ac:dyDescent="0.25">
      <c r="B136" s="793"/>
      <c r="C136" s="390" t="s">
        <v>157</v>
      </c>
      <c r="D136" s="390" t="s">
        <v>176</v>
      </c>
      <c r="E136" s="390" t="s">
        <v>177</v>
      </c>
      <c r="F136" s="390">
        <v>20</v>
      </c>
      <c r="G136" s="390" t="s">
        <v>178</v>
      </c>
      <c r="H136" s="391"/>
      <c r="I136" s="390">
        <v>12.0655</v>
      </c>
      <c r="J136" s="390"/>
      <c r="K136" s="496" t="s">
        <v>330</v>
      </c>
    </row>
    <row r="137" spans="2:11" ht="37.5" x14ac:dyDescent="0.25">
      <c r="B137" s="793"/>
      <c r="C137" s="390" t="s">
        <v>148</v>
      </c>
      <c r="D137" s="390" t="s">
        <v>180</v>
      </c>
      <c r="E137" s="390" t="s">
        <v>181</v>
      </c>
      <c r="F137" s="390">
        <v>4</v>
      </c>
      <c r="G137" s="390" t="s">
        <v>175</v>
      </c>
      <c r="H137" s="391"/>
      <c r="I137" s="390">
        <v>2.1627000000000001</v>
      </c>
      <c r="J137" s="390"/>
      <c r="K137" s="496" t="s">
        <v>338</v>
      </c>
    </row>
    <row r="138" spans="2:11" ht="25" x14ac:dyDescent="0.25">
      <c r="B138" s="793"/>
      <c r="C138" s="390" t="s">
        <v>148</v>
      </c>
      <c r="D138" s="390" t="s">
        <v>180</v>
      </c>
      <c r="E138" s="390" t="s">
        <v>188</v>
      </c>
      <c r="F138" s="390">
        <v>2</v>
      </c>
      <c r="G138" s="390" t="s">
        <v>175</v>
      </c>
      <c r="H138" s="391"/>
      <c r="I138" s="390">
        <v>5.0179999999999998</v>
      </c>
      <c r="J138" s="390"/>
      <c r="K138" s="496" t="s">
        <v>338</v>
      </c>
    </row>
    <row r="139" spans="2:11" ht="25" x14ac:dyDescent="0.25">
      <c r="B139" s="793"/>
      <c r="C139" s="390" t="s">
        <v>152</v>
      </c>
      <c r="D139" s="390" t="s">
        <v>185</v>
      </c>
      <c r="E139" s="390" t="s">
        <v>186</v>
      </c>
      <c r="F139" s="390">
        <v>578</v>
      </c>
      <c r="G139" s="390" t="s">
        <v>187</v>
      </c>
      <c r="H139" s="391"/>
      <c r="I139" s="390">
        <v>0.30059999999999998</v>
      </c>
      <c r="J139" s="390"/>
      <c r="K139" s="496" t="s">
        <v>339</v>
      </c>
    </row>
    <row r="140" spans="2:11" ht="25" x14ac:dyDescent="0.25">
      <c r="B140" s="793"/>
      <c r="C140" s="390" t="s">
        <v>146</v>
      </c>
      <c r="D140" s="390" t="s">
        <v>195</v>
      </c>
      <c r="E140" s="390" t="s">
        <v>196</v>
      </c>
      <c r="F140" s="390">
        <v>46</v>
      </c>
      <c r="G140" s="390" t="s">
        <v>25</v>
      </c>
      <c r="H140" s="391"/>
      <c r="I140" s="390">
        <v>0.48499999999999999</v>
      </c>
      <c r="J140" s="390"/>
      <c r="K140" s="496" t="s">
        <v>330</v>
      </c>
    </row>
    <row r="141" spans="2:11" ht="25" x14ac:dyDescent="0.25">
      <c r="B141" s="793"/>
      <c r="C141" s="390" t="s">
        <v>161</v>
      </c>
      <c r="D141" s="390" t="s">
        <v>190</v>
      </c>
      <c r="E141" s="390" t="s">
        <v>193</v>
      </c>
      <c r="F141" s="390">
        <v>565</v>
      </c>
      <c r="G141" s="390" t="s">
        <v>192</v>
      </c>
      <c r="H141" s="391">
        <v>0.12</v>
      </c>
      <c r="I141" s="390">
        <v>0.38479999999999998</v>
      </c>
      <c r="J141" s="390">
        <v>4.6199999999999998E-2</v>
      </c>
      <c r="K141" s="496" t="s">
        <v>337</v>
      </c>
    </row>
    <row r="142" spans="2:11" ht="25" x14ac:dyDescent="0.25">
      <c r="B142" s="793"/>
      <c r="C142" s="390" t="s">
        <v>161</v>
      </c>
      <c r="D142" s="390" t="s">
        <v>190</v>
      </c>
      <c r="E142" s="390" t="s">
        <v>191</v>
      </c>
      <c r="F142" s="390">
        <v>545</v>
      </c>
      <c r="G142" s="390" t="s">
        <v>192</v>
      </c>
      <c r="H142" s="391"/>
      <c r="I142" s="390">
        <v>0.14330000000000001</v>
      </c>
      <c r="J142" s="390"/>
      <c r="K142" s="496" t="s">
        <v>337</v>
      </c>
    </row>
    <row r="143" spans="2:11" ht="25" x14ac:dyDescent="0.25">
      <c r="B143" s="793"/>
      <c r="C143" s="390" t="s">
        <v>157</v>
      </c>
      <c r="D143" s="390" t="s">
        <v>172</v>
      </c>
      <c r="E143" s="390" t="s">
        <v>356</v>
      </c>
      <c r="F143" s="390">
        <v>328097</v>
      </c>
      <c r="G143" s="390" t="s">
        <v>192</v>
      </c>
      <c r="H143" s="391">
        <v>0</v>
      </c>
      <c r="I143" s="390">
        <v>39.371600000000001</v>
      </c>
      <c r="J143" s="390">
        <v>0</v>
      </c>
      <c r="K143" s="496" t="s">
        <v>338</v>
      </c>
    </row>
    <row r="144" spans="2:11" ht="25" x14ac:dyDescent="0.25">
      <c r="B144" s="793"/>
      <c r="C144" s="390" t="s">
        <v>157</v>
      </c>
      <c r="D144" s="390" t="s">
        <v>172</v>
      </c>
      <c r="E144" s="390" t="s">
        <v>356</v>
      </c>
      <c r="F144" s="390">
        <v>9648</v>
      </c>
      <c r="G144" s="390" t="s">
        <v>192</v>
      </c>
      <c r="H144" s="391">
        <v>0</v>
      </c>
      <c r="I144" s="390">
        <v>1.1577999999999999</v>
      </c>
      <c r="J144" s="390">
        <v>0</v>
      </c>
      <c r="K144" s="496" t="s">
        <v>338</v>
      </c>
    </row>
    <row r="145" spans="2:15" ht="14.5" thickBot="1" x14ac:dyDescent="0.35">
      <c r="B145" s="505" t="s">
        <v>344</v>
      </c>
      <c r="C145" s="498"/>
      <c r="D145" s="498"/>
      <c r="E145" s="498"/>
      <c r="F145" s="498"/>
      <c r="G145" s="498"/>
      <c r="H145" s="499"/>
      <c r="I145" s="500">
        <f>SUM(I129:I144)</f>
        <v>122.0025</v>
      </c>
      <c r="J145" s="500">
        <f>SUM(J129:J144)</f>
        <v>4.6199999999999998E-2</v>
      </c>
      <c r="K145" s="501" t="s">
        <v>90</v>
      </c>
      <c r="N145" s="366"/>
      <c r="O145" s="366"/>
    </row>
  </sheetData>
  <mergeCells count="29">
    <mergeCell ref="O4:O5"/>
    <mergeCell ref="B39:I39"/>
    <mergeCell ref="B40:D40"/>
    <mergeCell ref="B44:D44"/>
    <mergeCell ref="B4:B5"/>
    <mergeCell ref="C4:C5"/>
    <mergeCell ref="D4:D5"/>
    <mergeCell ref="E4:E5"/>
    <mergeCell ref="I4:J4"/>
    <mergeCell ref="K4:L4"/>
    <mergeCell ref="B24:B29"/>
    <mergeCell ref="G4:G5"/>
    <mergeCell ref="B16:B17"/>
    <mergeCell ref="B18:B20"/>
    <mergeCell ref="B21:B23"/>
    <mergeCell ref="B13:C13"/>
    <mergeCell ref="B77:B92"/>
    <mergeCell ref="B94:B109"/>
    <mergeCell ref="B111:B127"/>
    <mergeCell ref="B129:B144"/>
    <mergeCell ref="M4:N4"/>
    <mergeCell ref="G53:H53"/>
    <mergeCell ref="C53:D53"/>
    <mergeCell ref="E53:F53"/>
    <mergeCell ref="B50:D50"/>
    <mergeCell ref="B53:B54"/>
    <mergeCell ref="B12:C12"/>
    <mergeCell ref="B14:B15"/>
    <mergeCell ref="F4:F5"/>
  </mergeCell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77C3CE-FE74-4F62-8C04-57D1B9881AEB}">
          <x14:formula1>
            <xm:f>'Task 3 - Material summary'!$B$7:$B$14</xm:f>
          </x14:formula1>
          <xm:sqref>K77:K144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B9E1-0301-467D-A266-70124905B415}">
  <sheetPr>
    <tabColor rgb="FF00353E"/>
  </sheetPr>
  <dimension ref="A1:O139"/>
  <sheetViews>
    <sheetView showGridLines="0" workbookViewId="0"/>
  </sheetViews>
  <sheetFormatPr defaultColWidth="8.7265625" defaultRowHeight="14" x14ac:dyDescent="0.3"/>
  <cols>
    <col min="1" max="1" width="11.1796875" style="118" customWidth="1"/>
    <col min="2" max="2" width="41.453125" style="117" customWidth="1"/>
    <col min="3" max="3" width="21.1796875" style="117" customWidth="1"/>
    <col min="4" max="7" width="21.453125" style="117" customWidth="1"/>
    <col min="8" max="8" width="13.1796875" style="117" customWidth="1"/>
    <col min="9" max="9" width="22.54296875" style="117" customWidth="1"/>
    <col min="10" max="10" width="21.1796875" style="117" customWidth="1"/>
    <col min="11" max="11" width="23.453125" style="117" customWidth="1"/>
    <col min="12" max="12" width="32.7265625" style="118" customWidth="1"/>
    <col min="13" max="13" width="31.54296875" style="118" customWidth="1"/>
    <col min="14" max="14" width="32.1796875" style="118" customWidth="1"/>
    <col min="15" max="15" width="19.54296875" style="118" customWidth="1"/>
    <col min="16" max="16384" width="8.7265625" style="118"/>
  </cols>
  <sheetData>
    <row r="1" spans="1:15" s="135" customFormat="1" ht="25" customHeight="1" x14ac:dyDescent="0.35">
      <c r="A1" s="58"/>
      <c r="B1" s="267" t="s">
        <v>466</v>
      </c>
      <c r="C1" s="58"/>
      <c r="D1" s="134"/>
      <c r="E1" s="134"/>
      <c r="F1" s="134"/>
      <c r="G1" s="134"/>
      <c r="H1" s="134"/>
      <c r="I1" s="134"/>
      <c r="J1" s="134"/>
      <c r="K1" s="134"/>
    </row>
    <row r="2" spans="1:15" s="135" customFormat="1" ht="18" customHeight="1" x14ac:dyDescent="0.35">
      <c r="B2" s="259" t="s">
        <v>463</v>
      </c>
      <c r="C2" s="58"/>
      <c r="D2" s="58"/>
      <c r="E2" s="58"/>
      <c r="F2" s="58"/>
      <c r="G2" s="58"/>
      <c r="H2" s="134"/>
      <c r="I2" s="134"/>
    </row>
    <row r="3" spans="1:15" ht="39.65" customHeight="1" thickBot="1" x14ac:dyDescent="0.45">
      <c r="B3" s="299" t="s">
        <v>443</v>
      </c>
      <c r="I3" s="299" t="s">
        <v>444</v>
      </c>
      <c r="L3" s="117"/>
    </row>
    <row r="4" spans="1:15" ht="14.25" customHeight="1" x14ac:dyDescent="0.3">
      <c r="B4" s="771" t="s">
        <v>37</v>
      </c>
      <c r="C4" s="773" t="s">
        <v>75</v>
      </c>
      <c r="D4" s="773" t="s">
        <v>381</v>
      </c>
      <c r="E4" s="773" t="s">
        <v>629</v>
      </c>
      <c r="F4" s="773" t="s">
        <v>630</v>
      </c>
      <c r="G4" s="791" t="s">
        <v>631</v>
      </c>
      <c r="I4" s="786" t="s">
        <v>69</v>
      </c>
      <c r="J4" s="787"/>
      <c r="K4" s="788" t="s">
        <v>70</v>
      </c>
      <c r="L4" s="787"/>
      <c r="M4" s="794" t="s">
        <v>342</v>
      </c>
      <c r="N4" s="794"/>
      <c r="O4" s="791" t="s">
        <v>382</v>
      </c>
    </row>
    <row r="5" spans="1:15" s="300" customFormat="1" ht="24.75" customHeight="1" x14ac:dyDescent="0.3">
      <c r="B5" s="772"/>
      <c r="C5" s="774"/>
      <c r="D5" s="774"/>
      <c r="E5" s="774"/>
      <c r="F5" s="774"/>
      <c r="G5" s="792"/>
      <c r="H5" s="117"/>
      <c r="I5" s="64" t="s">
        <v>71</v>
      </c>
      <c r="J5" s="65" t="s">
        <v>72</v>
      </c>
      <c r="K5" s="66" t="s">
        <v>73</v>
      </c>
      <c r="L5" s="67" t="s">
        <v>74</v>
      </c>
      <c r="M5" s="155" t="s">
        <v>636</v>
      </c>
      <c r="N5" s="155" t="s">
        <v>689</v>
      </c>
      <c r="O5" s="792"/>
    </row>
    <row r="6" spans="1:15" s="300" customFormat="1" ht="15" customHeight="1" x14ac:dyDescent="0.3">
      <c r="B6" s="49" t="s">
        <v>704</v>
      </c>
      <c r="C6" s="174">
        <f>'Structure dimensions'!L41</f>
        <v>215.25</v>
      </c>
      <c r="D6" s="175">
        <f>SUM(I6:L6)</f>
        <v>641.22220000000016</v>
      </c>
      <c r="E6" s="175">
        <f>O6</f>
        <v>641.33830000000012</v>
      </c>
      <c r="F6" s="326">
        <f>D6/C6</f>
        <v>2.9789649245063887</v>
      </c>
      <c r="G6" s="327">
        <f>E6/C6</f>
        <v>2.9795042973286883</v>
      </c>
      <c r="H6" s="117"/>
      <c r="I6" s="178">
        <f>I80</f>
        <v>570.12220000000013</v>
      </c>
      <c r="J6" s="179">
        <v>27</v>
      </c>
      <c r="K6" s="180">
        <v>34.4</v>
      </c>
      <c r="L6" s="179">
        <v>9.6999999999999993</v>
      </c>
      <c r="M6" s="179">
        <f>J80</f>
        <v>0.11609999999999999</v>
      </c>
      <c r="N6" s="179">
        <v>0</v>
      </c>
      <c r="O6" s="183">
        <f>SUM(I6:N6)</f>
        <v>641.33830000000012</v>
      </c>
    </row>
    <row r="7" spans="1:15" s="300" customFormat="1" ht="15" customHeight="1" x14ac:dyDescent="0.3">
      <c r="B7" s="49" t="s">
        <v>45</v>
      </c>
      <c r="C7" s="174">
        <f>'Structure dimensions'!L42</f>
        <v>183.47499999999999</v>
      </c>
      <c r="D7" s="175">
        <f>SUM(I7:L7)</f>
        <v>552.56999999999994</v>
      </c>
      <c r="E7" s="175">
        <f t="shared" ref="E7:E8" si="0">O7</f>
        <v>552.65519999999992</v>
      </c>
      <c r="F7" s="326">
        <f>D7/C7</f>
        <v>3.0116909660716717</v>
      </c>
      <c r="G7" s="327">
        <f t="shared" ref="G7:G8" si="1">E7/C7</f>
        <v>3.0121553345142384</v>
      </c>
      <c r="H7" s="117"/>
      <c r="I7" s="178">
        <f>I102</f>
        <v>448.66999999999996</v>
      </c>
      <c r="J7" s="179">
        <v>26.2</v>
      </c>
      <c r="K7" s="180">
        <v>68</v>
      </c>
      <c r="L7" s="179">
        <v>9.6999999999999993</v>
      </c>
      <c r="M7" s="179">
        <f>J102</f>
        <v>8.5199999999999998E-2</v>
      </c>
      <c r="N7" s="179">
        <v>0</v>
      </c>
      <c r="O7" s="183">
        <f>SUM(I7:N7)</f>
        <v>552.65519999999992</v>
      </c>
    </row>
    <row r="8" spans="1:15" s="300" customFormat="1" ht="15" customHeight="1" thickBot="1" x14ac:dyDescent="0.35">
      <c r="B8" s="334" t="s">
        <v>705</v>
      </c>
      <c r="C8" s="176">
        <f>'Structure dimensions'!L43</f>
        <v>231.65</v>
      </c>
      <c r="D8" s="177">
        <f>SUM(I8:L8)</f>
        <v>798.42349999999988</v>
      </c>
      <c r="E8" s="177">
        <f t="shared" si="0"/>
        <v>798.47019999999986</v>
      </c>
      <c r="F8" s="330">
        <f>D8/C8</f>
        <v>3.4466803367148708</v>
      </c>
      <c r="G8" s="331">
        <f t="shared" si="1"/>
        <v>3.4468819339520822</v>
      </c>
      <c r="H8" s="117"/>
      <c r="I8" s="197">
        <f>I124</f>
        <v>735.32349999999997</v>
      </c>
      <c r="J8" s="198">
        <v>25.3</v>
      </c>
      <c r="K8" s="199">
        <v>26.9</v>
      </c>
      <c r="L8" s="201">
        <v>10.9</v>
      </c>
      <c r="M8" s="203">
        <f>J124</f>
        <v>4.6699999999999998E-2</v>
      </c>
      <c r="N8" s="198">
        <v>0</v>
      </c>
      <c r="O8" s="202">
        <f>SUM(I8:N8)</f>
        <v>798.47019999999986</v>
      </c>
    </row>
    <row r="9" spans="1:15" ht="15" thickTop="1" thickBot="1" x14ac:dyDescent="0.35">
      <c r="B9" s="82" t="s">
        <v>39</v>
      </c>
      <c r="C9" s="328"/>
      <c r="D9" s="172">
        <f>SUM(D6:D8)</f>
        <v>1992.2157</v>
      </c>
      <c r="E9" s="172">
        <f>SUM(E6:E8)</f>
        <v>1992.4636999999998</v>
      </c>
      <c r="F9" s="341"/>
      <c r="G9" s="189"/>
      <c r="I9" s="194" t="s">
        <v>81</v>
      </c>
      <c r="J9" s="72">
        <f>SUM(I6:J8)</f>
        <v>1832.6157000000001</v>
      </c>
      <c r="K9" s="195" t="s">
        <v>81</v>
      </c>
      <c r="L9" s="72">
        <f>SUM(K6:L8)</f>
        <v>159.6</v>
      </c>
      <c r="M9" s="184" t="s">
        <v>346</v>
      </c>
      <c r="N9" s="196">
        <f>SUM(M6:N8)</f>
        <v>0.24799999999999997</v>
      </c>
      <c r="O9" s="79">
        <f>SUM(O6:O8)</f>
        <v>1992.4636999999998</v>
      </c>
    </row>
    <row r="10" spans="1:15" ht="14.5" thickBot="1" x14ac:dyDescent="0.35">
      <c r="B10" s="770"/>
      <c r="C10" s="770"/>
      <c r="D10" s="770"/>
      <c r="E10" s="15"/>
      <c r="F10" s="15"/>
      <c r="G10" s="15"/>
      <c r="H10" s="14"/>
      <c r="I10" s="118" t="s">
        <v>490</v>
      </c>
      <c r="J10" s="18"/>
      <c r="K10" s="18"/>
    </row>
    <row r="11" spans="1:15" x14ac:dyDescent="0.3">
      <c r="B11" s="733" t="s">
        <v>383</v>
      </c>
      <c r="C11" s="734"/>
      <c r="D11" s="342" t="s">
        <v>384</v>
      </c>
      <c r="E11" s="343" t="s">
        <v>10</v>
      </c>
      <c r="F11" s="15"/>
      <c r="G11" s="15"/>
      <c r="H11" s="19"/>
      <c r="K11" s="18"/>
    </row>
    <row r="12" spans="1:15" ht="23.5" customHeight="1" x14ac:dyDescent="0.3">
      <c r="B12" s="775" t="s">
        <v>9</v>
      </c>
      <c r="C12" s="776"/>
      <c r="D12" s="174">
        <v>3</v>
      </c>
      <c r="E12" s="301" t="s">
        <v>385</v>
      </c>
      <c r="F12" s="15"/>
      <c r="G12" s="15"/>
      <c r="H12" s="19"/>
      <c r="K12" s="18"/>
    </row>
    <row r="13" spans="1:15" ht="23.5" customHeight="1" x14ac:dyDescent="0.3">
      <c r="B13" s="775" t="s">
        <v>632</v>
      </c>
      <c r="C13" s="344" t="s">
        <v>623</v>
      </c>
      <c r="D13" s="174">
        <f>D9/D12</f>
        <v>664.07190000000003</v>
      </c>
      <c r="E13" s="301" t="s">
        <v>400</v>
      </c>
      <c r="F13" s="335"/>
      <c r="G13" s="335"/>
      <c r="H13" s="19"/>
      <c r="K13" s="18"/>
    </row>
    <row r="14" spans="1:15" ht="23.5" customHeight="1" x14ac:dyDescent="0.3">
      <c r="B14" s="775"/>
      <c r="C14" s="344" t="s">
        <v>624</v>
      </c>
      <c r="D14" s="174">
        <f>E9/D12</f>
        <v>664.1545666666666</v>
      </c>
      <c r="E14" s="301" t="s">
        <v>400</v>
      </c>
      <c r="H14" s="19"/>
      <c r="K14" s="18"/>
    </row>
    <row r="15" spans="1:15" ht="32.15" customHeight="1" x14ac:dyDescent="0.3">
      <c r="B15" s="775" t="s">
        <v>633</v>
      </c>
      <c r="C15" s="344" t="s">
        <v>623</v>
      </c>
      <c r="D15" s="185">
        <f>AVERAGE(F6:F8)</f>
        <v>3.1457787424309771</v>
      </c>
      <c r="E15" s="301" t="s">
        <v>401</v>
      </c>
      <c r="F15" s="335"/>
      <c r="G15" s="335"/>
      <c r="H15" s="19"/>
      <c r="K15" s="18"/>
    </row>
    <row r="16" spans="1:15" ht="33" customHeight="1" x14ac:dyDescent="0.3">
      <c r="B16" s="775"/>
      <c r="C16" s="344" t="s">
        <v>624</v>
      </c>
      <c r="D16" s="185">
        <f>AVERAGE(G6:G8)</f>
        <v>3.1461805219316701</v>
      </c>
      <c r="E16" s="301" t="s">
        <v>401</v>
      </c>
      <c r="H16" s="19"/>
      <c r="K16" s="18"/>
    </row>
    <row r="17" spans="2:11" ht="23.5" customHeight="1" x14ac:dyDescent="0.3">
      <c r="B17" s="775" t="s">
        <v>628</v>
      </c>
      <c r="C17" s="344" t="s">
        <v>3</v>
      </c>
      <c r="D17" s="345">
        <f>J9/E9</f>
        <v>0.9197736952497555</v>
      </c>
      <c r="E17" s="301" t="s">
        <v>388</v>
      </c>
      <c r="F17" s="335"/>
      <c r="G17" s="335"/>
      <c r="H17" s="19"/>
      <c r="K17" s="18"/>
    </row>
    <row r="18" spans="2:11" ht="33.65" customHeight="1" x14ac:dyDescent="0.3">
      <c r="B18" s="775"/>
      <c r="C18" s="344" t="s">
        <v>4</v>
      </c>
      <c r="D18" s="345">
        <f>L9/E9</f>
        <v>8.0101835732314733E-2</v>
      </c>
      <c r="E18" s="301" t="s">
        <v>388</v>
      </c>
      <c r="F18" s="335"/>
      <c r="G18" s="335"/>
      <c r="H18" s="19"/>
      <c r="K18" s="18"/>
    </row>
    <row r="19" spans="2:11" ht="33.65" customHeight="1" x14ac:dyDescent="0.3">
      <c r="B19" s="775"/>
      <c r="C19" s="344" t="s">
        <v>627</v>
      </c>
      <c r="D19" s="347">
        <f>N9/E9</f>
        <v>1.2446901792991259E-4</v>
      </c>
      <c r="E19" s="301" t="s">
        <v>388</v>
      </c>
      <c r="F19" s="335"/>
      <c r="G19" s="335"/>
      <c r="H19" s="19"/>
      <c r="K19" s="18"/>
    </row>
    <row r="20" spans="2:11" ht="33.65" customHeight="1" x14ac:dyDescent="0.3">
      <c r="B20" s="775" t="s">
        <v>633</v>
      </c>
      <c r="C20" s="344" t="s">
        <v>3</v>
      </c>
      <c r="D20" s="185">
        <f>D16*D17</f>
        <v>2.8937740845798965</v>
      </c>
      <c r="E20" s="301" t="s">
        <v>402</v>
      </c>
      <c r="F20" s="335"/>
      <c r="G20" s="335"/>
      <c r="H20" s="19"/>
      <c r="K20" s="18"/>
    </row>
    <row r="21" spans="2:11" ht="33.65" customHeight="1" x14ac:dyDescent="0.3">
      <c r="B21" s="775"/>
      <c r="C21" s="344" t="s">
        <v>4</v>
      </c>
      <c r="D21" s="185">
        <f>D16*D18</f>
        <v>0.25201483535197888</v>
      </c>
      <c r="E21" s="301" t="s">
        <v>402</v>
      </c>
      <c r="F21" s="335"/>
      <c r="G21" s="335"/>
      <c r="H21" s="19"/>
      <c r="K21" s="18"/>
    </row>
    <row r="22" spans="2:11" ht="33.65" customHeight="1" thickBot="1" x14ac:dyDescent="0.35">
      <c r="B22" s="808"/>
      <c r="C22" s="346" t="s">
        <v>627</v>
      </c>
      <c r="D22" s="297">
        <f>D16*D19</f>
        <v>3.9160199979505479E-4</v>
      </c>
      <c r="E22" s="303" t="s">
        <v>402</v>
      </c>
      <c r="F22" s="335"/>
      <c r="G22" s="335"/>
      <c r="H22" s="19"/>
      <c r="K22" s="18"/>
    </row>
    <row r="23" spans="2:11" x14ac:dyDescent="0.3">
      <c r="B23" s="304"/>
      <c r="C23" s="304"/>
      <c r="H23" s="19"/>
      <c r="K23" s="18"/>
    </row>
    <row r="24" spans="2:11" x14ac:dyDescent="0.3">
      <c r="B24" s="37"/>
      <c r="C24" s="37"/>
      <c r="D24" s="18"/>
      <c r="E24" s="18"/>
      <c r="F24" s="18"/>
      <c r="G24" s="18"/>
      <c r="H24" s="23"/>
      <c r="I24" s="23"/>
      <c r="J24" s="18"/>
      <c r="K24" s="18"/>
    </row>
    <row r="25" spans="2:11" x14ac:dyDescent="0.3">
      <c r="B25" s="33"/>
      <c r="C25" s="33"/>
      <c r="D25" s="26"/>
      <c r="E25" s="26"/>
      <c r="F25" s="26"/>
      <c r="G25" s="26"/>
      <c r="H25" s="27"/>
      <c r="I25" s="27"/>
      <c r="J25" s="18"/>
      <c r="K25" s="18"/>
    </row>
    <row r="26" spans="2:11" x14ac:dyDescent="0.3">
      <c r="B26" s="18"/>
      <c r="C26" s="18"/>
      <c r="D26" s="18"/>
      <c r="E26" s="18"/>
      <c r="F26" s="18"/>
      <c r="G26" s="18"/>
      <c r="H26" s="18"/>
      <c r="I26" s="18"/>
      <c r="J26" s="18"/>
      <c r="K26" s="18"/>
    </row>
    <row r="27" spans="2:11" ht="27" customHeight="1" x14ac:dyDescent="0.3">
      <c r="B27" s="769"/>
      <c r="C27" s="769"/>
      <c r="D27" s="769"/>
      <c r="E27" s="769"/>
      <c r="F27" s="769"/>
      <c r="G27" s="769"/>
      <c r="H27" s="769"/>
      <c r="I27" s="769"/>
      <c r="J27" s="18"/>
      <c r="K27" s="18"/>
    </row>
    <row r="28" spans="2:11" x14ac:dyDescent="0.3">
      <c r="B28" s="770"/>
      <c r="C28" s="770"/>
      <c r="D28" s="770"/>
      <c r="E28" s="15"/>
      <c r="F28" s="15"/>
      <c r="G28" s="15"/>
      <c r="H28" s="14"/>
      <c r="I28" s="36"/>
      <c r="J28" s="18"/>
      <c r="K28" s="18"/>
    </row>
    <row r="29" spans="2:11" x14ac:dyDescent="0.3">
      <c r="B29" s="38"/>
      <c r="C29" s="38"/>
      <c r="D29" s="18"/>
      <c r="E29" s="18"/>
      <c r="F29" s="18"/>
      <c r="G29" s="18"/>
      <c r="H29" s="19"/>
      <c r="I29" s="19"/>
      <c r="J29" s="18"/>
      <c r="K29" s="18"/>
    </row>
    <row r="30" spans="2:11" x14ac:dyDescent="0.3">
      <c r="B30" s="38"/>
      <c r="C30" s="38"/>
      <c r="D30" s="18"/>
      <c r="E30" s="18"/>
      <c r="F30" s="18"/>
      <c r="G30" s="18"/>
      <c r="H30" s="19"/>
      <c r="I30" s="19"/>
      <c r="J30" s="18"/>
      <c r="K30" s="18"/>
    </row>
    <row r="31" spans="2:11" x14ac:dyDescent="0.3">
      <c r="B31" s="38"/>
      <c r="C31" s="38"/>
      <c r="D31" s="18"/>
      <c r="E31" s="18"/>
      <c r="F31" s="18"/>
      <c r="G31" s="18"/>
      <c r="H31" s="19"/>
      <c r="I31" s="19"/>
      <c r="J31" s="18"/>
      <c r="K31" s="18"/>
    </row>
    <row r="32" spans="2:11" x14ac:dyDescent="0.3">
      <c r="B32" s="770"/>
      <c r="C32" s="770"/>
      <c r="D32" s="770"/>
      <c r="E32" s="15"/>
      <c r="F32" s="15"/>
      <c r="G32" s="15"/>
      <c r="H32" s="14"/>
      <c r="I32" s="36"/>
      <c r="J32" s="18"/>
      <c r="K32" s="18"/>
    </row>
    <row r="33" spans="1:15" x14ac:dyDescent="0.3">
      <c r="B33" s="38"/>
      <c r="C33" s="38"/>
      <c r="D33" s="18"/>
      <c r="E33" s="18"/>
      <c r="F33" s="18"/>
      <c r="G33" s="18"/>
      <c r="H33" s="21"/>
      <c r="I33" s="21"/>
      <c r="J33" s="18"/>
      <c r="K33" s="18"/>
    </row>
    <row r="34" spans="1:15" x14ac:dyDescent="0.3">
      <c r="B34" s="38"/>
      <c r="C34" s="38"/>
      <c r="D34" s="18"/>
      <c r="E34" s="18"/>
      <c r="F34" s="18"/>
      <c r="G34" s="18"/>
      <c r="H34" s="21"/>
      <c r="I34" s="21"/>
      <c r="J34" s="18"/>
      <c r="K34" s="18"/>
    </row>
    <row r="35" spans="1:15" x14ac:dyDescent="0.3">
      <c r="B35" s="38"/>
      <c r="C35" s="38"/>
      <c r="D35" s="18"/>
      <c r="E35" s="18"/>
      <c r="F35" s="18"/>
      <c r="G35" s="18"/>
      <c r="H35" s="21"/>
      <c r="I35" s="21"/>
      <c r="J35" s="18"/>
      <c r="K35" s="18"/>
    </row>
    <row r="36" spans="1:15" x14ac:dyDescent="0.3">
      <c r="B36" s="38"/>
      <c r="C36" s="38"/>
      <c r="D36" s="18"/>
      <c r="E36" s="18"/>
      <c r="F36" s="18"/>
      <c r="G36" s="18"/>
      <c r="H36" s="21"/>
      <c r="I36" s="21"/>
      <c r="J36" s="18"/>
      <c r="K36" s="18"/>
    </row>
    <row r="37" spans="1:15" x14ac:dyDescent="0.3">
      <c r="B37" s="38"/>
      <c r="C37" s="38"/>
      <c r="D37" s="18"/>
      <c r="E37" s="18"/>
      <c r="F37" s="18"/>
      <c r="G37" s="18"/>
      <c r="H37" s="21"/>
      <c r="I37" s="21"/>
      <c r="J37" s="18"/>
      <c r="K37" s="18"/>
    </row>
    <row r="38" spans="1:15" x14ac:dyDescent="0.3">
      <c r="B38" s="770"/>
      <c r="C38" s="770"/>
      <c r="D38" s="770"/>
      <c r="E38" s="15"/>
      <c r="F38" s="15"/>
      <c r="G38" s="15"/>
      <c r="H38" s="14"/>
      <c r="I38" s="36"/>
      <c r="J38" s="18"/>
      <c r="K38" s="18"/>
    </row>
    <row r="39" spans="1:15" s="309" customFormat="1" ht="34" customHeight="1" x14ac:dyDescent="0.35">
      <c r="A39" s="305"/>
      <c r="B39" s="336" t="s">
        <v>403</v>
      </c>
      <c r="C39" s="307"/>
      <c r="D39" s="308"/>
      <c r="E39" s="308"/>
      <c r="F39" s="308"/>
      <c r="G39" s="308"/>
      <c r="H39" s="308"/>
      <c r="I39" s="308"/>
      <c r="J39" s="308"/>
      <c r="K39" s="308"/>
      <c r="L39" s="308"/>
      <c r="M39" s="308"/>
      <c r="N39" s="308"/>
      <c r="O39" s="308"/>
    </row>
    <row r="40" spans="1:15" ht="14.5" thickBot="1" x14ac:dyDescent="0.35">
      <c r="B40" s="18"/>
      <c r="C40" s="18"/>
      <c r="D40" s="18"/>
      <c r="E40" s="18"/>
      <c r="F40" s="18"/>
      <c r="G40" s="18"/>
      <c r="H40" s="18"/>
      <c r="I40" s="18"/>
      <c r="J40" s="18"/>
      <c r="K40" s="18"/>
      <c r="L40" s="18"/>
      <c r="M40" s="18"/>
      <c r="N40" s="18"/>
      <c r="O40" s="18"/>
    </row>
    <row r="41" spans="1:15" x14ac:dyDescent="0.3">
      <c r="B41" s="783" t="s">
        <v>348</v>
      </c>
      <c r="C41" s="785" t="s">
        <v>350</v>
      </c>
      <c r="D41" s="785"/>
      <c r="E41" s="767" t="s">
        <v>636</v>
      </c>
      <c r="F41" s="768"/>
      <c r="G41" s="18"/>
      <c r="H41" s="18"/>
      <c r="I41" s="18"/>
      <c r="J41" s="18"/>
      <c r="K41" s="18"/>
      <c r="L41" s="18"/>
      <c r="M41" s="18"/>
      <c r="N41" s="18"/>
      <c r="O41" s="18"/>
    </row>
    <row r="42" spans="1:15" x14ac:dyDescent="0.3">
      <c r="B42" s="784"/>
      <c r="C42" s="156" t="s">
        <v>351</v>
      </c>
      <c r="D42" s="156" t="s">
        <v>349</v>
      </c>
      <c r="E42" s="156" t="s">
        <v>351</v>
      </c>
      <c r="F42" s="447" t="s">
        <v>349</v>
      </c>
      <c r="G42" s="18"/>
      <c r="H42" s="18"/>
      <c r="I42" s="18"/>
      <c r="J42" s="18"/>
      <c r="K42" s="18"/>
      <c r="L42" s="18"/>
      <c r="M42" s="18"/>
      <c r="N42" s="18"/>
      <c r="O42" s="18"/>
    </row>
    <row r="43" spans="1:15" ht="24" customHeight="1" x14ac:dyDescent="0.3">
      <c r="B43" s="462" t="s">
        <v>328</v>
      </c>
      <c r="C43" s="310">
        <f t="shared" ref="C43:C50" si="2">SUMIF($K$59:$K$123,B43,$I$59:$I$123)</f>
        <v>32.816900000000004</v>
      </c>
      <c r="D43" s="311">
        <f>C43/$C$51</f>
        <v>1.8708515065454345E-2</v>
      </c>
      <c r="E43" s="310">
        <f t="shared" ref="E43:E50" si="3">SUMIF($K$59:$K$123,B43,$J$59:$J$123)</f>
        <v>0</v>
      </c>
      <c r="F43" s="463">
        <f t="shared" ref="F43:F50" si="4">E43/$E$51</f>
        <v>0</v>
      </c>
      <c r="G43" s="18"/>
      <c r="H43" s="18"/>
      <c r="I43" s="18"/>
      <c r="J43" s="18"/>
      <c r="K43" s="18"/>
      <c r="L43" s="18"/>
      <c r="M43" s="18"/>
      <c r="N43" s="18"/>
      <c r="O43" s="18"/>
    </row>
    <row r="44" spans="1:15" ht="24" customHeight="1" x14ac:dyDescent="0.3">
      <c r="B44" s="462" t="s">
        <v>329</v>
      </c>
      <c r="C44" s="310">
        <f t="shared" si="2"/>
        <v>0</v>
      </c>
      <c r="D44" s="311">
        <f t="shared" ref="D44:D50" si="5">C44/$C$51</f>
        <v>0</v>
      </c>
      <c r="E44" s="310">
        <f t="shared" si="3"/>
        <v>0</v>
      </c>
      <c r="F44" s="463">
        <f t="shared" si="4"/>
        <v>0</v>
      </c>
      <c r="G44" s="18"/>
      <c r="H44" s="18"/>
      <c r="I44" s="18"/>
      <c r="J44" s="18"/>
      <c r="K44" s="18"/>
      <c r="L44" s="18"/>
      <c r="M44" s="18"/>
      <c r="N44" s="18"/>
      <c r="O44" s="18"/>
    </row>
    <row r="45" spans="1:15" ht="24" customHeight="1" x14ac:dyDescent="0.3">
      <c r="B45" s="462" t="s">
        <v>330</v>
      </c>
      <c r="C45" s="310">
        <f t="shared" si="2"/>
        <v>110.62910000000001</v>
      </c>
      <c r="D45" s="311">
        <f t="shared" si="5"/>
        <v>6.3068302735104637E-2</v>
      </c>
      <c r="E45" s="310">
        <f t="shared" si="3"/>
        <v>0</v>
      </c>
      <c r="F45" s="463">
        <f t="shared" si="4"/>
        <v>0</v>
      </c>
      <c r="G45" s="18"/>
      <c r="H45" s="18"/>
      <c r="I45" s="18"/>
      <c r="J45" s="18"/>
      <c r="K45" s="18"/>
      <c r="L45" s="18"/>
      <c r="M45" s="18"/>
      <c r="N45" s="18"/>
      <c r="O45" s="18"/>
    </row>
    <row r="46" spans="1:15" ht="24" customHeight="1" x14ac:dyDescent="0.3">
      <c r="B46" s="462" t="s">
        <v>338</v>
      </c>
      <c r="C46" s="310">
        <f t="shared" si="2"/>
        <v>1590.5868000000003</v>
      </c>
      <c r="D46" s="311">
        <f t="shared" si="5"/>
        <v>0.90677416546696421</v>
      </c>
      <c r="E46" s="310">
        <f t="shared" si="3"/>
        <v>0</v>
      </c>
      <c r="F46" s="463">
        <f t="shared" si="4"/>
        <v>0</v>
      </c>
      <c r="G46" s="18"/>
      <c r="H46" s="18"/>
      <c r="I46" s="18"/>
      <c r="J46" s="18"/>
      <c r="K46" s="18"/>
      <c r="L46" s="18"/>
      <c r="M46" s="18"/>
      <c r="N46" s="18"/>
      <c r="O46" s="18"/>
    </row>
    <row r="47" spans="1:15" ht="24" customHeight="1" x14ac:dyDescent="0.3">
      <c r="B47" s="462" t="s">
        <v>337</v>
      </c>
      <c r="C47" s="310">
        <f t="shared" si="2"/>
        <v>2.8376000000000001</v>
      </c>
      <c r="D47" s="311">
        <f t="shared" si="5"/>
        <v>1.6176812054073738E-3</v>
      </c>
      <c r="E47" s="312">
        <f t="shared" si="3"/>
        <v>0.24799999999999997</v>
      </c>
      <c r="F47" s="463">
        <f t="shared" si="4"/>
        <v>1</v>
      </c>
      <c r="G47" s="18"/>
      <c r="H47" s="18"/>
      <c r="I47" s="18"/>
      <c r="J47" s="18"/>
      <c r="K47" s="18"/>
      <c r="L47" s="18"/>
      <c r="M47" s="18"/>
      <c r="N47" s="18"/>
      <c r="O47" s="18"/>
    </row>
    <row r="48" spans="1:15" ht="24" customHeight="1" x14ac:dyDescent="0.3">
      <c r="B48" s="462" t="s">
        <v>341</v>
      </c>
      <c r="C48" s="310">
        <f t="shared" si="2"/>
        <v>0</v>
      </c>
      <c r="D48" s="311">
        <f t="shared" si="5"/>
        <v>0</v>
      </c>
      <c r="E48" s="310">
        <f t="shared" si="3"/>
        <v>0</v>
      </c>
      <c r="F48" s="463">
        <f t="shared" si="4"/>
        <v>0</v>
      </c>
      <c r="G48" s="18"/>
      <c r="H48" s="18"/>
      <c r="I48" s="18"/>
      <c r="J48" s="18"/>
      <c r="K48" s="18"/>
      <c r="L48" s="18"/>
      <c r="M48" s="18"/>
      <c r="N48" s="18"/>
      <c r="O48" s="18"/>
    </row>
    <row r="49" spans="1:15" ht="24" customHeight="1" x14ac:dyDescent="0.3">
      <c r="B49" s="462" t="s">
        <v>340</v>
      </c>
      <c r="C49" s="310">
        <f t="shared" si="2"/>
        <v>0</v>
      </c>
      <c r="D49" s="311">
        <f t="shared" si="5"/>
        <v>0</v>
      </c>
      <c r="E49" s="310">
        <f t="shared" si="3"/>
        <v>0</v>
      </c>
      <c r="F49" s="463">
        <f t="shared" si="4"/>
        <v>0</v>
      </c>
      <c r="G49" s="18"/>
      <c r="H49" s="18"/>
      <c r="I49" s="18"/>
      <c r="J49" s="18"/>
      <c r="K49" s="18"/>
      <c r="L49" s="18"/>
      <c r="M49" s="18"/>
      <c r="N49" s="18"/>
      <c r="O49" s="18"/>
    </row>
    <row r="50" spans="1:15" ht="24" customHeight="1" x14ac:dyDescent="0.3">
      <c r="B50" s="462" t="s">
        <v>339</v>
      </c>
      <c r="C50" s="310">
        <f t="shared" si="2"/>
        <v>17.2453</v>
      </c>
      <c r="D50" s="311">
        <f t="shared" si="5"/>
        <v>9.8313355270692772E-3</v>
      </c>
      <c r="E50" s="310">
        <f t="shared" si="3"/>
        <v>0</v>
      </c>
      <c r="F50" s="463">
        <f t="shared" si="4"/>
        <v>0</v>
      </c>
      <c r="G50" s="18"/>
      <c r="H50" s="18"/>
      <c r="I50" s="18"/>
      <c r="J50" s="18"/>
      <c r="K50" s="18"/>
      <c r="L50" s="18"/>
      <c r="M50" s="18"/>
      <c r="N50" s="18"/>
      <c r="O50" s="18"/>
    </row>
    <row r="51" spans="1:15" ht="24" customHeight="1" thickBot="1" x14ac:dyDescent="0.35">
      <c r="B51" s="464" t="s">
        <v>344</v>
      </c>
      <c r="C51" s="465">
        <f>SUM(C43:C50)</f>
        <v>1754.1157000000005</v>
      </c>
      <c r="D51" s="466">
        <f>SUM(D43:D50)</f>
        <v>0.99999999999999989</v>
      </c>
      <c r="E51" s="477">
        <f>SUM(E43:E50)</f>
        <v>0.24799999999999997</v>
      </c>
      <c r="F51" s="553">
        <f>SUM(F43:F50)</f>
        <v>1</v>
      </c>
      <c r="G51" s="18"/>
      <c r="H51" s="18"/>
      <c r="I51" s="18"/>
      <c r="J51" s="18"/>
      <c r="K51" s="18"/>
      <c r="L51" s="18"/>
      <c r="M51" s="18"/>
      <c r="N51" s="18"/>
      <c r="O51" s="18"/>
    </row>
    <row r="52" spans="1:15" x14ac:dyDescent="0.3">
      <c r="B52" s="18"/>
      <c r="C52" s="18"/>
      <c r="E52" s="18"/>
      <c r="F52" s="18"/>
      <c r="G52" s="18"/>
      <c r="H52" s="18"/>
      <c r="I52" s="18"/>
      <c r="J52" s="18"/>
      <c r="K52" s="18"/>
      <c r="L52" s="18"/>
      <c r="M52" s="18"/>
      <c r="N52" s="18"/>
      <c r="O52" s="18"/>
    </row>
    <row r="53" spans="1:15" x14ac:dyDescent="0.3">
      <c r="B53" s="38"/>
      <c r="C53" s="38"/>
      <c r="D53" s="18"/>
      <c r="E53" s="18"/>
      <c r="F53" s="18"/>
      <c r="G53" s="18"/>
      <c r="H53" s="18"/>
      <c r="I53" s="23"/>
      <c r="J53" s="18"/>
      <c r="K53" s="18"/>
    </row>
    <row r="54" spans="1:15" x14ac:dyDescent="0.3">
      <c r="B54" s="38"/>
      <c r="C54" s="38"/>
      <c r="D54" s="18"/>
      <c r="E54" s="18"/>
      <c r="F54" s="18"/>
      <c r="G54" s="18"/>
      <c r="H54" s="23"/>
      <c r="I54" s="23"/>
      <c r="J54" s="18"/>
      <c r="K54" s="18"/>
    </row>
    <row r="55" spans="1:15" s="309" customFormat="1" ht="31" customHeight="1" x14ac:dyDescent="0.35">
      <c r="A55" s="305"/>
      <c r="B55" s="306" t="s">
        <v>461</v>
      </c>
      <c r="C55" s="307"/>
      <c r="D55" s="308"/>
      <c r="E55" s="308"/>
      <c r="F55" s="308"/>
      <c r="G55" s="308"/>
      <c r="H55" s="308"/>
      <c r="I55" s="308"/>
      <c r="J55" s="308"/>
      <c r="K55" s="308"/>
      <c r="L55" s="308"/>
      <c r="M55" s="308"/>
    </row>
    <row r="56" spans="1:15" s="317" customFormat="1" ht="19.5" customHeight="1" x14ac:dyDescent="0.35">
      <c r="A56" s="313"/>
      <c r="B56" s="314" t="s">
        <v>462</v>
      </c>
      <c r="C56" s="315"/>
      <c r="D56" s="316"/>
      <c r="E56" s="316"/>
      <c r="F56" s="316"/>
      <c r="G56" s="316"/>
      <c r="H56" s="316"/>
      <c r="I56" s="316"/>
      <c r="J56" s="316"/>
      <c r="K56" s="316"/>
      <c r="L56" s="316"/>
      <c r="M56" s="316"/>
    </row>
    <row r="57" spans="1:15" s="261" customFormat="1" ht="19.5" customHeight="1" thickBot="1" x14ac:dyDescent="0.4">
      <c r="A57" s="337"/>
      <c r="B57" s="337"/>
      <c r="C57" s="337"/>
      <c r="D57" s="338"/>
      <c r="E57" s="338"/>
      <c r="F57" s="338"/>
      <c r="G57" s="338"/>
      <c r="H57" s="338"/>
      <c r="I57" s="338"/>
      <c r="J57" s="338"/>
      <c r="K57" s="338"/>
      <c r="L57" s="338"/>
      <c r="M57" s="338"/>
    </row>
    <row r="58" spans="1:15" s="117" customFormat="1" ht="34" customHeight="1" x14ac:dyDescent="0.3">
      <c r="B58" s="467" t="s">
        <v>137</v>
      </c>
      <c r="C58" s="468" t="s">
        <v>320</v>
      </c>
      <c r="D58" s="468" t="s">
        <v>321</v>
      </c>
      <c r="E58" s="468" t="s">
        <v>322</v>
      </c>
      <c r="F58" s="468" t="s">
        <v>323</v>
      </c>
      <c r="G58" s="468" t="s">
        <v>10</v>
      </c>
      <c r="H58" s="468" t="s">
        <v>324</v>
      </c>
      <c r="I58" s="468" t="s">
        <v>325</v>
      </c>
      <c r="J58" s="468" t="s">
        <v>326</v>
      </c>
      <c r="K58" s="469" t="s">
        <v>327</v>
      </c>
      <c r="M58" s="18"/>
    </row>
    <row r="59" spans="1:15" ht="42" x14ac:dyDescent="0.3">
      <c r="B59" s="806" t="s">
        <v>363</v>
      </c>
      <c r="C59" s="319" t="s">
        <v>148</v>
      </c>
      <c r="D59" s="319" t="s">
        <v>167</v>
      </c>
      <c r="E59" s="319" t="s">
        <v>168</v>
      </c>
      <c r="F59" s="319">
        <v>90</v>
      </c>
      <c r="G59" s="319" t="s">
        <v>25</v>
      </c>
      <c r="H59" s="320"/>
      <c r="I59" s="319">
        <v>0.93069999999999997</v>
      </c>
      <c r="J59" s="319"/>
      <c r="K59" s="478" t="s">
        <v>339</v>
      </c>
      <c r="M59" s="18"/>
    </row>
    <row r="60" spans="1:15" ht="42" x14ac:dyDescent="0.3">
      <c r="B60" s="806"/>
      <c r="C60" s="319" t="s">
        <v>151</v>
      </c>
      <c r="D60" s="319" t="s">
        <v>189</v>
      </c>
      <c r="E60" s="319" t="s">
        <v>747</v>
      </c>
      <c r="F60" s="319">
        <v>380</v>
      </c>
      <c r="G60" s="319" t="s">
        <v>187</v>
      </c>
      <c r="H60" s="320"/>
      <c r="I60" s="319">
        <v>0.1537</v>
      </c>
      <c r="J60" s="319"/>
      <c r="K60" s="478" t="s">
        <v>339</v>
      </c>
      <c r="M60" s="18"/>
    </row>
    <row r="61" spans="1:15" ht="28" x14ac:dyDescent="0.3">
      <c r="B61" s="806"/>
      <c r="C61" s="319" t="s">
        <v>149</v>
      </c>
      <c r="D61" s="319" t="s">
        <v>169</v>
      </c>
      <c r="E61" s="319" t="s">
        <v>170</v>
      </c>
      <c r="F61" s="319">
        <v>2964</v>
      </c>
      <c r="G61" s="319" t="s">
        <v>171</v>
      </c>
      <c r="H61" s="320"/>
      <c r="I61" s="319">
        <v>11.7079</v>
      </c>
      <c r="J61" s="319"/>
      <c r="K61" s="478" t="s">
        <v>328</v>
      </c>
      <c r="M61" s="18"/>
    </row>
    <row r="62" spans="1:15" ht="28" x14ac:dyDescent="0.3">
      <c r="B62" s="806"/>
      <c r="C62" s="319" t="s">
        <v>157</v>
      </c>
      <c r="D62" s="319" t="s">
        <v>172</v>
      </c>
      <c r="E62" s="319" t="s">
        <v>173</v>
      </c>
      <c r="F62" s="319">
        <v>17</v>
      </c>
      <c r="G62" s="319" t="s">
        <v>171</v>
      </c>
      <c r="H62" s="320"/>
      <c r="I62" s="319">
        <v>4.3441000000000001</v>
      </c>
      <c r="J62" s="319"/>
      <c r="K62" s="478" t="s">
        <v>338</v>
      </c>
      <c r="M62" s="18"/>
    </row>
    <row r="63" spans="1:15" ht="28" x14ac:dyDescent="0.3">
      <c r="B63" s="806"/>
      <c r="C63" s="319" t="s">
        <v>157</v>
      </c>
      <c r="D63" s="319" t="s">
        <v>172</v>
      </c>
      <c r="E63" s="319" t="s">
        <v>174</v>
      </c>
      <c r="F63" s="319">
        <v>180</v>
      </c>
      <c r="G63" s="319" t="s">
        <v>171</v>
      </c>
      <c r="H63" s="320"/>
      <c r="I63" s="319">
        <v>47.348300000000002</v>
      </c>
      <c r="J63" s="319"/>
      <c r="K63" s="478" t="s">
        <v>338</v>
      </c>
      <c r="M63" s="18"/>
    </row>
    <row r="64" spans="1:15" ht="28" x14ac:dyDescent="0.3">
      <c r="B64" s="806"/>
      <c r="C64" s="319" t="s">
        <v>157</v>
      </c>
      <c r="D64" s="319" t="s">
        <v>172</v>
      </c>
      <c r="E64" s="319" t="s">
        <v>174</v>
      </c>
      <c r="F64" s="319">
        <v>313</v>
      </c>
      <c r="G64" s="319" t="s">
        <v>171</v>
      </c>
      <c r="H64" s="320"/>
      <c r="I64" s="319">
        <v>82.333500000000001</v>
      </c>
      <c r="J64" s="319"/>
      <c r="K64" s="478" t="s">
        <v>338</v>
      </c>
      <c r="M64" s="18"/>
    </row>
    <row r="65" spans="2:13" ht="28" x14ac:dyDescent="0.3">
      <c r="B65" s="806"/>
      <c r="C65" s="319" t="s">
        <v>157</v>
      </c>
      <c r="D65" s="319" t="s">
        <v>172</v>
      </c>
      <c r="E65" s="319" t="s">
        <v>174</v>
      </c>
      <c r="F65" s="319">
        <v>12</v>
      </c>
      <c r="G65" s="319" t="s">
        <v>171</v>
      </c>
      <c r="H65" s="320"/>
      <c r="I65" s="319">
        <v>3.1566000000000001</v>
      </c>
      <c r="J65" s="319"/>
      <c r="K65" s="478" t="s">
        <v>338</v>
      </c>
      <c r="M65" s="18"/>
    </row>
    <row r="66" spans="2:13" ht="28" x14ac:dyDescent="0.3">
      <c r="B66" s="806"/>
      <c r="C66" s="319" t="s">
        <v>157</v>
      </c>
      <c r="D66" s="319" t="s">
        <v>172</v>
      </c>
      <c r="E66" s="319" t="s">
        <v>271</v>
      </c>
      <c r="F66" s="319">
        <v>100</v>
      </c>
      <c r="G66" s="319" t="s">
        <v>175</v>
      </c>
      <c r="H66" s="320"/>
      <c r="I66" s="319">
        <v>347.75880000000001</v>
      </c>
      <c r="J66" s="319"/>
      <c r="K66" s="478" t="s">
        <v>338</v>
      </c>
      <c r="M66" s="18"/>
    </row>
    <row r="67" spans="2:13" ht="42" x14ac:dyDescent="0.3">
      <c r="B67" s="806"/>
      <c r="C67" s="319" t="s">
        <v>157</v>
      </c>
      <c r="D67" s="319" t="s">
        <v>172</v>
      </c>
      <c r="E67" s="319" t="s">
        <v>270</v>
      </c>
      <c r="F67" s="319">
        <v>20</v>
      </c>
      <c r="G67" s="319" t="s">
        <v>175</v>
      </c>
      <c r="H67" s="320"/>
      <c r="I67" s="319">
        <v>7.3731</v>
      </c>
      <c r="J67" s="319"/>
      <c r="K67" s="478" t="s">
        <v>338</v>
      </c>
      <c r="M67" s="18"/>
    </row>
    <row r="68" spans="2:13" ht="42" x14ac:dyDescent="0.3">
      <c r="B68" s="806"/>
      <c r="C68" s="319" t="s">
        <v>157</v>
      </c>
      <c r="D68" s="319" t="s">
        <v>176</v>
      </c>
      <c r="E68" s="319" t="s">
        <v>177</v>
      </c>
      <c r="F68" s="319">
        <v>68</v>
      </c>
      <c r="G68" s="319" t="s">
        <v>178</v>
      </c>
      <c r="H68" s="320"/>
      <c r="I68" s="319">
        <v>41.022799999999997</v>
      </c>
      <c r="J68" s="319"/>
      <c r="K68" s="478" t="s">
        <v>330</v>
      </c>
      <c r="M68" s="18"/>
    </row>
    <row r="69" spans="2:13" ht="42" x14ac:dyDescent="0.3">
      <c r="B69" s="806"/>
      <c r="C69" s="319" t="s">
        <v>152</v>
      </c>
      <c r="D69" s="319" t="s">
        <v>265</v>
      </c>
      <c r="E69" s="319" t="s">
        <v>362</v>
      </c>
      <c r="F69" s="319">
        <v>48</v>
      </c>
      <c r="G69" s="319" t="s">
        <v>25</v>
      </c>
      <c r="H69" s="320"/>
      <c r="I69" s="319">
        <v>0.35489999999999999</v>
      </c>
      <c r="J69" s="319"/>
      <c r="K69" s="478" t="s">
        <v>330</v>
      </c>
      <c r="M69" s="18"/>
    </row>
    <row r="70" spans="2:13" ht="42" x14ac:dyDescent="0.3">
      <c r="B70" s="806"/>
      <c r="C70" s="319" t="s">
        <v>155</v>
      </c>
      <c r="D70" s="319" t="s">
        <v>179</v>
      </c>
      <c r="E70" s="319" t="s">
        <v>253</v>
      </c>
      <c r="F70" s="319">
        <v>905</v>
      </c>
      <c r="G70" s="319" t="s">
        <v>25</v>
      </c>
      <c r="H70" s="320"/>
      <c r="I70" s="319">
        <v>5.4733999999999998</v>
      </c>
      <c r="J70" s="319"/>
      <c r="K70" s="478" t="s">
        <v>339</v>
      </c>
      <c r="M70" s="18"/>
    </row>
    <row r="71" spans="2:13" ht="28" x14ac:dyDescent="0.3">
      <c r="B71" s="806"/>
      <c r="C71" s="319" t="s">
        <v>148</v>
      </c>
      <c r="D71" s="319" t="s">
        <v>167</v>
      </c>
      <c r="E71" s="319" t="s">
        <v>267</v>
      </c>
      <c r="F71" s="319">
        <v>82</v>
      </c>
      <c r="G71" s="319" t="s">
        <v>25</v>
      </c>
      <c r="H71" s="320"/>
      <c r="I71" s="319">
        <v>0.83830000000000005</v>
      </c>
      <c r="J71" s="319"/>
      <c r="K71" s="478" t="s">
        <v>339</v>
      </c>
      <c r="M71" s="18"/>
    </row>
    <row r="72" spans="2:13" ht="28" x14ac:dyDescent="0.3">
      <c r="B72" s="806"/>
      <c r="C72" s="319" t="s">
        <v>148</v>
      </c>
      <c r="D72" s="319" t="s">
        <v>180</v>
      </c>
      <c r="E72" s="319" t="s">
        <v>188</v>
      </c>
      <c r="F72" s="319">
        <v>4</v>
      </c>
      <c r="G72" s="319" t="s">
        <v>175</v>
      </c>
      <c r="H72" s="320"/>
      <c r="I72" s="319">
        <v>10.036099999999999</v>
      </c>
      <c r="J72" s="319"/>
      <c r="K72" s="478" t="s">
        <v>338</v>
      </c>
      <c r="M72" s="18"/>
    </row>
    <row r="73" spans="2:13" ht="42" x14ac:dyDescent="0.3">
      <c r="B73" s="806"/>
      <c r="C73" s="319" t="s">
        <v>148</v>
      </c>
      <c r="D73" s="319" t="s">
        <v>182</v>
      </c>
      <c r="E73" s="319" t="s">
        <v>268</v>
      </c>
      <c r="F73" s="319">
        <v>34</v>
      </c>
      <c r="G73" s="319" t="s">
        <v>25</v>
      </c>
      <c r="H73" s="320"/>
      <c r="I73" s="319">
        <v>1.5375000000000001</v>
      </c>
      <c r="J73" s="319"/>
      <c r="K73" s="478" t="s">
        <v>338</v>
      </c>
      <c r="M73" s="18"/>
    </row>
    <row r="74" spans="2:13" ht="28" x14ac:dyDescent="0.3">
      <c r="B74" s="806"/>
      <c r="C74" s="319" t="s">
        <v>147</v>
      </c>
      <c r="D74" s="319" t="s">
        <v>183</v>
      </c>
      <c r="E74" s="319" t="s">
        <v>184</v>
      </c>
      <c r="F74" s="319">
        <v>34</v>
      </c>
      <c r="G74" s="319" t="s">
        <v>25</v>
      </c>
      <c r="H74" s="320"/>
      <c r="I74" s="319">
        <v>2.0916999999999999</v>
      </c>
      <c r="J74" s="319"/>
      <c r="K74" s="478" t="s">
        <v>330</v>
      </c>
      <c r="M74" s="18"/>
    </row>
    <row r="75" spans="2:13" ht="42" x14ac:dyDescent="0.3">
      <c r="B75" s="806"/>
      <c r="C75" s="319" t="s">
        <v>152</v>
      </c>
      <c r="D75" s="319" t="s">
        <v>185</v>
      </c>
      <c r="E75" s="319" t="s">
        <v>186</v>
      </c>
      <c r="F75" s="319">
        <v>214</v>
      </c>
      <c r="G75" s="319" t="s">
        <v>187</v>
      </c>
      <c r="H75" s="320"/>
      <c r="I75" s="319">
        <v>0.1113</v>
      </c>
      <c r="J75" s="319"/>
      <c r="K75" s="478" t="s">
        <v>339</v>
      </c>
      <c r="M75" s="18"/>
    </row>
    <row r="76" spans="2:13" ht="42" x14ac:dyDescent="0.3">
      <c r="B76" s="806"/>
      <c r="C76" s="319" t="s">
        <v>152</v>
      </c>
      <c r="D76" s="319" t="s">
        <v>185</v>
      </c>
      <c r="E76" s="319" t="s">
        <v>186</v>
      </c>
      <c r="F76" s="319">
        <v>113</v>
      </c>
      <c r="G76" s="319" t="s">
        <v>187</v>
      </c>
      <c r="H76" s="320"/>
      <c r="I76" s="319">
        <v>5.8799999999999998E-2</v>
      </c>
      <c r="J76" s="319"/>
      <c r="K76" s="478" t="s">
        <v>339</v>
      </c>
      <c r="M76" s="18"/>
    </row>
    <row r="77" spans="2:13" ht="28" x14ac:dyDescent="0.3">
      <c r="B77" s="806"/>
      <c r="C77" s="319" t="s">
        <v>161</v>
      </c>
      <c r="D77" s="319" t="s">
        <v>190</v>
      </c>
      <c r="E77" s="319" t="s">
        <v>193</v>
      </c>
      <c r="F77" s="319">
        <v>1421</v>
      </c>
      <c r="G77" s="319" t="s">
        <v>192</v>
      </c>
      <c r="H77" s="320">
        <v>0.12</v>
      </c>
      <c r="I77" s="319">
        <v>0.9677</v>
      </c>
      <c r="J77" s="319">
        <v>0.11609999999999999</v>
      </c>
      <c r="K77" s="478" t="s">
        <v>337</v>
      </c>
      <c r="M77" s="18"/>
    </row>
    <row r="78" spans="2:13" ht="28" x14ac:dyDescent="0.3">
      <c r="B78" s="806"/>
      <c r="C78" s="319" t="s">
        <v>161</v>
      </c>
      <c r="D78" s="319" t="s">
        <v>190</v>
      </c>
      <c r="E78" s="319" t="s">
        <v>191</v>
      </c>
      <c r="F78" s="319">
        <v>1370</v>
      </c>
      <c r="G78" s="319" t="s">
        <v>192</v>
      </c>
      <c r="H78" s="320"/>
      <c r="I78" s="319">
        <v>0.36030000000000001</v>
      </c>
      <c r="J78" s="319"/>
      <c r="K78" s="478" t="s">
        <v>337</v>
      </c>
      <c r="M78" s="18"/>
    </row>
    <row r="79" spans="2:13" s="321" customFormat="1" ht="25" customHeight="1" x14ac:dyDescent="0.3">
      <c r="B79" s="806"/>
      <c r="C79" s="319" t="s">
        <v>148</v>
      </c>
      <c r="D79" s="319" t="s">
        <v>180</v>
      </c>
      <c r="E79" s="319" t="s">
        <v>181</v>
      </c>
      <c r="F79" s="319">
        <v>4</v>
      </c>
      <c r="G79" s="319" t="s">
        <v>175</v>
      </c>
      <c r="H79" s="320"/>
      <c r="I79" s="319">
        <v>2.1627000000000001</v>
      </c>
      <c r="J79" s="319"/>
      <c r="K79" s="478" t="s">
        <v>338</v>
      </c>
      <c r="M79" s="339"/>
    </row>
    <row r="80" spans="2:13" x14ac:dyDescent="0.3">
      <c r="B80" s="484" t="s">
        <v>344</v>
      </c>
      <c r="C80" s="481"/>
      <c r="D80" s="481"/>
      <c r="E80" s="481"/>
      <c r="F80" s="481"/>
      <c r="G80" s="481"/>
      <c r="H80" s="489"/>
      <c r="I80" s="482">
        <f>SUM(I59:I79)</f>
        <v>570.12220000000013</v>
      </c>
      <c r="J80" s="483">
        <f>SUM(J59:J79)</f>
        <v>0.11609999999999999</v>
      </c>
      <c r="K80" s="479" t="s">
        <v>90</v>
      </c>
    </row>
    <row r="81" spans="2:13" ht="42" x14ac:dyDescent="0.3">
      <c r="B81" s="806" t="s">
        <v>287</v>
      </c>
      <c r="C81" s="319" t="s">
        <v>148</v>
      </c>
      <c r="D81" s="319" t="s">
        <v>167</v>
      </c>
      <c r="E81" s="319" t="s">
        <v>168</v>
      </c>
      <c r="F81" s="319">
        <v>90</v>
      </c>
      <c r="G81" s="319" t="s">
        <v>25</v>
      </c>
      <c r="H81" s="320"/>
      <c r="I81" s="319">
        <v>0.93069999999999997</v>
      </c>
      <c r="J81" s="319"/>
      <c r="K81" s="478" t="s">
        <v>339</v>
      </c>
      <c r="M81" s="18"/>
    </row>
    <row r="82" spans="2:13" ht="28" x14ac:dyDescent="0.3">
      <c r="B82" s="806"/>
      <c r="C82" s="319" t="s">
        <v>149</v>
      </c>
      <c r="D82" s="319" t="s">
        <v>169</v>
      </c>
      <c r="E82" s="319" t="s">
        <v>170</v>
      </c>
      <c r="F82" s="319">
        <v>2482</v>
      </c>
      <c r="G82" s="319" t="s">
        <v>171</v>
      </c>
      <c r="H82" s="320"/>
      <c r="I82" s="319">
        <v>9.8040000000000003</v>
      </c>
      <c r="J82" s="319"/>
      <c r="K82" s="478" t="s">
        <v>328</v>
      </c>
      <c r="M82" s="18"/>
    </row>
    <row r="83" spans="2:13" ht="42" x14ac:dyDescent="0.3">
      <c r="B83" s="806"/>
      <c r="C83" s="319" t="s">
        <v>151</v>
      </c>
      <c r="D83" s="319" t="s">
        <v>189</v>
      </c>
      <c r="E83" s="319" t="s">
        <v>747</v>
      </c>
      <c r="F83" s="319">
        <v>103</v>
      </c>
      <c r="G83" s="319" t="s">
        <v>187</v>
      </c>
      <c r="H83" s="320"/>
      <c r="I83" s="319">
        <v>4.1700000000000001E-2</v>
      </c>
      <c r="J83" s="319"/>
      <c r="K83" s="478" t="s">
        <v>339</v>
      </c>
      <c r="M83" s="18"/>
    </row>
    <row r="84" spans="2:13" ht="28" x14ac:dyDescent="0.3">
      <c r="B84" s="806"/>
      <c r="C84" s="319" t="s">
        <v>157</v>
      </c>
      <c r="D84" s="319" t="s">
        <v>172</v>
      </c>
      <c r="E84" s="319" t="s">
        <v>173</v>
      </c>
      <c r="F84" s="319">
        <v>11</v>
      </c>
      <c r="G84" s="319" t="s">
        <v>171</v>
      </c>
      <c r="H84" s="320"/>
      <c r="I84" s="319">
        <v>2.8109000000000002</v>
      </c>
      <c r="J84" s="319"/>
      <c r="K84" s="478" t="s">
        <v>338</v>
      </c>
      <c r="M84" s="18"/>
    </row>
    <row r="85" spans="2:13" ht="28" x14ac:dyDescent="0.3">
      <c r="B85" s="806"/>
      <c r="C85" s="319" t="s">
        <v>157</v>
      </c>
      <c r="D85" s="319" t="s">
        <v>172</v>
      </c>
      <c r="E85" s="319" t="s">
        <v>174</v>
      </c>
      <c r="F85" s="319">
        <v>225</v>
      </c>
      <c r="G85" s="319" t="s">
        <v>171</v>
      </c>
      <c r="H85" s="320"/>
      <c r="I85" s="319">
        <v>59.185400000000001</v>
      </c>
      <c r="J85" s="319"/>
      <c r="K85" s="478" t="s">
        <v>338</v>
      </c>
      <c r="M85" s="18"/>
    </row>
    <row r="86" spans="2:13" ht="28" x14ac:dyDescent="0.3">
      <c r="B86" s="806"/>
      <c r="C86" s="319" t="s">
        <v>157</v>
      </c>
      <c r="D86" s="319" t="s">
        <v>172</v>
      </c>
      <c r="E86" s="319" t="s">
        <v>174</v>
      </c>
      <c r="F86" s="319">
        <v>200</v>
      </c>
      <c r="G86" s="319" t="s">
        <v>171</v>
      </c>
      <c r="H86" s="320"/>
      <c r="I86" s="319">
        <v>52.609200000000001</v>
      </c>
      <c r="J86" s="319"/>
      <c r="K86" s="478" t="s">
        <v>338</v>
      </c>
      <c r="M86" s="18"/>
    </row>
    <row r="87" spans="2:13" ht="28" x14ac:dyDescent="0.3">
      <c r="B87" s="806"/>
      <c r="C87" s="319" t="s">
        <v>157</v>
      </c>
      <c r="D87" s="319" t="s">
        <v>172</v>
      </c>
      <c r="E87" s="319" t="s">
        <v>174</v>
      </c>
      <c r="F87" s="319">
        <v>15</v>
      </c>
      <c r="G87" s="319" t="s">
        <v>171</v>
      </c>
      <c r="H87" s="320"/>
      <c r="I87" s="319">
        <v>3.9457</v>
      </c>
      <c r="J87" s="319"/>
      <c r="K87" s="478" t="s">
        <v>338</v>
      </c>
      <c r="M87" s="18"/>
    </row>
    <row r="88" spans="2:13" ht="28" x14ac:dyDescent="0.3">
      <c r="B88" s="806"/>
      <c r="C88" s="319" t="s">
        <v>161</v>
      </c>
      <c r="D88" s="319" t="s">
        <v>190</v>
      </c>
      <c r="E88" s="319" t="s">
        <v>193</v>
      </c>
      <c r="F88" s="319">
        <v>1043</v>
      </c>
      <c r="G88" s="319" t="s">
        <v>192</v>
      </c>
      <c r="H88" s="320">
        <v>0.12</v>
      </c>
      <c r="I88" s="319">
        <v>0.71030000000000004</v>
      </c>
      <c r="J88" s="319">
        <v>8.5199999999999998E-2</v>
      </c>
      <c r="K88" s="478" t="s">
        <v>337</v>
      </c>
      <c r="M88" s="18"/>
    </row>
    <row r="89" spans="2:13" ht="28" x14ac:dyDescent="0.3">
      <c r="B89" s="806"/>
      <c r="C89" s="319" t="s">
        <v>161</v>
      </c>
      <c r="D89" s="319" t="s">
        <v>190</v>
      </c>
      <c r="E89" s="319" t="s">
        <v>191</v>
      </c>
      <c r="F89" s="319">
        <v>1006</v>
      </c>
      <c r="G89" s="319" t="s">
        <v>192</v>
      </c>
      <c r="H89" s="320"/>
      <c r="I89" s="319">
        <v>0.2646</v>
      </c>
      <c r="J89" s="319"/>
      <c r="K89" s="478" t="s">
        <v>337</v>
      </c>
      <c r="M89" s="18"/>
    </row>
    <row r="90" spans="2:13" ht="28" x14ac:dyDescent="0.3">
      <c r="B90" s="806"/>
      <c r="C90" s="319" t="s">
        <v>157</v>
      </c>
      <c r="D90" s="319" t="s">
        <v>172</v>
      </c>
      <c r="E90" s="319" t="s">
        <v>271</v>
      </c>
      <c r="F90" s="319">
        <v>70</v>
      </c>
      <c r="G90" s="319" t="s">
        <v>175</v>
      </c>
      <c r="H90" s="320"/>
      <c r="I90" s="319">
        <v>243.43109999999999</v>
      </c>
      <c r="J90" s="319"/>
      <c r="K90" s="478" t="s">
        <v>338</v>
      </c>
      <c r="M90" s="18"/>
    </row>
    <row r="91" spans="2:13" ht="42" x14ac:dyDescent="0.3">
      <c r="B91" s="806"/>
      <c r="C91" s="319" t="s">
        <v>157</v>
      </c>
      <c r="D91" s="319" t="s">
        <v>172</v>
      </c>
      <c r="E91" s="319" t="s">
        <v>269</v>
      </c>
      <c r="F91" s="319">
        <v>19</v>
      </c>
      <c r="G91" s="319" t="s">
        <v>175</v>
      </c>
      <c r="H91" s="320"/>
      <c r="I91" s="319">
        <v>13.7774</v>
      </c>
      <c r="J91" s="319"/>
      <c r="K91" s="478" t="s">
        <v>338</v>
      </c>
      <c r="M91" s="18"/>
    </row>
    <row r="92" spans="2:13" ht="42" x14ac:dyDescent="0.3">
      <c r="B92" s="806"/>
      <c r="C92" s="319" t="s">
        <v>157</v>
      </c>
      <c r="D92" s="319" t="s">
        <v>176</v>
      </c>
      <c r="E92" s="319" t="s">
        <v>177</v>
      </c>
      <c r="F92" s="319">
        <v>70</v>
      </c>
      <c r="G92" s="319" t="s">
        <v>178</v>
      </c>
      <c r="H92" s="320"/>
      <c r="I92" s="319">
        <v>42.229300000000002</v>
      </c>
      <c r="J92" s="319"/>
      <c r="K92" s="478" t="s">
        <v>330</v>
      </c>
      <c r="M92" s="18"/>
    </row>
    <row r="93" spans="2:13" ht="42" x14ac:dyDescent="0.3">
      <c r="B93" s="806"/>
      <c r="C93" s="319" t="s">
        <v>152</v>
      </c>
      <c r="D93" s="319" t="s">
        <v>265</v>
      </c>
      <c r="E93" s="319" t="s">
        <v>266</v>
      </c>
      <c r="F93" s="319">
        <v>24</v>
      </c>
      <c r="G93" s="319" t="s">
        <v>25</v>
      </c>
      <c r="H93" s="320"/>
      <c r="I93" s="319">
        <v>0.1764</v>
      </c>
      <c r="J93" s="319"/>
      <c r="K93" s="478" t="s">
        <v>330</v>
      </c>
      <c r="M93" s="18"/>
    </row>
    <row r="94" spans="2:13" ht="42" x14ac:dyDescent="0.3">
      <c r="B94" s="806"/>
      <c r="C94" s="319" t="s">
        <v>155</v>
      </c>
      <c r="D94" s="319" t="s">
        <v>179</v>
      </c>
      <c r="E94" s="319" t="s">
        <v>253</v>
      </c>
      <c r="F94" s="319">
        <v>428</v>
      </c>
      <c r="G94" s="319" t="s">
        <v>25</v>
      </c>
      <c r="H94" s="320"/>
      <c r="I94" s="319">
        <v>2.5884999999999998</v>
      </c>
      <c r="J94" s="319"/>
      <c r="K94" s="478" t="s">
        <v>339</v>
      </c>
      <c r="M94" s="18"/>
    </row>
    <row r="95" spans="2:13" ht="42" x14ac:dyDescent="0.3">
      <c r="B95" s="806"/>
      <c r="C95" s="319" t="s">
        <v>148</v>
      </c>
      <c r="D95" s="319" t="s">
        <v>167</v>
      </c>
      <c r="E95" s="319" t="s">
        <v>168</v>
      </c>
      <c r="F95" s="319">
        <v>54</v>
      </c>
      <c r="G95" s="319" t="s">
        <v>25</v>
      </c>
      <c r="H95" s="320"/>
      <c r="I95" s="319">
        <v>0.55840000000000001</v>
      </c>
      <c r="J95" s="319"/>
      <c r="K95" s="478" t="s">
        <v>339</v>
      </c>
      <c r="M95" s="18"/>
    </row>
    <row r="96" spans="2:13" ht="28" x14ac:dyDescent="0.3">
      <c r="B96" s="806"/>
      <c r="C96" s="319" t="s">
        <v>148</v>
      </c>
      <c r="D96" s="319" t="s">
        <v>180</v>
      </c>
      <c r="E96" s="319" t="s">
        <v>188</v>
      </c>
      <c r="F96" s="319">
        <v>4</v>
      </c>
      <c r="G96" s="319" t="s">
        <v>175</v>
      </c>
      <c r="H96" s="320"/>
      <c r="I96" s="319">
        <v>10.036099999999999</v>
      </c>
      <c r="J96" s="319"/>
      <c r="K96" s="478" t="s">
        <v>338</v>
      </c>
      <c r="M96" s="18"/>
    </row>
    <row r="97" spans="2:13" ht="56" x14ac:dyDescent="0.3">
      <c r="B97" s="806"/>
      <c r="C97" s="319" t="s">
        <v>148</v>
      </c>
      <c r="D97" s="319" t="s">
        <v>180</v>
      </c>
      <c r="E97" s="319" t="s">
        <v>181</v>
      </c>
      <c r="F97" s="319">
        <v>4</v>
      </c>
      <c r="G97" s="319" t="s">
        <v>175</v>
      </c>
      <c r="H97" s="320"/>
      <c r="I97" s="319">
        <v>2.1627000000000001</v>
      </c>
      <c r="J97" s="319"/>
      <c r="K97" s="478" t="s">
        <v>338</v>
      </c>
      <c r="M97" s="18"/>
    </row>
    <row r="98" spans="2:13" ht="42" x14ac:dyDescent="0.3">
      <c r="B98" s="806"/>
      <c r="C98" s="319" t="s">
        <v>148</v>
      </c>
      <c r="D98" s="319" t="s">
        <v>182</v>
      </c>
      <c r="E98" s="319" t="s">
        <v>268</v>
      </c>
      <c r="F98" s="319">
        <v>30</v>
      </c>
      <c r="G98" s="319" t="s">
        <v>25</v>
      </c>
      <c r="H98" s="320"/>
      <c r="I98" s="319">
        <v>1.3566</v>
      </c>
      <c r="J98" s="319"/>
      <c r="K98" s="478" t="s">
        <v>338</v>
      </c>
      <c r="M98" s="18"/>
    </row>
    <row r="99" spans="2:13" ht="28" x14ac:dyDescent="0.3">
      <c r="B99" s="806"/>
      <c r="C99" s="319" t="s">
        <v>147</v>
      </c>
      <c r="D99" s="319" t="s">
        <v>183</v>
      </c>
      <c r="E99" s="319" t="s">
        <v>184</v>
      </c>
      <c r="F99" s="319">
        <v>30</v>
      </c>
      <c r="G99" s="319" t="s">
        <v>25</v>
      </c>
      <c r="H99" s="320"/>
      <c r="I99" s="319">
        <v>1.8455999999999999</v>
      </c>
      <c r="J99" s="319"/>
      <c r="K99" s="478" t="s">
        <v>330</v>
      </c>
      <c r="M99" s="18"/>
    </row>
    <row r="100" spans="2:13" ht="42" x14ac:dyDescent="0.3">
      <c r="B100" s="806"/>
      <c r="C100" s="319" t="s">
        <v>152</v>
      </c>
      <c r="D100" s="319" t="s">
        <v>185</v>
      </c>
      <c r="E100" s="319" t="s">
        <v>186</v>
      </c>
      <c r="F100" s="319">
        <v>244</v>
      </c>
      <c r="G100" s="319" t="s">
        <v>187</v>
      </c>
      <c r="H100" s="320"/>
      <c r="I100" s="319">
        <v>0.12690000000000001</v>
      </c>
      <c r="J100" s="319"/>
      <c r="K100" s="478" t="s">
        <v>339</v>
      </c>
      <c r="M100" s="18"/>
    </row>
    <row r="101" spans="2:13" s="321" customFormat="1" ht="25" customHeight="1" x14ac:dyDescent="0.3">
      <c r="B101" s="806"/>
      <c r="C101" s="319" t="s">
        <v>152</v>
      </c>
      <c r="D101" s="319" t="s">
        <v>185</v>
      </c>
      <c r="E101" s="319" t="s">
        <v>186</v>
      </c>
      <c r="F101" s="319">
        <v>151</v>
      </c>
      <c r="G101" s="319" t="s">
        <v>187</v>
      </c>
      <c r="H101" s="320"/>
      <c r="I101" s="319">
        <v>7.85E-2</v>
      </c>
      <c r="J101" s="319"/>
      <c r="K101" s="478" t="s">
        <v>339</v>
      </c>
      <c r="M101" s="339"/>
    </row>
    <row r="102" spans="2:13" x14ac:dyDescent="0.3">
      <c r="B102" s="484" t="s">
        <v>344</v>
      </c>
      <c r="C102" s="481"/>
      <c r="D102" s="481"/>
      <c r="E102" s="481"/>
      <c r="F102" s="481"/>
      <c r="G102" s="481"/>
      <c r="H102" s="489"/>
      <c r="I102" s="482">
        <f>SUM(I81:I101)</f>
        <v>448.66999999999996</v>
      </c>
      <c r="J102" s="483">
        <f>SUM(J81:J101)</f>
        <v>8.5199999999999998E-2</v>
      </c>
      <c r="K102" s="479" t="s">
        <v>90</v>
      </c>
    </row>
    <row r="103" spans="2:13" ht="37" customHeight="1" x14ac:dyDescent="0.3">
      <c r="B103" s="806" t="s">
        <v>364</v>
      </c>
      <c r="C103" s="319" t="s">
        <v>148</v>
      </c>
      <c r="D103" s="319" t="s">
        <v>167</v>
      </c>
      <c r="E103" s="319" t="s">
        <v>168</v>
      </c>
      <c r="F103" s="319">
        <v>70</v>
      </c>
      <c r="G103" s="319" t="s">
        <v>25</v>
      </c>
      <c r="H103" s="320"/>
      <c r="I103" s="319">
        <v>0.72389999999999999</v>
      </c>
      <c r="J103" s="319"/>
      <c r="K103" s="478" t="s">
        <v>339</v>
      </c>
      <c r="M103" s="18"/>
    </row>
    <row r="104" spans="2:13" ht="28" x14ac:dyDescent="0.3">
      <c r="B104" s="806"/>
      <c r="C104" s="319" t="s">
        <v>149</v>
      </c>
      <c r="D104" s="319" t="s">
        <v>169</v>
      </c>
      <c r="E104" s="319" t="s">
        <v>170</v>
      </c>
      <c r="F104" s="319">
        <v>2862</v>
      </c>
      <c r="G104" s="319" t="s">
        <v>171</v>
      </c>
      <c r="H104" s="320"/>
      <c r="I104" s="319">
        <v>11.305</v>
      </c>
      <c r="J104" s="319"/>
      <c r="K104" s="478" t="s">
        <v>328</v>
      </c>
      <c r="M104" s="18"/>
    </row>
    <row r="105" spans="2:13" ht="42" x14ac:dyDescent="0.3">
      <c r="B105" s="806"/>
      <c r="C105" s="319" t="s">
        <v>151</v>
      </c>
      <c r="D105" s="319" t="s">
        <v>189</v>
      </c>
      <c r="E105" s="319" t="s">
        <v>747</v>
      </c>
      <c r="F105" s="319">
        <v>793</v>
      </c>
      <c r="G105" s="319" t="s">
        <v>187</v>
      </c>
      <c r="H105" s="320"/>
      <c r="I105" s="319">
        <v>0.32079999999999997</v>
      </c>
      <c r="J105" s="319"/>
      <c r="K105" s="478" t="s">
        <v>339</v>
      </c>
      <c r="M105" s="18"/>
    </row>
    <row r="106" spans="2:13" ht="28" x14ac:dyDescent="0.3">
      <c r="B106" s="806"/>
      <c r="C106" s="319" t="s">
        <v>157</v>
      </c>
      <c r="D106" s="319" t="s">
        <v>172</v>
      </c>
      <c r="E106" s="319" t="s">
        <v>173</v>
      </c>
      <c r="F106" s="319">
        <v>12</v>
      </c>
      <c r="G106" s="319" t="s">
        <v>171</v>
      </c>
      <c r="H106" s="320"/>
      <c r="I106" s="319">
        <v>3.0663999999999998</v>
      </c>
      <c r="J106" s="319"/>
      <c r="K106" s="478" t="s">
        <v>338</v>
      </c>
      <c r="M106" s="18"/>
    </row>
    <row r="107" spans="2:13" ht="28" x14ac:dyDescent="0.3">
      <c r="B107" s="806"/>
      <c r="C107" s="319" t="s">
        <v>157</v>
      </c>
      <c r="D107" s="319" t="s">
        <v>172</v>
      </c>
      <c r="E107" s="319" t="s">
        <v>174</v>
      </c>
      <c r="F107" s="319">
        <v>129</v>
      </c>
      <c r="G107" s="319" t="s">
        <v>171</v>
      </c>
      <c r="H107" s="320"/>
      <c r="I107" s="319">
        <v>33.933</v>
      </c>
      <c r="J107" s="319"/>
      <c r="K107" s="478" t="s">
        <v>338</v>
      </c>
      <c r="M107" s="18"/>
    </row>
    <row r="108" spans="2:13" ht="28" x14ac:dyDescent="0.3">
      <c r="B108" s="806"/>
      <c r="C108" s="319" t="s">
        <v>157</v>
      </c>
      <c r="D108" s="319" t="s">
        <v>172</v>
      </c>
      <c r="E108" s="319" t="s">
        <v>174</v>
      </c>
      <c r="F108" s="319">
        <v>122</v>
      </c>
      <c r="G108" s="319" t="s">
        <v>171</v>
      </c>
      <c r="H108" s="320"/>
      <c r="I108" s="319">
        <v>32.0916</v>
      </c>
      <c r="J108" s="319"/>
      <c r="K108" s="478" t="s">
        <v>338</v>
      </c>
      <c r="M108" s="18"/>
    </row>
    <row r="109" spans="2:13" ht="28" x14ac:dyDescent="0.3">
      <c r="B109" s="806"/>
      <c r="C109" s="319" t="s">
        <v>157</v>
      </c>
      <c r="D109" s="319" t="s">
        <v>172</v>
      </c>
      <c r="E109" s="319" t="s">
        <v>174</v>
      </c>
      <c r="F109" s="319">
        <v>21</v>
      </c>
      <c r="G109" s="319" t="s">
        <v>171</v>
      </c>
      <c r="H109" s="320"/>
      <c r="I109" s="319">
        <v>5.524</v>
      </c>
      <c r="J109" s="319"/>
      <c r="K109" s="478" t="s">
        <v>338</v>
      </c>
      <c r="M109" s="18"/>
    </row>
    <row r="110" spans="2:13" ht="28" x14ac:dyDescent="0.3">
      <c r="B110" s="806"/>
      <c r="C110" s="319" t="s">
        <v>157</v>
      </c>
      <c r="D110" s="319" t="s">
        <v>172</v>
      </c>
      <c r="E110" s="319" t="s">
        <v>271</v>
      </c>
      <c r="F110" s="319">
        <v>170</v>
      </c>
      <c r="G110" s="319" t="s">
        <v>175</v>
      </c>
      <c r="H110" s="320"/>
      <c r="I110" s="319">
        <v>591.18989999999997</v>
      </c>
      <c r="J110" s="319"/>
      <c r="K110" s="478" t="s">
        <v>338</v>
      </c>
      <c r="M110" s="18"/>
    </row>
    <row r="111" spans="2:13" ht="42" x14ac:dyDescent="0.3">
      <c r="B111" s="806"/>
      <c r="C111" s="319" t="s">
        <v>157</v>
      </c>
      <c r="D111" s="319" t="s">
        <v>172</v>
      </c>
      <c r="E111" s="319" t="s">
        <v>269</v>
      </c>
      <c r="F111" s="319">
        <v>21</v>
      </c>
      <c r="G111" s="319" t="s">
        <v>175</v>
      </c>
      <c r="H111" s="320"/>
      <c r="I111" s="319">
        <v>15.227600000000001</v>
      </c>
      <c r="J111" s="319"/>
      <c r="K111" s="478" t="s">
        <v>338</v>
      </c>
      <c r="M111" s="18"/>
    </row>
    <row r="112" spans="2:13" ht="42" x14ac:dyDescent="0.3">
      <c r="B112" s="806"/>
      <c r="C112" s="319" t="s">
        <v>157</v>
      </c>
      <c r="D112" s="319" t="s">
        <v>176</v>
      </c>
      <c r="E112" s="319" t="s">
        <v>365</v>
      </c>
      <c r="F112" s="319">
        <v>33</v>
      </c>
      <c r="G112" s="319" t="s">
        <v>178</v>
      </c>
      <c r="H112" s="320"/>
      <c r="I112" s="319">
        <v>19.908100000000001</v>
      </c>
      <c r="J112" s="319"/>
      <c r="K112" s="478" t="s">
        <v>330</v>
      </c>
      <c r="M112" s="18"/>
    </row>
    <row r="113" spans="2:13" ht="42" x14ac:dyDescent="0.3">
      <c r="B113" s="806"/>
      <c r="C113" s="319" t="s">
        <v>152</v>
      </c>
      <c r="D113" s="319" t="s">
        <v>265</v>
      </c>
      <c r="E113" s="319" t="s">
        <v>362</v>
      </c>
      <c r="F113" s="319">
        <v>48</v>
      </c>
      <c r="G113" s="319" t="s">
        <v>25</v>
      </c>
      <c r="H113" s="320"/>
      <c r="I113" s="319">
        <v>0.35489999999999999</v>
      </c>
      <c r="J113" s="319"/>
      <c r="K113" s="478" t="s">
        <v>330</v>
      </c>
      <c r="M113" s="18"/>
    </row>
    <row r="114" spans="2:13" ht="42" x14ac:dyDescent="0.3">
      <c r="B114" s="806"/>
      <c r="C114" s="319" t="s">
        <v>155</v>
      </c>
      <c r="D114" s="319" t="s">
        <v>179</v>
      </c>
      <c r="E114" s="319" t="s">
        <v>253</v>
      </c>
      <c r="F114" s="319">
        <v>535</v>
      </c>
      <c r="G114" s="319" t="s">
        <v>25</v>
      </c>
      <c r="H114" s="320"/>
      <c r="I114" s="319">
        <v>3.2357</v>
      </c>
      <c r="J114" s="319"/>
      <c r="K114" s="478" t="s">
        <v>339</v>
      </c>
      <c r="M114" s="18"/>
    </row>
    <row r="115" spans="2:13" ht="28" x14ac:dyDescent="0.3">
      <c r="B115" s="806"/>
      <c r="C115" s="319" t="s">
        <v>148</v>
      </c>
      <c r="D115" s="319" t="s">
        <v>167</v>
      </c>
      <c r="E115" s="319" t="s">
        <v>267</v>
      </c>
      <c r="F115" s="319">
        <v>67</v>
      </c>
      <c r="G115" s="319" t="s">
        <v>25</v>
      </c>
      <c r="H115" s="320"/>
      <c r="I115" s="319">
        <v>0.68500000000000005</v>
      </c>
      <c r="J115" s="319"/>
      <c r="K115" s="478" t="s">
        <v>339</v>
      </c>
      <c r="M115" s="18"/>
    </row>
    <row r="116" spans="2:13" ht="56" x14ac:dyDescent="0.3">
      <c r="B116" s="806"/>
      <c r="C116" s="319" t="s">
        <v>148</v>
      </c>
      <c r="D116" s="319" t="s">
        <v>180</v>
      </c>
      <c r="E116" s="319" t="s">
        <v>181</v>
      </c>
      <c r="F116" s="319">
        <v>4</v>
      </c>
      <c r="G116" s="319" t="s">
        <v>175</v>
      </c>
      <c r="H116" s="320"/>
      <c r="I116" s="319">
        <v>2.1627000000000001</v>
      </c>
      <c r="J116" s="319"/>
      <c r="K116" s="478" t="s">
        <v>338</v>
      </c>
      <c r="M116" s="18"/>
    </row>
    <row r="117" spans="2:13" ht="28" x14ac:dyDescent="0.3">
      <c r="B117" s="806"/>
      <c r="C117" s="319" t="s">
        <v>148</v>
      </c>
      <c r="D117" s="319" t="s">
        <v>180</v>
      </c>
      <c r="E117" s="319" t="s">
        <v>188</v>
      </c>
      <c r="F117" s="319">
        <v>4</v>
      </c>
      <c r="G117" s="319" t="s">
        <v>175</v>
      </c>
      <c r="H117" s="320"/>
      <c r="I117" s="319">
        <v>10.036099999999999</v>
      </c>
      <c r="J117" s="319"/>
      <c r="K117" s="478" t="s">
        <v>338</v>
      </c>
      <c r="M117" s="18"/>
    </row>
    <row r="118" spans="2:13" ht="42" x14ac:dyDescent="0.3">
      <c r="B118" s="806"/>
      <c r="C118" s="319" t="s">
        <v>148</v>
      </c>
      <c r="D118" s="319" t="s">
        <v>182</v>
      </c>
      <c r="E118" s="319" t="s">
        <v>268</v>
      </c>
      <c r="F118" s="319">
        <v>44</v>
      </c>
      <c r="G118" s="319" t="s">
        <v>25</v>
      </c>
      <c r="H118" s="320"/>
      <c r="I118" s="319">
        <v>1.9897</v>
      </c>
      <c r="J118" s="319"/>
      <c r="K118" s="478" t="s">
        <v>338</v>
      </c>
      <c r="M118" s="18"/>
    </row>
    <row r="119" spans="2:13" ht="28" x14ac:dyDescent="0.3">
      <c r="B119" s="806"/>
      <c r="C119" s="319" t="s">
        <v>147</v>
      </c>
      <c r="D119" s="319" t="s">
        <v>183</v>
      </c>
      <c r="E119" s="319" t="s">
        <v>184</v>
      </c>
      <c r="F119" s="319">
        <v>43</v>
      </c>
      <c r="G119" s="319" t="s">
        <v>25</v>
      </c>
      <c r="H119" s="320"/>
      <c r="I119" s="319">
        <v>2.6454</v>
      </c>
      <c r="J119" s="319"/>
      <c r="K119" s="478" t="s">
        <v>330</v>
      </c>
      <c r="M119" s="18"/>
    </row>
    <row r="120" spans="2:13" ht="42" x14ac:dyDescent="0.3">
      <c r="B120" s="806"/>
      <c r="C120" s="319" t="s">
        <v>152</v>
      </c>
      <c r="D120" s="319" t="s">
        <v>185</v>
      </c>
      <c r="E120" s="319" t="s">
        <v>186</v>
      </c>
      <c r="F120" s="319">
        <v>388</v>
      </c>
      <c r="G120" s="319" t="s">
        <v>187</v>
      </c>
      <c r="H120" s="320"/>
      <c r="I120" s="319">
        <v>0.20180000000000001</v>
      </c>
      <c r="J120" s="319"/>
      <c r="K120" s="478" t="s">
        <v>339</v>
      </c>
      <c r="M120" s="18"/>
    </row>
    <row r="121" spans="2:13" ht="42" x14ac:dyDescent="0.3">
      <c r="B121" s="806"/>
      <c r="C121" s="319" t="s">
        <v>152</v>
      </c>
      <c r="D121" s="319" t="s">
        <v>185</v>
      </c>
      <c r="E121" s="319" t="s">
        <v>186</v>
      </c>
      <c r="F121" s="319">
        <v>360</v>
      </c>
      <c r="G121" s="319" t="s">
        <v>187</v>
      </c>
      <c r="H121" s="320"/>
      <c r="I121" s="319">
        <v>0.18720000000000001</v>
      </c>
      <c r="J121" s="319"/>
      <c r="K121" s="478" t="s">
        <v>339</v>
      </c>
      <c r="M121" s="18"/>
    </row>
    <row r="122" spans="2:13" ht="28" x14ac:dyDescent="0.3">
      <c r="B122" s="806"/>
      <c r="C122" s="319" t="s">
        <v>161</v>
      </c>
      <c r="D122" s="319" t="s">
        <v>190</v>
      </c>
      <c r="E122" s="319" t="s">
        <v>193</v>
      </c>
      <c r="F122" s="319">
        <v>572</v>
      </c>
      <c r="G122" s="319" t="s">
        <v>192</v>
      </c>
      <c r="H122" s="320">
        <v>0.12</v>
      </c>
      <c r="I122" s="319">
        <v>0.38950000000000001</v>
      </c>
      <c r="J122" s="319">
        <v>4.6699999999999998E-2</v>
      </c>
      <c r="K122" s="478" t="s">
        <v>337</v>
      </c>
      <c r="M122" s="18"/>
    </row>
    <row r="123" spans="2:13" s="321" customFormat="1" ht="25" customHeight="1" x14ac:dyDescent="0.3">
      <c r="B123" s="806"/>
      <c r="C123" s="319" t="s">
        <v>161</v>
      </c>
      <c r="D123" s="319" t="s">
        <v>190</v>
      </c>
      <c r="E123" s="319" t="s">
        <v>191</v>
      </c>
      <c r="F123" s="319">
        <v>552</v>
      </c>
      <c r="G123" s="319" t="s">
        <v>192</v>
      </c>
      <c r="H123" s="320"/>
      <c r="I123" s="319">
        <v>0.1452</v>
      </c>
      <c r="J123" s="319"/>
      <c r="K123" s="478" t="s">
        <v>337</v>
      </c>
      <c r="M123" s="339"/>
    </row>
    <row r="124" spans="2:13" ht="14.5" thickBot="1" x14ac:dyDescent="0.35">
      <c r="B124" s="485" t="s">
        <v>344</v>
      </c>
      <c r="C124" s="486"/>
      <c r="D124" s="486"/>
      <c r="E124" s="486"/>
      <c r="F124" s="486"/>
      <c r="G124" s="486"/>
      <c r="H124" s="486"/>
      <c r="I124" s="487">
        <f>SUM(I103:I123)</f>
        <v>735.32349999999997</v>
      </c>
      <c r="J124" s="488">
        <f>SUM(J103:J123)</f>
        <v>4.6699999999999998E-2</v>
      </c>
      <c r="K124" s="476" t="s">
        <v>90</v>
      </c>
    </row>
    <row r="125" spans="2:13" x14ac:dyDescent="0.3">
      <c r="B125" s="18"/>
      <c r="C125" s="18"/>
      <c r="D125" s="18"/>
      <c r="E125" s="18"/>
      <c r="F125" s="18"/>
      <c r="G125" s="18"/>
      <c r="H125" s="18"/>
      <c r="I125" s="18"/>
      <c r="J125" s="18"/>
      <c r="K125" s="18"/>
    </row>
    <row r="126" spans="2:13" ht="27" customHeight="1" x14ac:dyDescent="0.3">
      <c r="B126" s="769"/>
      <c r="C126" s="769"/>
      <c r="D126" s="769"/>
      <c r="E126" s="769"/>
      <c r="F126" s="769"/>
      <c r="G126" s="769"/>
      <c r="H126" s="769"/>
      <c r="I126" s="769"/>
      <c r="J126" s="18"/>
      <c r="K126" s="18"/>
    </row>
    <row r="127" spans="2:13" x14ac:dyDescent="0.3">
      <c r="B127" s="15"/>
      <c r="C127" s="15"/>
      <c r="D127" s="15"/>
      <c r="E127" s="15"/>
      <c r="F127" s="15"/>
      <c r="G127" s="15"/>
      <c r="H127" s="14"/>
      <c r="I127" s="36"/>
      <c r="J127" s="18"/>
      <c r="K127" s="18"/>
    </row>
    <row r="128" spans="2:13" x14ac:dyDescent="0.3">
      <c r="B128" s="735"/>
      <c r="C128" s="735"/>
      <c r="D128" s="735"/>
      <c r="E128" s="61"/>
      <c r="F128" s="61"/>
      <c r="G128" s="61"/>
      <c r="H128" s="31"/>
      <c r="I128" s="39"/>
      <c r="J128" s="18"/>
      <c r="K128" s="18"/>
    </row>
    <row r="129" spans="2:11" x14ac:dyDescent="0.3">
      <c r="B129" s="735"/>
      <c r="C129" s="735"/>
      <c r="D129" s="735"/>
      <c r="E129" s="61"/>
      <c r="F129" s="61"/>
      <c r="G129" s="61"/>
      <c r="H129" s="33"/>
      <c r="I129" s="39"/>
      <c r="J129" s="18"/>
      <c r="K129" s="18"/>
    </row>
    <row r="130" spans="2:11" x14ac:dyDescent="0.3">
      <c r="B130" s="18"/>
      <c r="C130" s="18"/>
      <c r="D130" s="18"/>
      <c r="E130" s="18"/>
      <c r="F130" s="18"/>
      <c r="G130" s="18"/>
      <c r="H130" s="18"/>
      <c r="I130" s="18"/>
      <c r="J130" s="18"/>
      <c r="K130" s="18"/>
    </row>
    <row r="131" spans="2:11" x14ac:dyDescent="0.3">
      <c r="B131" s="18"/>
      <c r="C131" s="18"/>
      <c r="D131" s="18"/>
      <c r="E131" s="18"/>
      <c r="F131" s="18"/>
      <c r="G131" s="18"/>
      <c r="H131" s="18"/>
      <c r="I131" s="18"/>
      <c r="J131" s="18"/>
      <c r="K131" s="18"/>
    </row>
    <row r="132" spans="2:11" s="321" customFormat="1" ht="25" customHeight="1" x14ac:dyDescent="0.35">
      <c r="B132" s="807"/>
      <c r="C132" s="807"/>
      <c r="D132" s="807"/>
      <c r="E132" s="340"/>
      <c r="F132" s="340"/>
      <c r="G132" s="340"/>
      <c r="H132" s="339"/>
      <c r="I132" s="339"/>
      <c r="J132" s="339"/>
      <c r="K132" s="339"/>
    </row>
    <row r="133" spans="2:11" x14ac:dyDescent="0.3">
      <c r="B133" s="18"/>
      <c r="C133" s="18"/>
      <c r="D133" s="18"/>
      <c r="E133" s="18"/>
      <c r="F133" s="18"/>
      <c r="G133" s="18"/>
      <c r="H133" s="18"/>
      <c r="I133" s="18"/>
      <c r="J133" s="18"/>
      <c r="K133" s="18"/>
    </row>
    <row r="134" spans="2:11" x14ac:dyDescent="0.3">
      <c r="B134" s="18"/>
      <c r="C134" s="18"/>
      <c r="D134" s="18"/>
      <c r="E134" s="18"/>
      <c r="F134" s="18"/>
      <c r="G134" s="18"/>
      <c r="H134" s="18"/>
      <c r="I134" s="18"/>
      <c r="J134" s="18"/>
      <c r="K134" s="18"/>
    </row>
    <row r="135" spans="2:11" x14ac:dyDescent="0.3">
      <c r="B135" s="18"/>
      <c r="C135" s="18"/>
      <c r="D135" s="18"/>
      <c r="E135" s="18"/>
      <c r="F135" s="18"/>
      <c r="G135" s="18"/>
      <c r="H135" s="18"/>
      <c r="I135" s="18"/>
      <c r="J135" s="18"/>
      <c r="K135" s="18"/>
    </row>
    <row r="136" spans="2:11" x14ac:dyDescent="0.3">
      <c r="B136" s="18"/>
      <c r="C136" s="18"/>
      <c r="D136" s="18"/>
      <c r="E136" s="18"/>
      <c r="F136" s="18"/>
      <c r="G136" s="18"/>
      <c r="H136" s="18"/>
      <c r="I136" s="18"/>
      <c r="J136" s="18"/>
      <c r="K136" s="18"/>
    </row>
    <row r="137" spans="2:11" x14ac:dyDescent="0.3">
      <c r="B137" s="18"/>
      <c r="C137" s="18"/>
      <c r="D137" s="18"/>
      <c r="E137" s="18"/>
      <c r="F137" s="18"/>
      <c r="G137" s="18"/>
      <c r="H137" s="18"/>
      <c r="I137" s="18"/>
      <c r="J137" s="18"/>
      <c r="K137" s="18"/>
    </row>
    <row r="138" spans="2:11" x14ac:dyDescent="0.3">
      <c r="B138" s="18"/>
      <c r="C138" s="18"/>
      <c r="D138" s="18"/>
      <c r="E138" s="18"/>
      <c r="F138" s="18"/>
      <c r="G138" s="18"/>
      <c r="H138" s="18"/>
      <c r="I138" s="18"/>
      <c r="J138" s="18"/>
      <c r="K138" s="18"/>
    </row>
    <row r="139" spans="2:11" x14ac:dyDescent="0.3">
      <c r="B139" s="18"/>
      <c r="C139" s="18"/>
      <c r="D139" s="18"/>
      <c r="E139" s="18"/>
      <c r="F139" s="18"/>
      <c r="G139" s="18"/>
      <c r="H139" s="18"/>
      <c r="I139" s="18"/>
      <c r="J139" s="18"/>
      <c r="K139" s="18"/>
    </row>
  </sheetData>
  <mergeCells count="31">
    <mergeCell ref="B128:D128"/>
    <mergeCell ref="B129:D129"/>
    <mergeCell ref="B132:D132"/>
    <mergeCell ref="B10:D10"/>
    <mergeCell ref="B27:I27"/>
    <mergeCell ref="B28:D28"/>
    <mergeCell ref="B32:D32"/>
    <mergeCell ref="B38:D38"/>
    <mergeCell ref="B126:I126"/>
    <mergeCell ref="B41:B42"/>
    <mergeCell ref="C41:D41"/>
    <mergeCell ref="B13:B14"/>
    <mergeCell ref="B15:B16"/>
    <mergeCell ref="B17:B19"/>
    <mergeCell ref="B20:B22"/>
    <mergeCell ref="B59:B79"/>
    <mergeCell ref="B81:B101"/>
    <mergeCell ref="B103:B123"/>
    <mergeCell ref="O4:O5"/>
    <mergeCell ref="I4:J4"/>
    <mergeCell ref="K4:L4"/>
    <mergeCell ref="E4:E5"/>
    <mergeCell ref="D4:D5"/>
    <mergeCell ref="M4:N4"/>
    <mergeCell ref="B12:C12"/>
    <mergeCell ref="B11:C11"/>
    <mergeCell ref="F4:F5"/>
    <mergeCell ref="G4:G5"/>
    <mergeCell ref="E41:F41"/>
    <mergeCell ref="C4:C5"/>
    <mergeCell ref="B4:B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F4C2DC3-8287-4737-B5FB-D8A37B265AAE}">
          <x14:formula1>
            <xm:f>'Task 3 - Material summary'!$B$7:$B$14</xm:f>
          </x14:formula1>
          <xm:sqref>K59:K124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D3C6-129D-4313-93D5-55E28049C153}">
  <sheetPr>
    <tabColor rgb="FF00353E"/>
  </sheetPr>
  <dimension ref="A1:O100"/>
  <sheetViews>
    <sheetView showGridLines="0" workbookViewId="0"/>
  </sheetViews>
  <sheetFormatPr defaultColWidth="8.7265625" defaultRowHeight="12.5" x14ac:dyDescent="0.25"/>
  <cols>
    <col min="1" max="1" width="17.7265625" style="300" customWidth="1"/>
    <col min="2" max="2" width="41.453125" style="366" customWidth="1"/>
    <col min="3" max="3" width="21.1796875" style="366" customWidth="1"/>
    <col min="4" max="7" width="21.453125" style="366" customWidth="1"/>
    <col min="8" max="8" width="15.54296875" style="366" customWidth="1"/>
    <col min="9" max="9" width="18.1796875" style="366" customWidth="1"/>
    <col min="10" max="10" width="22.7265625" style="366" customWidth="1"/>
    <col min="11" max="11" width="21" style="366" customWidth="1"/>
    <col min="12" max="12" width="24.54296875" style="300" customWidth="1"/>
    <col min="13" max="14" width="29.453125" style="300" customWidth="1"/>
    <col min="15" max="15" width="16.54296875" style="300" customWidth="1"/>
    <col min="16" max="16384" width="8.7265625" style="300"/>
  </cols>
  <sheetData>
    <row r="1" spans="2:15" s="363" customFormat="1" ht="25" customHeight="1" x14ac:dyDescent="0.35">
      <c r="B1" s="267" t="s">
        <v>467</v>
      </c>
      <c r="D1" s="364"/>
      <c r="E1" s="364"/>
      <c r="F1" s="364"/>
      <c r="G1" s="364"/>
      <c r="H1" s="364"/>
      <c r="I1" s="364"/>
      <c r="J1" s="364"/>
      <c r="K1" s="364"/>
    </row>
    <row r="2" spans="2:15" s="363" customFormat="1" ht="18" customHeight="1" x14ac:dyDescent="0.35">
      <c r="B2" s="363" t="s">
        <v>639</v>
      </c>
      <c r="H2" s="364"/>
      <c r="I2" s="364"/>
    </row>
    <row r="3" spans="2:15" ht="39.65" customHeight="1" thickBot="1" x14ac:dyDescent="0.35">
      <c r="B3" s="365" t="s">
        <v>443</v>
      </c>
      <c r="I3" s="367" t="s">
        <v>444</v>
      </c>
      <c r="L3" s="366"/>
    </row>
    <row r="4" spans="2:15" ht="14.25" customHeight="1" x14ac:dyDescent="0.25">
      <c r="B4" s="771" t="s">
        <v>37</v>
      </c>
      <c r="C4" s="773" t="s">
        <v>75</v>
      </c>
      <c r="D4" s="773" t="s">
        <v>381</v>
      </c>
      <c r="E4" s="773" t="s">
        <v>629</v>
      </c>
      <c r="F4" s="773" t="s">
        <v>630</v>
      </c>
      <c r="G4" s="791" t="s">
        <v>631</v>
      </c>
      <c r="I4" s="786" t="s">
        <v>69</v>
      </c>
      <c r="J4" s="787"/>
      <c r="K4" s="788" t="s">
        <v>70</v>
      </c>
      <c r="L4" s="787"/>
      <c r="M4" s="794" t="s">
        <v>342</v>
      </c>
      <c r="N4" s="794"/>
      <c r="O4" s="791" t="s">
        <v>382</v>
      </c>
    </row>
    <row r="5" spans="2:15" ht="24.75" customHeight="1" x14ac:dyDescent="0.25">
      <c r="B5" s="772"/>
      <c r="C5" s="774"/>
      <c r="D5" s="774"/>
      <c r="E5" s="774"/>
      <c r="F5" s="774"/>
      <c r="G5" s="792"/>
      <c r="I5" s="64" t="s">
        <v>71</v>
      </c>
      <c r="J5" s="65" t="s">
        <v>72</v>
      </c>
      <c r="K5" s="66" t="s">
        <v>73</v>
      </c>
      <c r="L5" s="67" t="s">
        <v>74</v>
      </c>
      <c r="M5" s="155" t="s">
        <v>636</v>
      </c>
      <c r="N5" s="155" t="s">
        <v>689</v>
      </c>
      <c r="O5" s="792"/>
    </row>
    <row r="6" spans="2:15" ht="15" customHeight="1" x14ac:dyDescent="0.25">
      <c r="B6" s="401" t="s">
        <v>47</v>
      </c>
      <c r="C6" s="175">
        <f>'Structure dimensions'!L17</f>
        <v>291.09999999999997</v>
      </c>
      <c r="D6" s="175">
        <f>SUM(I6:L6)</f>
        <v>879.79230000000018</v>
      </c>
      <c r="E6" s="175">
        <f>O6</f>
        <v>879.87480000000016</v>
      </c>
      <c r="F6" s="408">
        <f>D6/C6</f>
        <v>3.0223026451391286</v>
      </c>
      <c r="G6" s="410">
        <f>E6/C6</f>
        <v>3.0225860529027835</v>
      </c>
      <c r="H6" s="368"/>
      <c r="I6" s="178">
        <f>I78</f>
        <v>797.99230000000011</v>
      </c>
      <c r="J6" s="179">
        <v>26.1</v>
      </c>
      <c r="K6" s="180">
        <v>44.7</v>
      </c>
      <c r="L6" s="179">
        <v>11</v>
      </c>
      <c r="M6" s="179">
        <f>J78</f>
        <v>8.2500000000000004E-2</v>
      </c>
      <c r="N6" s="179">
        <v>0</v>
      </c>
      <c r="O6" s="183">
        <f>SUM(I6:N6)</f>
        <v>879.87480000000016</v>
      </c>
    </row>
    <row r="7" spans="2:15" ht="15" customHeight="1" thickBot="1" x14ac:dyDescent="0.3">
      <c r="B7" s="411" t="s">
        <v>58</v>
      </c>
      <c r="C7" s="176">
        <f>'Structure dimensions'!L18</f>
        <v>311.59999999999997</v>
      </c>
      <c r="D7" s="177">
        <f>SUM(I7:L7)</f>
        <v>1461.1740000000002</v>
      </c>
      <c r="E7" s="177">
        <f>O7</f>
        <v>1461.2379000000003</v>
      </c>
      <c r="F7" s="409">
        <f>D7/C7</f>
        <v>4.6892618741976904</v>
      </c>
      <c r="G7" s="412">
        <f>E7/C7</f>
        <v>4.6894669448010289</v>
      </c>
      <c r="I7" s="197">
        <f>I100</f>
        <v>1361.8740000000003</v>
      </c>
      <c r="J7" s="198">
        <v>41</v>
      </c>
      <c r="K7" s="199">
        <v>44</v>
      </c>
      <c r="L7" s="201">
        <v>14.3</v>
      </c>
      <c r="M7" s="198">
        <f>J100</f>
        <v>6.3899999999999998E-2</v>
      </c>
      <c r="N7" s="198">
        <v>0</v>
      </c>
      <c r="O7" s="183">
        <f>SUM(I7:N7)</f>
        <v>1461.2379000000003</v>
      </c>
    </row>
    <row r="8" spans="2:15" ht="14" thickTop="1" thickBot="1" x14ac:dyDescent="0.3">
      <c r="B8" s="77" t="s">
        <v>2</v>
      </c>
      <c r="C8" s="328"/>
      <c r="D8" s="172">
        <f>SUM(D6:D7)</f>
        <v>2340.9663000000005</v>
      </c>
      <c r="E8" s="172">
        <f>SUM(E6:E7)</f>
        <v>2341.1127000000006</v>
      </c>
      <c r="F8" s="172"/>
      <c r="G8" s="173"/>
      <c r="I8" s="194" t="s">
        <v>81</v>
      </c>
      <c r="J8" s="72">
        <f>SUM(I6:J7)</f>
        <v>2226.9663000000005</v>
      </c>
      <c r="K8" s="195" t="s">
        <v>81</v>
      </c>
      <c r="L8" s="72">
        <f>SUM(K6:L7)</f>
        <v>114</v>
      </c>
      <c r="M8" s="184" t="s">
        <v>346</v>
      </c>
      <c r="N8" s="196">
        <f>SUM(M6:N6)</f>
        <v>8.2500000000000004E-2</v>
      </c>
      <c r="O8" s="79">
        <f>SUM(O6:O7)</f>
        <v>2341.1127000000006</v>
      </c>
    </row>
    <row r="9" spans="2:15" ht="13" thickBot="1" x14ac:dyDescent="0.3">
      <c r="B9" s="300"/>
      <c r="C9" s="402"/>
      <c r="H9" s="369"/>
      <c r="I9" s="300" t="s">
        <v>490</v>
      </c>
      <c r="K9" s="37"/>
    </row>
    <row r="10" spans="2:15" ht="13" x14ac:dyDescent="0.3">
      <c r="B10" s="733" t="s">
        <v>383</v>
      </c>
      <c r="C10" s="734"/>
      <c r="D10" s="342" t="s">
        <v>384</v>
      </c>
      <c r="E10" s="343" t="s">
        <v>10</v>
      </c>
      <c r="H10" s="369"/>
      <c r="K10" s="37"/>
    </row>
    <row r="11" spans="2:15" ht="27.65" customHeight="1" x14ac:dyDescent="0.25">
      <c r="B11" s="775" t="s">
        <v>9</v>
      </c>
      <c r="C11" s="776"/>
      <c r="D11" s="174">
        <v>2</v>
      </c>
      <c r="E11" s="301" t="s">
        <v>385</v>
      </c>
      <c r="H11" s="369"/>
      <c r="K11" s="37"/>
    </row>
    <row r="12" spans="2:15" ht="27.65" customHeight="1" x14ac:dyDescent="0.25">
      <c r="B12" s="775" t="s">
        <v>641</v>
      </c>
      <c r="C12" s="344" t="s">
        <v>623</v>
      </c>
      <c r="D12" s="174">
        <f>D8/D11</f>
        <v>1170.4831500000003</v>
      </c>
      <c r="E12" s="301" t="s">
        <v>405</v>
      </c>
      <c r="H12" s="369"/>
      <c r="K12" s="37"/>
    </row>
    <row r="13" spans="2:15" ht="27.65" customHeight="1" x14ac:dyDescent="0.25">
      <c r="B13" s="775"/>
      <c r="C13" s="344" t="s">
        <v>624</v>
      </c>
      <c r="D13" s="174">
        <f>E8/D11</f>
        <v>1170.5563500000003</v>
      </c>
      <c r="E13" s="301" t="s">
        <v>405</v>
      </c>
      <c r="F13" s="335"/>
      <c r="G13" s="335"/>
      <c r="H13" s="369"/>
      <c r="K13" s="37"/>
    </row>
    <row r="14" spans="2:15" ht="27.65" customHeight="1" x14ac:dyDescent="0.25">
      <c r="B14" s="775" t="s">
        <v>642</v>
      </c>
      <c r="C14" s="344" t="s">
        <v>623</v>
      </c>
      <c r="D14" s="185">
        <f>AVERAGE(F6:F7)</f>
        <v>3.8557822596684095</v>
      </c>
      <c r="E14" s="301" t="s">
        <v>404</v>
      </c>
      <c r="F14" s="335"/>
      <c r="G14" s="335"/>
      <c r="H14" s="369"/>
      <c r="K14" s="37"/>
    </row>
    <row r="15" spans="2:15" ht="27.65" customHeight="1" x14ac:dyDescent="0.25">
      <c r="B15" s="775"/>
      <c r="C15" s="344" t="s">
        <v>624</v>
      </c>
      <c r="D15" s="185">
        <f>AVERAGE(G6:G7)</f>
        <v>3.8560264988519064</v>
      </c>
      <c r="E15" s="301" t="s">
        <v>404</v>
      </c>
      <c r="F15" s="335"/>
      <c r="G15" s="335"/>
      <c r="H15" s="369"/>
      <c r="K15" s="37"/>
    </row>
    <row r="16" spans="2:15" ht="27.65" customHeight="1" x14ac:dyDescent="0.25">
      <c r="B16" s="775" t="s">
        <v>628</v>
      </c>
      <c r="C16" s="344" t="s">
        <v>3</v>
      </c>
      <c r="D16" s="347">
        <f>J8/E8</f>
        <v>0.95124267191408596</v>
      </c>
      <c r="E16" s="301" t="s">
        <v>388</v>
      </c>
      <c r="F16" s="335"/>
      <c r="G16" s="335"/>
      <c r="H16" s="369"/>
      <c r="K16" s="37"/>
    </row>
    <row r="17" spans="2:11" ht="25" customHeight="1" x14ac:dyDescent="0.25">
      <c r="B17" s="775"/>
      <c r="C17" s="344" t="s">
        <v>4</v>
      </c>
      <c r="D17" s="347">
        <f>L8/E8</f>
        <v>4.8694793719242978E-2</v>
      </c>
      <c r="E17" s="301" t="s">
        <v>388</v>
      </c>
      <c r="F17" s="335"/>
      <c r="G17" s="335"/>
      <c r="H17" s="369"/>
      <c r="K17" s="37"/>
    </row>
    <row r="18" spans="2:11" ht="25" customHeight="1" x14ac:dyDescent="0.25">
      <c r="B18" s="775"/>
      <c r="C18" s="344" t="s">
        <v>627</v>
      </c>
      <c r="D18" s="347">
        <f>N8/E8</f>
        <v>3.5239653349452155E-5</v>
      </c>
      <c r="E18" s="301" t="s">
        <v>388</v>
      </c>
      <c r="H18" s="369"/>
      <c r="K18" s="37"/>
    </row>
    <row r="19" spans="2:11" ht="39.65" customHeight="1" x14ac:dyDescent="0.25">
      <c r="B19" s="775" t="s">
        <v>642</v>
      </c>
      <c r="C19" s="344" t="s">
        <v>3</v>
      </c>
      <c r="D19" s="185">
        <f>D15*D16</f>
        <v>3.6680169497394055</v>
      </c>
      <c r="E19" s="301" t="s">
        <v>404</v>
      </c>
      <c r="F19" s="37"/>
      <c r="G19" s="37"/>
      <c r="H19" s="370"/>
      <c r="I19" s="370"/>
      <c r="J19" s="37"/>
      <c r="K19" s="37"/>
    </row>
    <row r="20" spans="2:11" ht="33.65" customHeight="1" x14ac:dyDescent="0.25">
      <c r="B20" s="775"/>
      <c r="C20" s="344" t="s">
        <v>4</v>
      </c>
      <c r="D20" s="185">
        <f>D15*D17</f>
        <v>0.1877684149375283</v>
      </c>
      <c r="E20" s="301" t="s">
        <v>404</v>
      </c>
      <c r="F20" s="37"/>
      <c r="G20" s="37"/>
      <c r="H20" s="371"/>
      <c r="I20" s="371"/>
      <c r="J20" s="37"/>
      <c r="K20" s="37"/>
    </row>
    <row r="21" spans="2:11" ht="35.5" customHeight="1" thickBot="1" x14ac:dyDescent="0.35">
      <c r="B21" s="808"/>
      <c r="C21" s="346" t="s">
        <v>627</v>
      </c>
      <c r="D21" s="187">
        <f>D15*D18</f>
        <v>1.3588503712584285E-4</v>
      </c>
      <c r="E21" s="303" t="s">
        <v>404</v>
      </c>
      <c r="F21" s="33"/>
      <c r="G21" s="33"/>
      <c r="H21" s="372"/>
      <c r="I21" s="372"/>
      <c r="J21" s="37"/>
      <c r="K21" s="37"/>
    </row>
    <row r="22" spans="2:11" x14ac:dyDescent="0.25">
      <c r="B22" s="37"/>
      <c r="C22" s="37"/>
      <c r="D22" s="37"/>
      <c r="E22" s="37"/>
      <c r="F22" s="37"/>
      <c r="G22" s="37"/>
      <c r="H22" s="37"/>
      <c r="I22" s="37"/>
      <c r="J22" s="37"/>
      <c r="K22" s="37"/>
    </row>
    <row r="23" spans="2:11" ht="18" customHeight="1" x14ac:dyDescent="0.25">
      <c r="B23" s="37"/>
      <c r="C23" s="37"/>
      <c r="D23" s="37"/>
      <c r="E23" s="37"/>
      <c r="F23" s="37"/>
      <c r="G23" s="37"/>
      <c r="H23" s="37"/>
      <c r="I23" s="37"/>
      <c r="J23" s="37"/>
      <c r="K23" s="37"/>
    </row>
    <row r="24" spans="2:11" x14ac:dyDescent="0.25">
      <c r="B24" s="37"/>
      <c r="C24" s="37"/>
      <c r="D24" s="37"/>
      <c r="E24" s="37"/>
      <c r="F24" s="37"/>
      <c r="G24" s="37"/>
      <c r="H24" s="37"/>
      <c r="I24" s="37"/>
      <c r="J24" s="37"/>
      <c r="K24" s="37"/>
    </row>
    <row r="25" spans="2:11" ht="28" customHeight="1" x14ac:dyDescent="0.25">
      <c r="B25" s="769"/>
      <c r="C25" s="769"/>
      <c r="D25" s="769"/>
      <c r="E25" s="769"/>
      <c r="F25" s="769"/>
      <c r="G25" s="769"/>
      <c r="H25" s="769"/>
      <c r="I25" s="769"/>
      <c r="J25" s="37"/>
      <c r="K25" s="37"/>
    </row>
    <row r="26" spans="2:11" ht="28" customHeight="1" x14ac:dyDescent="0.3">
      <c r="B26" s="770"/>
      <c r="C26" s="770"/>
      <c r="D26" s="770"/>
      <c r="E26" s="15"/>
      <c r="F26" s="15"/>
      <c r="G26" s="15"/>
      <c r="H26" s="14"/>
      <c r="I26" s="36"/>
      <c r="J26" s="37"/>
      <c r="K26" s="37"/>
    </row>
    <row r="27" spans="2:11" ht="28" customHeight="1" x14ac:dyDescent="0.25">
      <c r="B27" s="38"/>
      <c r="C27" s="38"/>
      <c r="D27" s="37"/>
      <c r="E27" s="37"/>
      <c r="F27" s="37"/>
      <c r="G27" s="37"/>
      <c r="H27" s="369"/>
      <c r="I27" s="369"/>
      <c r="J27" s="37"/>
      <c r="K27" s="37"/>
    </row>
    <row r="28" spans="2:11" ht="28" customHeight="1" x14ac:dyDescent="0.25">
      <c r="B28" s="38"/>
      <c r="C28" s="38"/>
      <c r="D28" s="37"/>
      <c r="E28" s="37"/>
      <c r="F28" s="37"/>
      <c r="G28" s="37"/>
      <c r="H28" s="369"/>
      <c r="I28" s="369"/>
      <c r="J28" s="37"/>
      <c r="K28" s="37"/>
    </row>
    <row r="29" spans="2:11" ht="28" customHeight="1" x14ac:dyDescent="0.25">
      <c r="B29" s="38"/>
      <c r="C29" s="38"/>
      <c r="D29" s="37"/>
      <c r="E29" s="37"/>
      <c r="F29" s="37"/>
      <c r="G29" s="37"/>
      <c r="H29" s="369"/>
      <c r="I29" s="369"/>
      <c r="J29" s="37"/>
      <c r="K29" s="37"/>
    </row>
    <row r="30" spans="2:11" ht="28" customHeight="1" x14ac:dyDescent="0.3">
      <c r="B30" s="770"/>
      <c r="C30" s="770"/>
      <c r="D30" s="770"/>
      <c r="E30" s="15"/>
      <c r="F30" s="15"/>
      <c r="G30" s="15"/>
      <c r="H30" s="14"/>
      <c r="I30" s="36"/>
      <c r="J30" s="37"/>
      <c r="K30" s="37"/>
    </row>
    <row r="31" spans="2:11" ht="28" customHeight="1" x14ac:dyDescent="0.25">
      <c r="B31" s="38"/>
      <c r="C31" s="38"/>
      <c r="D31" s="37"/>
      <c r="E31" s="37"/>
      <c r="F31" s="37"/>
      <c r="G31" s="37"/>
      <c r="H31" s="370"/>
      <c r="I31" s="370"/>
      <c r="J31" s="37"/>
      <c r="K31" s="37"/>
    </row>
    <row r="32" spans="2:11" x14ac:dyDescent="0.25">
      <c r="B32" s="38"/>
      <c r="C32" s="38"/>
      <c r="D32" s="37"/>
      <c r="E32" s="37"/>
      <c r="F32" s="37"/>
      <c r="G32" s="37"/>
      <c r="H32" s="370"/>
      <c r="I32" s="370"/>
      <c r="J32" s="37"/>
      <c r="K32" s="37"/>
    </row>
    <row r="33" spans="1:15" x14ac:dyDescent="0.25">
      <c r="B33" s="38"/>
      <c r="C33" s="38"/>
      <c r="D33" s="37"/>
      <c r="E33" s="37"/>
      <c r="F33" s="37"/>
      <c r="G33" s="37"/>
      <c r="H33" s="370"/>
      <c r="I33" s="370"/>
      <c r="J33" s="37"/>
      <c r="K33" s="37"/>
    </row>
    <row r="34" spans="1:15" x14ac:dyDescent="0.25">
      <c r="B34" s="38"/>
      <c r="C34" s="38"/>
      <c r="D34" s="37"/>
      <c r="E34" s="37"/>
      <c r="F34" s="37"/>
      <c r="G34" s="37"/>
      <c r="H34" s="370"/>
      <c r="I34" s="370"/>
      <c r="J34" s="37"/>
      <c r="K34" s="37"/>
    </row>
    <row r="35" spans="1:15" x14ac:dyDescent="0.25">
      <c r="B35" s="38"/>
      <c r="C35" s="38"/>
      <c r="D35" s="37"/>
      <c r="E35" s="37"/>
      <c r="F35" s="37"/>
      <c r="G35" s="37"/>
      <c r="H35" s="370"/>
      <c r="I35" s="370"/>
      <c r="J35" s="37"/>
      <c r="K35" s="37"/>
    </row>
    <row r="36" spans="1:15" ht="13" x14ac:dyDescent="0.3">
      <c r="B36" s="770"/>
      <c r="C36" s="770"/>
      <c r="D36" s="770"/>
      <c r="E36" s="15"/>
      <c r="F36" s="15"/>
      <c r="G36" s="15"/>
      <c r="H36" s="14"/>
      <c r="I36" s="36"/>
      <c r="J36" s="37"/>
      <c r="K36" s="37"/>
    </row>
    <row r="37" spans="1:15" s="383" customFormat="1" ht="37.5" customHeight="1" x14ac:dyDescent="0.35">
      <c r="A37" s="382"/>
      <c r="B37" s="336" t="s">
        <v>403</v>
      </c>
      <c r="D37" s="384"/>
      <c r="E37" s="384"/>
      <c r="F37" s="384"/>
      <c r="G37" s="384"/>
      <c r="H37" s="384"/>
      <c r="I37" s="384"/>
      <c r="J37" s="384"/>
      <c r="K37" s="384"/>
      <c r="L37" s="384"/>
      <c r="M37" s="384"/>
      <c r="N37" s="384"/>
      <c r="O37" s="384"/>
    </row>
    <row r="38" spans="1:15" ht="13" thickBot="1" x14ac:dyDescent="0.3">
      <c r="B38" s="37"/>
      <c r="C38" s="37"/>
      <c r="D38" s="37"/>
      <c r="E38" s="37"/>
      <c r="F38" s="37"/>
      <c r="G38" s="37"/>
      <c r="H38" s="37"/>
      <c r="I38" s="37"/>
      <c r="J38" s="37"/>
      <c r="K38" s="37"/>
      <c r="L38" s="37"/>
      <c r="M38" s="37"/>
      <c r="N38" s="37"/>
      <c r="O38" s="37"/>
    </row>
    <row r="39" spans="1:15" ht="13" x14ac:dyDescent="0.25">
      <c r="B39" s="797" t="s">
        <v>348</v>
      </c>
      <c r="C39" s="795" t="s">
        <v>350</v>
      </c>
      <c r="D39" s="795"/>
      <c r="E39" s="809" t="s">
        <v>352</v>
      </c>
      <c r="F39" s="810"/>
      <c r="G39" s="37"/>
      <c r="H39" s="37"/>
      <c r="I39" s="37"/>
      <c r="J39" s="37"/>
      <c r="K39" s="37"/>
      <c r="L39" s="37"/>
      <c r="M39" s="37"/>
      <c r="N39" s="37"/>
      <c r="O39" s="37"/>
    </row>
    <row r="40" spans="1:15" ht="13" x14ac:dyDescent="0.25">
      <c r="B40" s="798"/>
      <c r="C40" s="375" t="s">
        <v>351</v>
      </c>
      <c r="D40" s="375" t="s">
        <v>349</v>
      </c>
      <c r="E40" s="375" t="s">
        <v>351</v>
      </c>
      <c r="F40" s="454" t="s">
        <v>349</v>
      </c>
      <c r="G40" s="37"/>
      <c r="H40" s="37"/>
      <c r="I40" s="37"/>
      <c r="J40" s="37"/>
      <c r="K40" s="37"/>
      <c r="L40" s="37"/>
      <c r="M40" s="37"/>
      <c r="N40" s="37"/>
      <c r="O40" s="37"/>
    </row>
    <row r="41" spans="1:15" ht="24" customHeight="1" x14ac:dyDescent="0.25">
      <c r="B41" s="455" t="s">
        <v>328</v>
      </c>
      <c r="C41" s="377">
        <f t="shared" ref="C41:C48" si="0">SUMIF($K$57:$K$99,B41,$I$57:$I$99)</f>
        <v>35.965199999999996</v>
      </c>
      <c r="D41" s="378">
        <f>C41/$C$49</f>
        <v>1.6651586257908642E-2</v>
      </c>
      <c r="E41" s="380">
        <f>SUMIF($K$57:$K$99,B41,$J$57:$J99)</f>
        <v>0</v>
      </c>
      <c r="F41" s="456">
        <f t="shared" ref="F41:F48" si="1">E41/$E$49</f>
        <v>0</v>
      </c>
      <c r="G41" s="37"/>
      <c r="H41" s="37"/>
      <c r="I41" s="37"/>
      <c r="J41" s="37"/>
      <c r="K41" s="37"/>
      <c r="L41" s="37"/>
      <c r="M41" s="37"/>
      <c r="N41" s="37"/>
      <c r="O41" s="37"/>
    </row>
    <row r="42" spans="1:15" ht="24" customHeight="1" x14ac:dyDescent="0.25">
      <c r="B42" s="455" t="s">
        <v>329</v>
      </c>
      <c r="C42" s="377">
        <f t="shared" si="0"/>
        <v>0</v>
      </c>
      <c r="D42" s="378">
        <f t="shared" ref="D42:D48" si="2">C42/$C$49</f>
        <v>0</v>
      </c>
      <c r="E42" s="380">
        <f>SUMIF($K$57:$K$99,B42,$J$57:$J100)</f>
        <v>0</v>
      </c>
      <c r="F42" s="456">
        <f t="shared" si="1"/>
        <v>0</v>
      </c>
      <c r="G42" s="37"/>
      <c r="H42" s="37"/>
      <c r="I42" s="37"/>
      <c r="J42" s="37"/>
      <c r="K42" s="37"/>
      <c r="L42" s="37"/>
      <c r="M42" s="37"/>
      <c r="N42" s="37"/>
      <c r="O42" s="37"/>
    </row>
    <row r="43" spans="1:15" ht="24" customHeight="1" x14ac:dyDescent="0.25">
      <c r="B43" s="455" t="s">
        <v>330</v>
      </c>
      <c r="C43" s="377">
        <f t="shared" si="0"/>
        <v>61.095600000000012</v>
      </c>
      <c r="D43" s="378">
        <f t="shared" si="2"/>
        <v>2.828675089749768E-2</v>
      </c>
      <c r="E43" s="380">
        <f>SUMIF($K$57:$K$99,B43,$J$57:$J101)</f>
        <v>0</v>
      </c>
      <c r="F43" s="456">
        <f t="shared" si="1"/>
        <v>0</v>
      </c>
      <c r="G43" s="37"/>
      <c r="H43" s="37"/>
      <c r="I43" s="37"/>
      <c r="J43" s="37"/>
      <c r="K43" s="37"/>
      <c r="L43" s="37"/>
      <c r="M43" s="37"/>
      <c r="N43" s="37"/>
      <c r="O43" s="37"/>
    </row>
    <row r="44" spans="1:15" ht="24" customHeight="1" x14ac:dyDescent="0.25">
      <c r="B44" s="455" t="s">
        <v>338</v>
      </c>
      <c r="C44" s="377">
        <f t="shared" si="0"/>
        <v>2042.5704000000003</v>
      </c>
      <c r="D44" s="378">
        <f t="shared" si="2"/>
        <v>0.94569298108869038</v>
      </c>
      <c r="E44" s="380">
        <f>SUMIF($K$57:$K$99,B44,$J$57:$J102)</f>
        <v>0</v>
      </c>
      <c r="F44" s="456">
        <f t="shared" si="1"/>
        <v>0</v>
      </c>
      <c r="G44" s="37"/>
      <c r="H44" s="37"/>
      <c r="I44" s="37"/>
      <c r="J44" s="37"/>
      <c r="K44" s="37"/>
      <c r="L44" s="37"/>
      <c r="M44" s="37"/>
      <c r="N44" s="37"/>
      <c r="O44" s="37"/>
    </row>
    <row r="45" spans="1:15" ht="24" customHeight="1" x14ac:dyDescent="0.25">
      <c r="B45" s="455" t="s">
        <v>337</v>
      </c>
      <c r="C45" s="377">
        <f t="shared" si="0"/>
        <v>1.6740999999999999</v>
      </c>
      <c r="D45" s="378">
        <f t="shared" si="2"/>
        <v>7.7509427319644717E-4</v>
      </c>
      <c r="E45" s="380">
        <f>SUMIF($K$57:$K$99,B45,$J$57:$J103)</f>
        <v>0.1464</v>
      </c>
      <c r="F45" s="456">
        <f t="shared" si="1"/>
        <v>1</v>
      </c>
      <c r="G45" s="37"/>
      <c r="H45" s="37"/>
      <c r="I45" s="37"/>
      <c r="J45" s="37"/>
      <c r="K45" s="37"/>
      <c r="L45" s="37"/>
      <c r="M45" s="37"/>
      <c r="N45" s="37"/>
      <c r="O45" s="37"/>
    </row>
    <row r="46" spans="1:15" ht="24" customHeight="1" x14ac:dyDescent="0.25">
      <c r="B46" s="455" t="s">
        <v>341</v>
      </c>
      <c r="C46" s="377">
        <f t="shared" si="0"/>
        <v>0</v>
      </c>
      <c r="D46" s="378">
        <f t="shared" si="2"/>
        <v>0</v>
      </c>
      <c r="E46" s="380">
        <f>SUMIF($K$57:$K$99,B46,$J$57:$J104)</f>
        <v>0</v>
      </c>
      <c r="F46" s="456">
        <f t="shared" si="1"/>
        <v>0</v>
      </c>
      <c r="G46" s="37"/>
      <c r="H46" s="37"/>
      <c r="I46" s="37"/>
      <c r="J46" s="37"/>
      <c r="K46" s="37"/>
      <c r="L46" s="37"/>
      <c r="M46" s="37"/>
      <c r="N46" s="37"/>
      <c r="O46" s="37"/>
    </row>
    <row r="47" spans="1:15" ht="24" customHeight="1" x14ac:dyDescent="0.25">
      <c r="B47" s="455" t="s">
        <v>340</v>
      </c>
      <c r="C47" s="377">
        <f t="shared" si="0"/>
        <v>0</v>
      </c>
      <c r="D47" s="378">
        <f t="shared" si="2"/>
        <v>0</v>
      </c>
      <c r="E47" s="380">
        <f>SUMIF($K$57:$K$99,B47,$J$57:$J105)</f>
        <v>0</v>
      </c>
      <c r="F47" s="456">
        <f t="shared" si="1"/>
        <v>0</v>
      </c>
      <c r="G47" s="37"/>
      <c r="H47" s="37"/>
      <c r="I47" s="37"/>
      <c r="J47" s="37"/>
      <c r="K47" s="37"/>
      <c r="L47" s="37"/>
      <c r="M47" s="37"/>
      <c r="N47" s="37"/>
      <c r="O47" s="37"/>
    </row>
    <row r="48" spans="1:15" ht="24" customHeight="1" x14ac:dyDescent="0.25">
      <c r="B48" s="455" t="s">
        <v>339</v>
      </c>
      <c r="C48" s="377">
        <f t="shared" si="0"/>
        <v>18.561</v>
      </c>
      <c r="D48" s="378">
        <f t="shared" si="2"/>
        <v>8.5935874827066817E-3</v>
      </c>
      <c r="E48" s="380">
        <f>SUMIF($K$57:$K$99,B48,$J$57:$J106)</f>
        <v>0</v>
      </c>
      <c r="F48" s="456">
        <f t="shared" si="1"/>
        <v>0</v>
      </c>
      <c r="G48" s="37"/>
      <c r="H48" s="37"/>
      <c r="I48" s="37"/>
      <c r="J48" s="37"/>
      <c r="K48" s="37"/>
      <c r="L48" s="37"/>
      <c r="M48" s="37"/>
      <c r="N48" s="37"/>
      <c r="O48" s="37"/>
    </row>
    <row r="49" spans="1:15" ht="24" customHeight="1" thickBot="1" x14ac:dyDescent="0.35">
      <c r="B49" s="457" t="s">
        <v>344</v>
      </c>
      <c r="C49" s="458">
        <f>SUM(C41:C48)</f>
        <v>2159.8663000000006</v>
      </c>
      <c r="D49" s="553">
        <f>SUM(D41:D48)</f>
        <v>0.99999999999999978</v>
      </c>
      <c r="E49" s="458">
        <f>SUM(E41:E48)</f>
        <v>0.1464</v>
      </c>
      <c r="F49" s="553">
        <f>SUM(F41:F48)</f>
        <v>1</v>
      </c>
      <c r="G49" s="37"/>
      <c r="H49" s="37"/>
      <c r="I49" s="37"/>
      <c r="J49" s="37"/>
      <c r="K49" s="37"/>
      <c r="L49" s="37"/>
      <c r="M49" s="37"/>
      <c r="N49" s="37"/>
      <c r="O49" s="37"/>
    </row>
    <row r="50" spans="1:15" x14ac:dyDescent="0.25">
      <c r="B50" s="37"/>
      <c r="C50" s="37"/>
      <c r="E50" s="37"/>
      <c r="F50" s="37"/>
      <c r="G50" s="37"/>
      <c r="H50" s="37"/>
      <c r="I50" s="37"/>
      <c r="J50" s="37"/>
      <c r="K50" s="37"/>
      <c r="L50" s="37"/>
      <c r="M50" s="37"/>
      <c r="N50" s="37"/>
      <c r="O50" s="37"/>
    </row>
    <row r="51" spans="1:15" x14ac:dyDescent="0.25">
      <c r="B51" s="38"/>
      <c r="C51" s="38"/>
      <c r="D51" s="37"/>
      <c r="E51" s="37"/>
      <c r="F51" s="37"/>
      <c r="G51" s="37"/>
      <c r="H51" s="371"/>
      <c r="I51" s="371"/>
      <c r="J51" s="37"/>
      <c r="K51" s="37"/>
    </row>
    <row r="52" spans="1:15" x14ac:dyDescent="0.25">
      <c r="B52" s="38"/>
      <c r="C52" s="38"/>
      <c r="D52" s="37"/>
      <c r="E52" s="37"/>
      <c r="F52" s="37"/>
      <c r="G52" s="37"/>
      <c r="H52" s="371"/>
      <c r="I52" s="371"/>
      <c r="J52" s="37"/>
      <c r="K52" s="37"/>
    </row>
    <row r="53" spans="1:15" s="383" customFormat="1" ht="27.65" customHeight="1" x14ac:dyDescent="0.35">
      <c r="A53" s="382"/>
      <c r="B53" s="306" t="s">
        <v>461</v>
      </c>
      <c r="D53" s="384"/>
      <c r="E53" s="384"/>
      <c r="F53" s="384"/>
      <c r="G53" s="384"/>
      <c r="H53" s="384"/>
      <c r="I53" s="384"/>
      <c r="J53" s="384"/>
      <c r="K53" s="384"/>
      <c r="L53" s="384"/>
      <c r="M53" s="384"/>
    </row>
    <row r="54" spans="1:15" s="404" customFormat="1" ht="19.5" customHeight="1" x14ac:dyDescent="0.35">
      <c r="A54" s="403"/>
      <c r="B54" s="386" t="s">
        <v>462</v>
      </c>
      <c r="D54" s="405"/>
      <c r="E54" s="405"/>
      <c r="F54" s="405"/>
      <c r="G54" s="405"/>
      <c r="H54" s="405"/>
      <c r="I54" s="405"/>
      <c r="J54" s="405"/>
      <c r="K54" s="405"/>
      <c r="L54" s="405"/>
      <c r="M54" s="405"/>
    </row>
    <row r="55" spans="1:15" s="54" customFormat="1" ht="19.5" customHeight="1" thickBot="1" x14ac:dyDescent="0.4">
      <c r="D55" s="35"/>
      <c r="E55" s="35"/>
      <c r="F55" s="35"/>
      <c r="G55" s="35"/>
      <c r="H55" s="35"/>
      <c r="I55" s="35"/>
      <c r="J55" s="35"/>
      <c r="K55" s="35"/>
      <c r="L55" s="35"/>
      <c r="M55" s="35"/>
    </row>
    <row r="56" spans="1:15" ht="36" customHeight="1" x14ac:dyDescent="0.25">
      <c r="B56" s="493" t="s">
        <v>37</v>
      </c>
      <c r="C56" s="494" t="s">
        <v>320</v>
      </c>
      <c r="D56" s="494" t="s">
        <v>321</v>
      </c>
      <c r="E56" s="494" t="s">
        <v>322</v>
      </c>
      <c r="F56" s="494" t="s">
        <v>323</v>
      </c>
      <c r="G56" s="494" t="s">
        <v>10</v>
      </c>
      <c r="H56" s="494" t="s">
        <v>324</v>
      </c>
      <c r="I56" s="494" t="s">
        <v>325</v>
      </c>
      <c r="J56" s="494" t="s">
        <v>326</v>
      </c>
      <c r="K56" s="495" t="s">
        <v>327</v>
      </c>
    </row>
    <row r="57" spans="1:15" ht="37.5" x14ac:dyDescent="0.25">
      <c r="B57" s="806" t="s">
        <v>295</v>
      </c>
      <c r="C57" s="390" t="s">
        <v>148</v>
      </c>
      <c r="D57" s="390" t="s">
        <v>167</v>
      </c>
      <c r="E57" s="390" t="s">
        <v>168</v>
      </c>
      <c r="F57" s="390">
        <v>151</v>
      </c>
      <c r="G57" s="390" t="s">
        <v>25</v>
      </c>
      <c r="H57" s="391"/>
      <c r="I57" s="390">
        <v>1.5616000000000001</v>
      </c>
      <c r="J57" s="390"/>
      <c r="K57" s="496" t="s">
        <v>339</v>
      </c>
    </row>
    <row r="58" spans="1:15" ht="25" x14ac:dyDescent="0.25">
      <c r="B58" s="806"/>
      <c r="C58" s="390" t="s">
        <v>149</v>
      </c>
      <c r="D58" s="390" t="s">
        <v>169</v>
      </c>
      <c r="E58" s="390" t="s">
        <v>170</v>
      </c>
      <c r="F58" s="390">
        <v>2527</v>
      </c>
      <c r="G58" s="390" t="s">
        <v>171</v>
      </c>
      <c r="H58" s="391"/>
      <c r="I58" s="390">
        <v>9.9817999999999998</v>
      </c>
      <c r="J58" s="390"/>
      <c r="K58" s="496" t="s">
        <v>328</v>
      </c>
    </row>
    <row r="59" spans="1:15" ht="27" customHeight="1" x14ac:dyDescent="0.25">
      <c r="B59" s="806"/>
      <c r="C59" s="390" t="s">
        <v>151</v>
      </c>
      <c r="D59" s="390" t="s">
        <v>189</v>
      </c>
      <c r="E59" s="390" t="s">
        <v>747</v>
      </c>
      <c r="F59" s="390">
        <v>296</v>
      </c>
      <c r="G59" s="390" t="s">
        <v>187</v>
      </c>
      <c r="H59" s="391"/>
      <c r="I59" s="390">
        <v>0.1197</v>
      </c>
      <c r="J59" s="390"/>
      <c r="K59" s="496" t="s">
        <v>339</v>
      </c>
    </row>
    <row r="60" spans="1:15" ht="25" x14ac:dyDescent="0.25">
      <c r="B60" s="806"/>
      <c r="C60" s="390" t="s">
        <v>157</v>
      </c>
      <c r="D60" s="390" t="s">
        <v>172</v>
      </c>
      <c r="E60" s="390" t="s">
        <v>173</v>
      </c>
      <c r="F60" s="390">
        <v>15</v>
      </c>
      <c r="G60" s="390" t="s">
        <v>171</v>
      </c>
      <c r="H60" s="391"/>
      <c r="I60" s="390">
        <v>3.8330000000000002</v>
      </c>
      <c r="J60" s="390"/>
      <c r="K60" s="496" t="s">
        <v>338</v>
      </c>
    </row>
    <row r="61" spans="1:15" ht="25" x14ac:dyDescent="0.25">
      <c r="B61" s="806"/>
      <c r="C61" s="390" t="s">
        <v>157</v>
      </c>
      <c r="D61" s="390" t="s">
        <v>172</v>
      </c>
      <c r="E61" s="390" t="s">
        <v>174</v>
      </c>
      <c r="F61" s="390">
        <v>119</v>
      </c>
      <c r="G61" s="390" t="s">
        <v>171</v>
      </c>
      <c r="H61" s="391"/>
      <c r="I61" s="390">
        <v>31.302499999999998</v>
      </c>
      <c r="J61" s="390"/>
      <c r="K61" s="496" t="s">
        <v>338</v>
      </c>
    </row>
    <row r="62" spans="1:15" ht="25" x14ac:dyDescent="0.25">
      <c r="B62" s="806"/>
      <c r="C62" s="390" t="s">
        <v>157</v>
      </c>
      <c r="D62" s="390" t="s">
        <v>172</v>
      </c>
      <c r="E62" s="390" t="s">
        <v>174</v>
      </c>
      <c r="F62" s="390">
        <v>195</v>
      </c>
      <c r="G62" s="390" t="s">
        <v>171</v>
      </c>
      <c r="H62" s="391"/>
      <c r="I62" s="390">
        <v>51.293999999999997</v>
      </c>
      <c r="J62" s="390"/>
      <c r="K62" s="496" t="s">
        <v>338</v>
      </c>
    </row>
    <row r="63" spans="1:15" ht="25" x14ac:dyDescent="0.25">
      <c r="B63" s="806"/>
      <c r="C63" s="390" t="s">
        <v>157</v>
      </c>
      <c r="D63" s="390" t="s">
        <v>172</v>
      </c>
      <c r="E63" s="390" t="s">
        <v>174</v>
      </c>
      <c r="F63" s="390">
        <v>19</v>
      </c>
      <c r="G63" s="390" t="s">
        <v>171</v>
      </c>
      <c r="H63" s="391"/>
      <c r="I63" s="390">
        <v>4.9978999999999996</v>
      </c>
      <c r="J63" s="390"/>
      <c r="K63" s="496" t="s">
        <v>338</v>
      </c>
    </row>
    <row r="64" spans="1:15" ht="25" x14ac:dyDescent="0.25">
      <c r="B64" s="806"/>
      <c r="C64" s="390" t="s">
        <v>161</v>
      </c>
      <c r="D64" s="390" t="s">
        <v>190</v>
      </c>
      <c r="E64" s="390" t="s">
        <v>193</v>
      </c>
      <c r="F64" s="390">
        <v>1009</v>
      </c>
      <c r="G64" s="390" t="s">
        <v>192</v>
      </c>
      <c r="H64" s="391">
        <v>0.12</v>
      </c>
      <c r="I64" s="390">
        <v>0.68710000000000004</v>
      </c>
      <c r="J64" s="390">
        <v>8.2500000000000004E-2</v>
      </c>
      <c r="K64" s="496" t="s">
        <v>337</v>
      </c>
    </row>
    <row r="65" spans="2:15" s="393" customFormat="1" ht="39" customHeight="1" x14ac:dyDescent="0.25">
      <c r="B65" s="806"/>
      <c r="C65" s="390" t="s">
        <v>161</v>
      </c>
      <c r="D65" s="390" t="s">
        <v>190</v>
      </c>
      <c r="E65" s="390" t="s">
        <v>191</v>
      </c>
      <c r="F65" s="390">
        <v>973</v>
      </c>
      <c r="G65" s="390" t="s">
        <v>192</v>
      </c>
      <c r="H65" s="391"/>
      <c r="I65" s="390">
        <v>0.25590000000000002</v>
      </c>
      <c r="J65" s="390"/>
      <c r="K65" s="496" t="s">
        <v>337</v>
      </c>
    </row>
    <row r="66" spans="2:15" ht="25" x14ac:dyDescent="0.25">
      <c r="B66" s="806"/>
      <c r="C66" s="390" t="s">
        <v>157</v>
      </c>
      <c r="D66" s="390" t="s">
        <v>172</v>
      </c>
      <c r="E66" s="390" t="s">
        <v>271</v>
      </c>
      <c r="F66" s="390">
        <v>167</v>
      </c>
      <c r="G66" s="390" t="s">
        <v>175</v>
      </c>
      <c r="H66" s="391"/>
      <c r="I66" s="390">
        <v>580.75710000000004</v>
      </c>
      <c r="J66" s="390"/>
      <c r="K66" s="496" t="s">
        <v>338</v>
      </c>
    </row>
    <row r="67" spans="2:15" ht="37.5" x14ac:dyDescent="0.25">
      <c r="B67" s="806"/>
      <c r="C67" s="390" t="s">
        <v>157</v>
      </c>
      <c r="D67" s="390" t="s">
        <v>172</v>
      </c>
      <c r="E67" s="390" t="s">
        <v>361</v>
      </c>
      <c r="F67" s="390">
        <v>20</v>
      </c>
      <c r="G67" s="390" t="s">
        <v>175</v>
      </c>
      <c r="H67" s="391"/>
      <c r="I67" s="390">
        <v>57.277999999999999</v>
      </c>
      <c r="J67" s="390"/>
      <c r="K67" s="496" t="s">
        <v>338</v>
      </c>
    </row>
    <row r="68" spans="2:15" ht="37.5" x14ac:dyDescent="0.25">
      <c r="B68" s="806"/>
      <c r="C68" s="390" t="s">
        <v>157</v>
      </c>
      <c r="D68" s="390" t="s">
        <v>176</v>
      </c>
      <c r="E68" s="390" t="s">
        <v>177</v>
      </c>
      <c r="F68" s="390">
        <v>45</v>
      </c>
      <c r="G68" s="390" t="s">
        <v>178</v>
      </c>
      <c r="H68" s="391"/>
      <c r="I68" s="390">
        <v>27.147400000000001</v>
      </c>
      <c r="J68" s="390"/>
      <c r="K68" s="496" t="s">
        <v>330</v>
      </c>
    </row>
    <row r="69" spans="2:15" ht="37.5" x14ac:dyDescent="0.25">
      <c r="B69" s="806"/>
      <c r="C69" s="390" t="s">
        <v>152</v>
      </c>
      <c r="D69" s="390" t="s">
        <v>265</v>
      </c>
      <c r="E69" s="390" t="s">
        <v>362</v>
      </c>
      <c r="F69" s="390">
        <v>48</v>
      </c>
      <c r="G69" s="390" t="s">
        <v>25</v>
      </c>
      <c r="H69" s="391"/>
      <c r="I69" s="390">
        <v>0.35489999999999999</v>
      </c>
      <c r="J69" s="390"/>
      <c r="K69" s="496" t="s">
        <v>330</v>
      </c>
    </row>
    <row r="70" spans="2:15" ht="37.5" x14ac:dyDescent="0.25">
      <c r="B70" s="806"/>
      <c r="C70" s="390" t="s">
        <v>155</v>
      </c>
      <c r="D70" s="390" t="s">
        <v>179</v>
      </c>
      <c r="E70" s="390" t="s">
        <v>253</v>
      </c>
      <c r="F70" s="390">
        <v>1096</v>
      </c>
      <c r="G70" s="390" t="s">
        <v>25</v>
      </c>
      <c r="H70" s="391"/>
      <c r="I70" s="390">
        <v>6.6285999999999996</v>
      </c>
      <c r="J70" s="390"/>
      <c r="K70" s="496" t="s">
        <v>339</v>
      </c>
    </row>
    <row r="71" spans="2:15" ht="25" x14ac:dyDescent="0.25">
      <c r="B71" s="806"/>
      <c r="C71" s="390" t="s">
        <v>148</v>
      </c>
      <c r="D71" s="390" t="s">
        <v>167</v>
      </c>
      <c r="E71" s="390" t="s">
        <v>267</v>
      </c>
      <c r="F71" s="390">
        <v>90</v>
      </c>
      <c r="G71" s="390" t="s">
        <v>25</v>
      </c>
      <c r="H71" s="391"/>
      <c r="I71" s="390">
        <v>0.92010000000000003</v>
      </c>
      <c r="J71" s="390"/>
      <c r="K71" s="496" t="s">
        <v>339</v>
      </c>
    </row>
    <row r="72" spans="2:15" ht="37.5" x14ac:dyDescent="0.25">
      <c r="B72" s="806"/>
      <c r="C72" s="390" t="s">
        <v>148</v>
      </c>
      <c r="D72" s="390" t="s">
        <v>180</v>
      </c>
      <c r="E72" s="390" t="s">
        <v>181</v>
      </c>
      <c r="F72" s="390">
        <v>9</v>
      </c>
      <c r="G72" s="390" t="s">
        <v>175</v>
      </c>
      <c r="H72" s="391"/>
      <c r="I72" s="390">
        <v>4.8659999999999997</v>
      </c>
      <c r="J72" s="390"/>
      <c r="K72" s="496" t="s">
        <v>338</v>
      </c>
    </row>
    <row r="73" spans="2:15" ht="25" x14ac:dyDescent="0.25">
      <c r="B73" s="806"/>
      <c r="C73" s="390" t="s">
        <v>148</v>
      </c>
      <c r="D73" s="390" t="s">
        <v>180</v>
      </c>
      <c r="E73" s="390" t="s">
        <v>188</v>
      </c>
      <c r="F73" s="390">
        <v>4</v>
      </c>
      <c r="G73" s="390" t="s">
        <v>175</v>
      </c>
      <c r="H73" s="391"/>
      <c r="I73" s="390">
        <v>10.036099999999999</v>
      </c>
      <c r="J73" s="390"/>
      <c r="K73" s="496" t="s">
        <v>338</v>
      </c>
    </row>
    <row r="74" spans="2:15" ht="37.5" x14ac:dyDescent="0.25">
      <c r="B74" s="806"/>
      <c r="C74" s="390" t="s">
        <v>148</v>
      </c>
      <c r="D74" s="390" t="s">
        <v>182</v>
      </c>
      <c r="E74" s="390" t="s">
        <v>268</v>
      </c>
      <c r="F74" s="390">
        <v>60</v>
      </c>
      <c r="G74" s="390" t="s">
        <v>25</v>
      </c>
      <c r="H74" s="391"/>
      <c r="I74" s="390">
        <v>2.7132000000000001</v>
      </c>
      <c r="J74" s="390"/>
      <c r="K74" s="496" t="s">
        <v>338</v>
      </c>
      <c r="M74" s="366"/>
      <c r="N74" s="366"/>
      <c r="O74" s="366"/>
    </row>
    <row r="75" spans="2:15" ht="25" x14ac:dyDescent="0.25">
      <c r="B75" s="806"/>
      <c r="C75" s="390" t="s">
        <v>147</v>
      </c>
      <c r="D75" s="390" t="s">
        <v>183</v>
      </c>
      <c r="E75" s="390" t="s">
        <v>184</v>
      </c>
      <c r="F75" s="390">
        <v>49</v>
      </c>
      <c r="G75" s="390" t="s">
        <v>25</v>
      </c>
      <c r="H75" s="391"/>
      <c r="I75" s="390">
        <v>3.0145</v>
      </c>
      <c r="J75" s="390"/>
      <c r="K75" s="496" t="s">
        <v>330</v>
      </c>
    </row>
    <row r="76" spans="2:15" ht="37.5" x14ac:dyDescent="0.25">
      <c r="B76" s="806"/>
      <c r="C76" s="390" t="s">
        <v>152</v>
      </c>
      <c r="D76" s="390" t="s">
        <v>185</v>
      </c>
      <c r="E76" s="390" t="s">
        <v>186</v>
      </c>
      <c r="F76" s="390">
        <v>374</v>
      </c>
      <c r="G76" s="390" t="s">
        <v>187</v>
      </c>
      <c r="H76" s="391"/>
      <c r="I76" s="390">
        <v>0.19450000000000001</v>
      </c>
      <c r="J76" s="390"/>
      <c r="K76" s="496" t="s">
        <v>339</v>
      </c>
    </row>
    <row r="77" spans="2:15" ht="37.5" x14ac:dyDescent="0.25">
      <c r="B77" s="806"/>
      <c r="C77" s="390" t="s">
        <v>152</v>
      </c>
      <c r="D77" s="390" t="s">
        <v>185</v>
      </c>
      <c r="E77" s="390" t="s">
        <v>186</v>
      </c>
      <c r="F77" s="390">
        <v>93</v>
      </c>
      <c r="G77" s="390" t="s">
        <v>187</v>
      </c>
      <c r="H77" s="391"/>
      <c r="I77" s="390">
        <v>4.8399999999999999E-2</v>
      </c>
      <c r="J77" s="390"/>
      <c r="K77" s="496" t="s">
        <v>339</v>
      </c>
    </row>
    <row r="78" spans="2:15" x14ac:dyDescent="0.25">
      <c r="B78" s="502" t="s">
        <v>344</v>
      </c>
      <c r="C78" s="428"/>
      <c r="D78" s="428"/>
      <c r="E78" s="428"/>
      <c r="F78" s="428"/>
      <c r="G78" s="428"/>
      <c r="H78" s="490"/>
      <c r="I78" s="491">
        <f>SUM(I57:I77)</f>
        <v>797.99230000000011</v>
      </c>
      <c r="J78" s="491">
        <f>SUM(J57:J77)</f>
        <v>8.2500000000000004E-2</v>
      </c>
      <c r="K78" s="497" t="s">
        <v>90</v>
      </c>
      <c r="M78" s="366"/>
      <c r="N78" s="366"/>
      <c r="O78" s="366"/>
    </row>
    <row r="79" spans="2:15" ht="44.25" customHeight="1" x14ac:dyDescent="0.25">
      <c r="B79" s="806" t="s">
        <v>690</v>
      </c>
      <c r="C79" s="390" t="s">
        <v>148</v>
      </c>
      <c r="D79" s="390" t="s">
        <v>167</v>
      </c>
      <c r="E79" s="390" t="s">
        <v>168</v>
      </c>
      <c r="F79" s="390">
        <v>77</v>
      </c>
      <c r="G79" s="390" t="s">
        <v>25</v>
      </c>
      <c r="H79" s="391"/>
      <c r="I79" s="390">
        <v>0.79630000000000001</v>
      </c>
      <c r="J79" s="390"/>
      <c r="K79" s="496" t="s">
        <v>339</v>
      </c>
    </row>
    <row r="80" spans="2:15" ht="25" x14ac:dyDescent="0.25">
      <c r="B80" s="806"/>
      <c r="C80" s="390" t="s">
        <v>149</v>
      </c>
      <c r="D80" s="390" t="s">
        <v>169</v>
      </c>
      <c r="E80" s="390" t="s">
        <v>170</v>
      </c>
      <c r="F80" s="390">
        <v>6578</v>
      </c>
      <c r="G80" s="390" t="s">
        <v>171</v>
      </c>
      <c r="H80" s="391"/>
      <c r="I80" s="390">
        <v>25.9834</v>
      </c>
      <c r="J80" s="390"/>
      <c r="K80" s="496" t="s">
        <v>328</v>
      </c>
    </row>
    <row r="81" spans="2:11" ht="37.5" x14ac:dyDescent="0.25">
      <c r="B81" s="806"/>
      <c r="C81" s="390" t="s">
        <v>151</v>
      </c>
      <c r="D81" s="390" t="s">
        <v>189</v>
      </c>
      <c r="E81" s="390" t="s">
        <v>747</v>
      </c>
      <c r="F81" s="390">
        <v>904</v>
      </c>
      <c r="G81" s="390" t="s">
        <v>187</v>
      </c>
      <c r="H81" s="391"/>
      <c r="I81" s="390">
        <v>0.36570000000000003</v>
      </c>
      <c r="J81" s="390"/>
      <c r="K81" s="496" t="s">
        <v>339</v>
      </c>
    </row>
    <row r="82" spans="2:11" ht="25" x14ac:dyDescent="0.25">
      <c r="B82" s="806"/>
      <c r="C82" s="390" t="s">
        <v>157</v>
      </c>
      <c r="D82" s="390" t="s">
        <v>172</v>
      </c>
      <c r="E82" s="390" t="s">
        <v>173</v>
      </c>
      <c r="F82" s="390">
        <v>17</v>
      </c>
      <c r="G82" s="390" t="s">
        <v>171</v>
      </c>
      <c r="H82" s="391"/>
      <c r="I82" s="390">
        <v>4.3441000000000001</v>
      </c>
      <c r="J82" s="390"/>
      <c r="K82" s="496" t="s">
        <v>338</v>
      </c>
    </row>
    <row r="83" spans="2:11" ht="25" x14ac:dyDescent="0.25">
      <c r="B83" s="806"/>
      <c r="C83" s="390" t="s">
        <v>157</v>
      </c>
      <c r="D83" s="390" t="s">
        <v>172</v>
      </c>
      <c r="E83" s="390" t="s">
        <v>174</v>
      </c>
      <c r="F83" s="390">
        <v>195</v>
      </c>
      <c r="G83" s="390" t="s">
        <v>171</v>
      </c>
      <c r="H83" s="391"/>
      <c r="I83" s="390">
        <v>51.293999999999997</v>
      </c>
      <c r="J83" s="390"/>
      <c r="K83" s="496" t="s">
        <v>338</v>
      </c>
    </row>
    <row r="84" spans="2:11" ht="25" x14ac:dyDescent="0.25">
      <c r="B84" s="806"/>
      <c r="C84" s="390" t="s">
        <v>157</v>
      </c>
      <c r="D84" s="390" t="s">
        <v>172</v>
      </c>
      <c r="E84" s="390" t="s">
        <v>174</v>
      </c>
      <c r="F84" s="390">
        <v>201</v>
      </c>
      <c r="G84" s="390" t="s">
        <v>171</v>
      </c>
      <c r="H84" s="391"/>
      <c r="I84" s="390">
        <v>52.872300000000003</v>
      </c>
      <c r="J84" s="390"/>
      <c r="K84" s="496" t="s">
        <v>338</v>
      </c>
    </row>
    <row r="85" spans="2:11" ht="25" x14ac:dyDescent="0.25">
      <c r="B85" s="806"/>
      <c r="C85" s="390" t="s">
        <v>157</v>
      </c>
      <c r="D85" s="390" t="s">
        <v>172</v>
      </c>
      <c r="E85" s="390" t="s">
        <v>174</v>
      </c>
      <c r="F85" s="390">
        <v>20</v>
      </c>
      <c r="G85" s="390" t="s">
        <v>171</v>
      </c>
      <c r="H85" s="391"/>
      <c r="I85" s="390">
        <v>5.2609000000000004</v>
      </c>
      <c r="J85" s="390"/>
      <c r="K85" s="496" t="s">
        <v>338</v>
      </c>
    </row>
    <row r="86" spans="2:11" ht="25" x14ac:dyDescent="0.25">
      <c r="B86" s="806"/>
      <c r="C86" s="390" t="s">
        <v>157</v>
      </c>
      <c r="D86" s="390" t="s">
        <v>172</v>
      </c>
      <c r="E86" s="390" t="s">
        <v>271</v>
      </c>
      <c r="F86" s="390">
        <v>319</v>
      </c>
      <c r="G86" s="390" t="s">
        <v>175</v>
      </c>
      <c r="H86" s="391"/>
      <c r="I86" s="390">
        <v>1109.3504</v>
      </c>
      <c r="J86" s="390"/>
      <c r="K86" s="496" t="s">
        <v>338</v>
      </c>
    </row>
    <row r="87" spans="2:11" ht="37.5" x14ac:dyDescent="0.25">
      <c r="B87" s="806"/>
      <c r="C87" s="390" t="s">
        <v>157</v>
      </c>
      <c r="D87" s="390" t="s">
        <v>172</v>
      </c>
      <c r="E87" s="390" t="s">
        <v>361</v>
      </c>
      <c r="F87" s="390">
        <v>20</v>
      </c>
      <c r="G87" s="390" t="s">
        <v>175</v>
      </c>
      <c r="H87" s="391"/>
      <c r="I87" s="390">
        <v>57.277999999999999</v>
      </c>
      <c r="J87" s="390"/>
      <c r="K87" s="496" t="s">
        <v>338</v>
      </c>
    </row>
    <row r="88" spans="2:11" ht="37.5" x14ac:dyDescent="0.25">
      <c r="B88" s="806"/>
      <c r="C88" s="390" t="s">
        <v>157</v>
      </c>
      <c r="D88" s="390" t="s">
        <v>176</v>
      </c>
      <c r="E88" s="390" t="s">
        <v>177</v>
      </c>
      <c r="F88" s="390">
        <v>45</v>
      </c>
      <c r="G88" s="390" t="s">
        <v>178</v>
      </c>
      <c r="H88" s="391"/>
      <c r="I88" s="390">
        <v>27.147400000000001</v>
      </c>
      <c r="J88" s="390"/>
      <c r="K88" s="496" t="s">
        <v>330</v>
      </c>
    </row>
    <row r="89" spans="2:11" ht="37.5" x14ac:dyDescent="0.25">
      <c r="B89" s="806"/>
      <c r="C89" s="390" t="s">
        <v>152</v>
      </c>
      <c r="D89" s="390" t="s">
        <v>265</v>
      </c>
      <c r="E89" s="390" t="s">
        <v>266</v>
      </c>
      <c r="F89" s="390">
        <v>40</v>
      </c>
      <c r="G89" s="390" t="s">
        <v>25</v>
      </c>
      <c r="H89" s="391"/>
      <c r="I89" s="390">
        <v>0.29389999999999999</v>
      </c>
      <c r="J89" s="390"/>
      <c r="K89" s="496" t="s">
        <v>330</v>
      </c>
    </row>
    <row r="90" spans="2:11" ht="37.5" x14ac:dyDescent="0.25">
      <c r="B90" s="806"/>
      <c r="C90" s="390" t="s">
        <v>155</v>
      </c>
      <c r="D90" s="390" t="s">
        <v>179</v>
      </c>
      <c r="E90" s="390" t="s">
        <v>253</v>
      </c>
      <c r="F90" s="390">
        <v>1183</v>
      </c>
      <c r="G90" s="390" t="s">
        <v>25</v>
      </c>
      <c r="H90" s="391"/>
      <c r="I90" s="390">
        <v>7.1547999999999998</v>
      </c>
      <c r="J90" s="390"/>
      <c r="K90" s="496" t="s">
        <v>339</v>
      </c>
    </row>
    <row r="91" spans="2:11" ht="25" x14ac:dyDescent="0.25">
      <c r="B91" s="806"/>
      <c r="C91" s="390" t="s">
        <v>148</v>
      </c>
      <c r="D91" s="390" t="s">
        <v>167</v>
      </c>
      <c r="E91" s="390" t="s">
        <v>267</v>
      </c>
      <c r="F91" s="390">
        <v>49</v>
      </c>
      <c r="G91" s="390" t="s">
        <v>25</v>
      </c>
      <c r="H91" s="391"/>
      <c r="I91" s="390">
        <v>0.50090000000000001</v>
      </c>
      <c r="J91" s="390"/>
      <c r="K91" s="496" t="s">
        <v>339</v>
      </c>
    </row>
    <row r="92" spans="2:11" ht="37.5" x14ac:dyDescent="0.25">
      <c r="B92" s="806"/>
      <c r="C92" s="390" t="s">
        <v>148</v>
      </c>
      <c r="D92" s="390" t="s">
        <v>180</v>
      </c>
      <c r="E92" s="390" t="s">
        <v>181</v>
      </c>
      <c r="F92" s="390">
        <v>4</v>
      </c>
      <c r="G92" s="390" t="s">
        <v>175</v>
      </c>
      <c r="H92" s="391"/>
      <c r="I92" s="390">
        <v>2.1627000000000001</v>
      </c>
      <c r="J92" s="390"/>
      <c r="K92" s="496" t="s">
        <v>338</v>
      </c>
    </row>
    <row r="93" spans="2:11" ht="25" x14ac:dyDescent="0.25">
      <c r="B93" s="806"/>
      <c r="C93" s="390" t="s">
        <v>148</v>
      </c>
      <c r="D93" s="390" t="s">
        <v>180</v>
      </c>
      <c r="E93" s="390" t="s">
        <v>188</v>
      </c>
      <c r="F93" s="390">
        <v>4</v>
      </c>
      <c r="G93" s="390" t="s">
        <v>175</v>
      </c>
      <c r="H93" s="391"/>
      <c r="I93" s="390">
        <v>10.036099999999999</v>
      </c>
      <c r="J93" s="390"/>
      <c r="K93" s="496" t="s">
        <v>338</v>
      </c>
    </row>
    <row r="94" spans="2:11" ht="37.5" x14ac:dyDescent="0.25">
      <c r="B94" s="806"/>
      <c r="C94" s="390" t="s">
        <v>148</v>
      </c>
      <c r="D94" s="390" t="s">
        <v>182</v>
      </c>
      <c r="E94" s="390" t="s">
        <v>268</v>
      </c>
      <c r="F94" s="390">
        <v>64</v>
      </c>
      <c r="G94" s="390" t="s">
        <v>25</v>
      </c>
      <c r="H94" s="391"/>
      <c r="I94" s="390">
        <v>2.8940999999999999</v>
      </c>
      <c r="J94" s="390"/>
      <c r="K94" s="496" t="s">
        <v>338</v>
      </c>
    </row>
    <row r="95" spans="2:11" ht="25" x14ac:dyDescent="0.25">
      <c r="B95" s="806"/>
      <c r="C95" s="390" t="s">
        <v>147</v>
      </c>
      <c r="D95" s="390" t="s">
        <v>183</v>
      </c>
      <c r="E95" s="390" t="s">
        <v>184</v>
      </c>
      <c r="F95" s="390">
        <v>51</v>
      </c>
      <c r="G95" s="390" t="s">
        <v>25</v>
      </c>
      <c r="H95" s="391"/>
      <c r="I95" s="390">
        <v>3.1375000000000002</v>
      </c>
      <c r="J95" s="390"/>
      <c r="K95" s="496" t="s">
        <v>330</v>
      </c>
    </row>
    <row r="96" spans="2:11" ht="37.5" x14ac:dyDescent="0.25">
      <c r="B96" s="806"/>
      <c r="C96" s="390" t="s">
        <v>152</v>
      </c>
      <c r="D96" s="390" t="s">
        <v>185</v>
      </c>
      <c r="E96" s="390" t="s">
        <v>186</v>
      </c>
      <c r="F96" s="390">
        <v>402</v>
      </c>
      <c r="G96" s="390" t="s">
        <v>187</v>
      </c>
      <c r="H96" s="391"/>
      <c r="I96" s="390">
        <v>0.20899999999999999</v>
      </c>
      <c r="J96" s="390"/>
      <c r="K96" s="496" t="s">
        <v>339</v>
      </c>
    </row>
    <row r="97" spans="2:15" ht="37.5" x14ac:dyDescent="0.25">
      <c r="B97" s="806"/>
      <c r="C97" s="390" t="s">
        <v>152</v>
      </c>
      <c r="D97" s="390" t="s">
        <v>185</v>
      </c>
      <c r="E97" s="390" t="s">
        <v>186</v>
      </c>
      <c r="F97" s="390">
        <v>118</v>
      </c>
      <c r="G97" s="390" t="s">
        <v>187</v>
      </c>
      <c r="H97" s="391"/>
      <c r="I97" s="390">
        <v>6.1400000000000003E-2</v>
      </c>
      <c r="J97" s="390"/>
      <c r="K97" s="496" t="s">
        <v>339</v>
      </c>
    </row>
    <row r="98" spans="2:15" ht="25" x14ac:dyDescent="0.25">
      <c r="B98" s="806"/>
      <c r="C98" s="390" t="s">
        <v>161</v>
      </c>
      <c r="D98" s="390" t="s">
        <v>190</v>
      </c>
      <c r="E98" s="390" t="s">
        <v>191</v>
      </c>
      <c r="F98" s="390">
        <v>755</v>
      </c>
      <c r="G98" s="390" t="s">
        <v>192</v>
      </c>
      <c r="H98" s="391"/>
      <c r="I98" s="390">
        <v>0.1986</v>
      </c>
      <c r="J98" s="390"/>
      <c r="K98" s="496" t="s">
        <v>337</v>
      </c>
    </row>
    <row r="99" spans="2:15" ht="25" x14ac:dyDescent="0.25">
      <c r="B99" s="806"/>
      <c r="C99" s="390" t="s">
        <v>161</v>
      </c>
      <c r="D99" s="390" t="s">
        <v>190</v>
      </c>
      <c r="E99" s="390" t="s">
        <v>193</v>
      </c>
      <c r="F99" s="390">
        <v>782</v>
      </c>
      <c r="G99" s="390" t="s">
        <v>192</v>
      </c>
      <c r="H99" s="391">
        <v>0.12</v>
      </c>
      <c r="I99" s="390">
        <v>0.53249999999999997</v>
      </c>
      <c r="J99" s="390">
        <v>6.3899999999999998E-2</v>
      </c>
      <c r="K99" s="496" t="s">
        <v>337</v>
      </c>
    </row>
    <row r="100" spans="2:15" ht="13" thickBot="1" x14ac:dyDescent="0.3">
      <c r="B100" s="503" t="s">
        <v>344</v>
      </c>
      <c r="C100" s="498"/>
      <c r="D100" s="498"/>
      <c r="E100" s="498"/>
      <c r="F100" s="498"/>
      <c r="G100" s="498"/>
      <c r="H100" s="499"/>
      <c r="I100" s="513">
        <f>SUM(I79:I99)</f>
        <v>1361.8740000000003</v>
      </c>
      <c r="J100" s="500">
        <f>SUM(J79:J99)</f>
        <v>6.3899999999999998E-2</v>
      </c>
      <c r="K100" s="501" t="s">
        <v>90</v>
      </c>
      <c r="M100" s="366"/>
      <c r="N100" s="366"/>
      <c r="O100" s="366"/>
    </row>
  </sheetData>
  <mergeCells count="25">
    <mergeCell ref="E39:F39"/>
    <mergeCell ref="B57:B77"/>
    <mergeCell ref="M4:N4"/>
    <mergeCell ref="O4:O5"/>
    <mergeCell ref="B25:I25"/>
    <mergeCell ref="B26:D26"/>
    <mergeCell ref="B30:D30"/>
    <mergeCell ref="B4:B5"/>
    <mergeCell ref="C4:C5"/>
    <mergeCell ref="D4:D5"/>
    <mergeCell ref="E4:E5"/>
    <mergeCell ref="I4:J4"/>
    <mergeCell ref="K4:L4"/>
    <mergeCell ref="B11:C11"/>
    <mergeCell ref="F4:F5"/>
    <mergeCell ref="G4:G5"/>
    <mergeCell ref="B10:C10"/>
    <mergeCell ref="B12:B13"/>
    <mergeCell ref="B79:B99"/>
    <mergeCell ref="B39:B40"/>
    <mergeCell ref="C39:D39"/>
    <mergeCell ref="B36:D36"/>
    <mergeCell ref="B14:B15"/>
    <mergeCell ref="B16:B18"/>
    <mergeCell ref="B19:B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6B22DE-6B6F-4840-A379-70582AAB0667}">
          <x14:formula1>
            <xm:f>'Task 3 - Material summary'!$B$7:$B$14</xm:f>
          </x14:formula1>
          <xm:sqref>K57:K100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FBAA-1003-47A8-8D81-B0ED06680136}">
  <sheetPr>
    <tabColor rgb="FF00353E"/>
  </sheetPr>
  <dimension ref="A1:O137"/>
  <sheetViews>
    <sheetView showGridLines="0" workbookViewId="0"/>
  </sheetViews>
  <sheetFormatPr defaultColWidth="8.7265625" defaultRowHeight="12.5" x14ac:dyDescent="0.25"/>
  <cols>
    <col min="1" max="1" width="8.1796875" style="300" customWidth="1"/>
    <col min="2" max="2" width="44.1796875" style="366" customWidth="1"/>
    <col min="3" max="3" width="21.1796875" style="366" customWidth="1"/>
    <col min="4" max="4" width="20.26953125" style="366" customWidth="1"/>
    <col min="5" max="5" width="27.453125" style="366" customWidth="1"/>
    <col min="6" max="7" width="21.453125" style="366" customWidth="1"/>
    <col min="8" max="8" width="22.81640625" style="366" customWidth="1"/>
    <col min="9" max="9" width="18.1796875" style="366" customWidth="1"/>
    <col min="10" max="10" width="22.7265625" style="366" customWidth="1"/>
    <col min="11" max="11" width="21" style="366" customWidth="1"/>
    <col min="12" max="12" width="25.1796875" style="300" customWidth="1"/>
    <col min="13" max="13" width="27.81640625" style="300" customWidth="1"/>
    <col min="14" max="14" width="25" style="300" customWidth="1"/>
    <col min="15" max="15" width="16.453125" style="300" customWidth="1"/>
    <col min="16" max="16384" width="8.7265625" style="300"/>
  </cols>
  <sheetData>
    <row r="1" spans="2:15" s="363" customFormat="1" ht="25" customHeight="1" x14ac:dyDescent="0.35">
      <c r="B1" s="267" t="s">
        <v>468</v>
      </c>
      <c r="D1" s="364"/>
      <c r="E1" s="364"/>
      <c r="F1" s="364"/>
      <c r="G1" s="364"/>
      <c r="H1" s="364"/>
      <c r="I1" s="364"/>
      <c r="J1" s="364"/>
      <c r="K1" s="364"/>
    </row>
    <row r="2" spans="2:15" s="363" customFormat="1" ht="18" customHeight="1" x14ac:dyDescent="0.35">
      <c r="B2" s="363" t="s">
        <v>643</v>
      </c>
      <c r="H2" s="364"/>
      <c r="I2" s="364"/>
    </row>
    <row r="3" spans="2:15" ht="39.65" customHeight="1" thickBot="1" x14ac:dyDescent="0.35">
      <c r="B3" s="365" t="s">
        <v>443</v>
      </c>
      <c r="I3" s="367" t="s">
        <v>444</v>
      </c>
      <c r="L3" s="366"/>
    </row>
    <row r="4" spans="2:15" ht="14.25" customHeight="1" x14ac:dyDescent="0.25">
      <c r="B4" s="771" t="s">
        <v>37</v>
      </c>
      <c r="C4" s="773" t="s">
        <v>75</v>
      </c>
      <c r="D4" s="773" t="s">
        <v>381</v>
      </c>
      <c r="E4" s="773" t="s">
        <v>629</v>
      </c>
      <c r="F4" s="773" t="s">
        <v>630</v>
      </c>
      <c r="G4" s="791" t="s">
        <v>631</v>
      </c>
      <c r="I4" s="786" t="s">
        <v>69</v>
      </c>
      <c r="J4" s="787"/>
      <c r="K4" s="788" t="s">
        <v>70</v>
      </c>
      <c r="L4" s="787"/>
      <c r="M4" s="794" t="s">
        <v>342</v>
      </c>
      <c r="N4" s="794"/>
      <c r="O4" s="791" t="s">
        <v>382</v>
      </c>
    </row>
    <row r="5" spans="2:15" ht="37.5" customHeight="1" x14ac:dyDescent="0.25">
      <c r="B5" s="772"/>
      <c r="C5" s="774"/>
      <c r="D5" s="774"/>
      <c r="E5" s="774"/>
      <c r="F5" s="774"/>
      <c r="G5" s="792"/>
      <c r="I5" s="64" t="s">
        <v>71</v>
      </c>
      <c r="J5" s="65" t="s">
        <v>72</v>
      </c>
      <c r="K5" s="66" t="s">
        <v>73</v>
      </c>
      <c r="L5" s="67" t="s">
        <v>74</v>
      </c>
      <c r="M5" s="155" t="s">
        <v>636</v>
      </c>
      <c r="N5" s="155" t="s">
        <v>689</v>
      </c>
      <c r="O5" s="792"/>
    </row>
    <row r="6" spans="2:15" ht="15" customHeight="1" x14ac:dyDescent="0.25">
      <c r="B6" s="413" t="s">
        <v>96</v>
      </c>
      <c r="C6" s="174">
        <f>'Structure dimensions'!L23</f>
        <v>373.09999999999997</v>
      </c>
      <c r="D6" s="175">
        <f>SUM(I6:L6)</f>
        <v>2474.8985999999986</v>
      </c>
      <c r="E6" s="175">
        <f>O6</f>
        <v>2474.9850999999985</v>
      </c>
      <c r="F6" s="408">
        <f>D6/C6</f>
        <v>6.6333385151433903</v>
      </c>
      <c r="G6" s="410">
        <f>E6/C6</f>
        <v>6.6335703564727924</v>
      </c>
      <c r="H6" s="548"/>
      <c r="I6" s="178">
        <f>I99</f>
        <v>2373.6985999999988</v>
      </c>
      <c r="J6" s="179">
        <v>31.2</v>
      </c>
      <c r="K6" s="180">
        <v>51.8</v>
      </c>
      <c r="L6" s="179">
        <v>18.2</v>
      </c>
      <c r="M6" s="179">
        <f>J99</f>
        <v>8.6499999999999994E-2</v>
      </c>
      <c r="N6" s="179">
        <v>0</v>
      </c>
      <c r="O6" s="63">
        <f>SUM(I6:N6)</f>
        <v>2474.9850999999985</v>
      </c>
    </row>
    <row r="7" spans="2:15" ht="15" customHeight="1" thickBot="1" x14ac:dyDescent="0.3">
      <c r="B7" s="207" t="s">
        <v>97</v>
      </c>
      <c r="C7" s="176">
        <f>'Structure dimensions'!L25</f>
        <v>366.95</v>
      </c>
      <c r="D7" s="177">
        <f>SUM(I7:L7)</f>
        <v>2541.1393999999996</v>
      </c>
      <c r="E7" s="177">
        <f>O7</f>
        <v>2541.2541999999994</v>
      </c>
      <c r="F7" s="409">
        <f>D7/C7</f>
        <v>6.9250290230276592</v>
      </c>
      <c r="G7" s="412">
        <f>E7/C7</f>
        <v>6.9253418721896702</v>
      </c>
      <c r="H7" s="548"/>
      <c r="I7" s="197">
        <f>I123</f>
        <v>2461.1393999999996</v>
      </c>
      <c r="J7" s="198">
        <v>26.3</v>
      </c>
      <c r="K7" s="199">
        <v>38.200000000000003</v>
      </c>
      <c r="L7" s="198">
        <v>15.5</v>
      </c>
      <c r="M7" s="198">
        <f>J123</f>
        <v>0.1148</v>
      </c>
      <c r="N7" s="198">
        <v>0</v>
      </c>
      <c r="O7" s="80">
        <f>SUM(I7:N7)</f>
        <v>2541.2541999999994</v>
      </c>
    </row>
    <row r="8" spans="2:15" ht="14" thickTop="1" thickBot="1" x14ac:dyDescent="0.3">
      <c r="B8" s="417" t="s">
        <v>2</v>
      </c>
      <c r="C8" s="328"/>
      <c r="D8" s="172">
        <f>SUM(D6:D7)</f>
        <v>5016.0379999999986</v>
      </c>
      <c r="E8" s="172">
        <f>SUM(E6:E7)</f>
        <v>5016.2392999999975</v>
      </c>
      <c r="F8" s="172"/>
      <c r="G8" s="173"/>
      <c r="H8" s="549"/>
      <c r="I8" s="194" t="s">
        <v>81</v>
      </c>
      <c r="J8" s="72">
        <f>SUM(I6:J7)</f>
        <v>4892.3379999999988</v>
      </c>
      <c r="K8" s="195" t="s">
        <v>81</v>
      </c>
      <c r="L8" s="72">
        <f>SUM(K6:L7)</f>
        <v>123.7</v>
      </c>
      <c r="M8" s="184" t="s">
        <v>346</v>
      </c>
      <c r="N8" s="196">
        <f>SUM(M6:N7)</f>
        <v>0.20129999999999998</v>
      </c>
      <c r="O8" s="79">
        <f>SUM(O6:O7)</f>
        <v>5016.2392999999975</v>
      </c>
    </row>
    <row r="9" spans="2:15" ht="13.5" thickBot="1" x14ac:dyDescent="0.3">
      <c r="B9" s="300"/>
      <c r="C9" s="300"/>
      <c r="D9" s="300"/>
      <c r="E9" s="300"/>
      <c r="F9" s="300"/>
      <c r="G9" s="300"/>
      <c r="H9" s="35"/>
      <c r="I9" s="300" t="s">
        <v>490</v>
      </c>
    </row>
    <row r="10" spans="2:15" ht="13" x14ac:dyDescent="0.3">
      <c r="B10" s="733" t="s">
        <v>383</v>
      </c>
      <c r="C10" s="734"/>
      <c r="D10" s="342" t="s">
        <v>384</v>
      </c>
      <c r="E10" s="343" t="s">
        <v>10</v>
      </c>
      <c r="F10" s="300"/>
      <c r="G10" s="300"/>
      <c r="H10" s="369"/>
      <c r="K10" s="37"/>
    </row>
    <row r="11" spans="2:15" ht="35.5" customHeight="1" x14ac:dyDescent="0.25">
      <c r="B11" s="804" t="s">
        <v>9</v>
      </c>
      <c r="C11" s="805"/>
      <c r="D11" s="174">
        <v>2</v>
      </c>
      <c r="E11" s="301" t="s">
        <v>385</v>
      </c>
      <c r="F11" s="300"/>
      <c r="G11" s="300"/>
      <c r="H11" s="369"/>
      <c r="K11" s="37"/>
    </row>
    <row r="12" spans="2:15" ht="35.5" customHeight="1" x14ac:dyDescent="0.25">
      <c r="B12" s="775" t="s">
        <v>644</v>
      </c>
      <c r="C12" s="344" t="s">
        <v>623</v>
      </c>
      <c r="D12" s="174">
        <f>D8/D11</f>
        <v>2508.0189999999993</v>
      </c>
      <c r="E12" s="301" t="s">
        <v>395</v>
      </c>
      <c r="F12" s="335"/>
      <c r="G12" s="335"/>
      <c r="H12" s="369"/>
      <c r="K12" s="37"/>
    </row>
    <row r="13" spans="2:15" ht="35.5" customHeight="1" x14ac:dyDescent="0.25">
      <c r="B13" s="775"/>
      <c r="C13" s="344" t="s">
        <v>624</v>
      </c>
      <c r="D13" s="174">
        <f>E8/D11</f>
        <v>2508.1196499999987</v>
      </c>
      <c r="E13" s="301" t="s">
        <v>395</v>
      </c>
      <c r="F13" s="335"/>
      <c r="G13" s="335"/>
      <c r="H13" s="369"/>
      <c r="K13" s="37"/>
    </row>
    <row r="14" spans="2:15" ht="35.5" customHeight="1" x14ac:dyDescent="0.25">
      <c r="B14" s="775" t="s">
        <v>645</v>
      </c>
      <c r="C14" s="344" t="s">
        <v>623</v>
      </c>
      <c r="D14" s="185">
        <f>AVERAGE(F6:F7)</f>
        <v>6.7791837690855248</v>
      </c>
      <c r="E14" s="301" t="s">
        <v>394</v>
      </c>
      <c r="F14" s="335"/>
      <c r="G14" s="335"/>
      <c r="H14" s="369"/>
      <c r="K14" s="37"/>
    </row>
    <row r="15" spans="2:15" ht="35.5" customHeight="1" x14ac:dyDescent="0.25">
      <c r="B15" s="775"/>
      <c r="C15" s="344" t="s">
        <v>624</v>
      </c>
      <c r="D15" s="185">
        <f>AVERAGE(G6:G7)</f>
        <v>6.7794561143312313</v>
      </c>
      <c r="E15" s="301" t="s">
        <v>394</v>
      </c>
      <c r="F15" s="335"/>
      <c r="G15" s="335"/>
      <c r="H15" s="369"/>
      <c r="K15" s="37"/>
    </row>
    <row r="16" spans="2:15" ht="28.5" customHeight="1" x14ac:dyDescent="0.25">
      <c r="B16" s="775" t="s">
        <v>628</v>
      </c>
      <c r="C16" s="344" t="s">
        <v>3</v>
      </c>
      <c r="D16" s="571">
        <f>(D22+D23)/D15</f>
        <v>0.97532962755028929</v>
      </c>
      <c r="E16" s="301" t="s">
        <v>388</v>
      </c>
      <c r="F16" s="335"/>
      <c r="G16" s="335"/>
      <c r="H16" s="369"/>
      <c r="K16" s="37"/>
    </row>
    <row r="17" spans="2:11" ht="28.5" customHeight="1" x14ac:dyDescent="0.25">
      <c r="B17" s="775"/>
      <c r="C17" s="344" t="s">
        <v>4</v>
      </c>
      <c r="D17" s="571">
        <f>(D24+D25)/D15</f>
        <v>2.4630200311840978E-2</v>
      </c>
      <c r="E17" s="301" t="s">
        <v>388</v>
      </c>
      <c r="F17" s="335"/>
      <c r="G17" s="335"/>
      <c r="H17" s="369"/>
      <c r="K17" s="37"/>
    </row>
    <row r="18" spans="2:11" ht="28.5" customHeight="1" x14ac:dyDescent="0.25">
      <c r="B18" s="775"/>
      <c r="C18" s="344" t="s">
        <v>627</v>
      </c>
      <c r="D18" s="571">
        <f>(D26+D27)/D15</f>
        <v>4.0172137869736021E-5</v>
      </c>
      <c r="E18" s="301" t="s">
        <v>388</v>
      </c>
      <c r="H18" s="369"/>
      <c r="K18" s="37"/>
    </row>
    <row r="19" spans="2:11" x14ac:dyDescent="0.25">
      <c r="B19" s="775" t="s">
        <v>645</v>
      </c>
      <c r="C19" s="344" t="s">
        <v>3</v>
      </c>
      <c r="D19" s="185">
        <f>D15*D16</f>
        <v>6.612204406984211</v>
      </c>
      <c r="E19" s="301" t="s">
        <v>394</v>
      </c>
      <c r="H19" s="369"/>
      <c r="K19" s="37"/>
    </row>
    <row r="20" spans="2:11" x14ac:dyDescent="0.25">
      <c r="B20" s="775"/>
      <c r="C20" s="344" t="s">
        <v>4</v>
      </c>
      <c r="D20" s="185">
        <f>D15*D17</f>
        <v>0.16697936210131331</v>
      </c>
      <c r="E20" s="301" t="s">
        <v>394</v>
      </c>
      <c r="H20" s="369"/>
      <c r="K20" s="37"/>
    </row>
    <row r="21" spans="2:11" x14ac:dyDescent="0.25">
      <c r="B21" s="775"/>
      <c r="C21" s="344" t="s">
        <v>627</v>
      </c>
      <c r="D21" s="185">
        <f>D15*D18</f>
        <v>2.7234524570673909E-4</v>
      </c>
      <c r="E21" s="301" t="s">
        <v>394</v>
      </c>
      <c r="H21" s="369"/>
      <c r="K21" s="37"/>
    </row>
    <row r="22" spans="2:11" ht="23.15" customHeight="1" x14ac:dyDescent="0.25">
      <c r="B22" s="801" t="s">
        <v>709</v>
      </c>
      <c r="C22" s="572" t="s">
        <v>708</v>
      </c>
      <c r="D22" s="185">
        <f>((I6/C6)+(I7/C7))/2</f>
        <v>6.5345566153426873</v>
      </c>
      <c r="E22" s="301" t="s">
        <v>394</v>
      </c>
      <c r="H22" s="369"/>
      <c r="K22" s="37"/>
    </row>
    <row r="23" spans="2:11" ht="23.15" customHeight="1" x14ac:dyDescent="0.25">
      <c r="B23" s="802"/>
      <c r="C23" s="572" t="s">
        <v>710</v>
      </c>
      <c r="D23" s="185">
        <f>((J6/C6)+(J7/C7))/2</f>
        <v>7.7647791641523772E-2</v>
      </c>
      <c r="E23" s="301" t="s">
        <v>394</v>
      </c>
      <c r="H23" s="369"/>
      <c r="K23" s="37"/>
    </row>
    <row r="24" spans="2:11" ht="23.15" customHeight="1" x14ac:dyDescent="0.25">
      <c r="B24" s="802"/>
      <c r="C24" s="572" t="s">
        <v>711</v>
      </c>
      <c r="D24" s="185">
        <f>((K6/C6)+(K7/C7))/2</f>
        <v>0.12146907459620364</v>
      </c>
      <c r="E24" s="301" t="s">
        <v>394</v>
      </c>
      <c r="H24" s="369"/>
      <c r="K24" s="37"/>
    </row>
    <row r="25" spans="2:11" x14ac:dyDescent="0.25">
      <c r="B25" s="802"/>
      <c r="C25" s="572" t="s">
        <v>712</v>
      </c>
      <c r="D25" s="185">
        <f>((L6/C6)+(L7/C7))/2</f>
        <v>4.5510287505109687E-2</v>
      </c>
      <c r="E25" s="301" t="s">
        <v>394</v>
      </c>
      <c r="H25" s="369"/>
      <c r="K25" s="37"/>
    </row>
    <row r="26" spans="2:11" x14ac:dyDescent="0.25">
      <c r="B26" s="802"/>
      <c r="C26" s="573" t="s">
        <v>636</v>
      </c>
      <c r="D26" s="185">
        <f>((M6/C6)+(M7/C7))/2</f>
        <v>2.7234524570673909E-4</v>
      </c>
      <c r="E26" s="301" t="s">
        <v>394</v>
      </c>
      <c r="H26" s="369"/>
      <c r="K26" s="37"/>
    </row>
    <row r="27" spans="2:11" ht="13" thickBot="1" x14ac:dyDescent="0.3">
      <c r="B27" s="803"/>
      <c r="C27" s="574" t="s">
        <v>689</v>
      </c>
      <c r="D27" s="187">
        <f>((N6/C6)+(N7/C7))/2</f>
        <v>0</v>
      </c>
      <c r="E27" s="303" t="s">
        <v>394</v>
      </c>
      <c r="H27" s="369"/>
      <c r="K27" s="37"/>
    </row>
    <row r="28" spans="2:11" x14ac:dyDescent="0.25">
      <c r="B28" s="402"/>
      <c r="C28" s="402"/>
      <c r="H28" s="369"/>
      <c r="K28" s="37"/>
    </row>
    <row r="29" spans="2:11" x14ac:dyDescent="0.25">
      <c r="B29" s="402"/>
      <c r="C29" s="402"/>
      <c r="H29" s="369"/>
      <c r="K29" s="37"/>
    </row>
    <row r="30" spans="2:11" x14ac:dyDescent="0.25">
      <c r="B30" s="402"/>
      <c r="C30" s="402"/>
      <c r="H30" s="369"/>
      <c r="K30" s="37"/>
    </row>
    <row r="31" spans="2:11" x14ac:dyDescent="0.25">
      <c r="B31" s="37"/>
      <c r="C31" s="37"/>
      <c r="D31" s="37"/>
      <c r="E31" s="37"/>
      <c r="F31" s="37"/>
      <c r="G31" s="37"/>
      <c r="H31" s="370"/>
      <c r="I31" s="370"/>
      <c r="J31" s="37"/>
      <c r="K31" s="37"/>
    </row>
    <row r="32" spans="2:11" x14ac:dyDescent="0.25">
      <c r="B32" s="37"/>
      <c r="C32" s="37"/>
      <c r="D32" s="37"/>
      <c r="E32" s="37"/>
      <c r="F32" s="37"/>
      <c r="G32" s="37"/>
      <c r="H32" s="371"/>
      <c r="I32" s="371"/>
      <c r="J32" s="37"/>
      <c r="K32" s="37"/>
    </row>
    <row r="33" spans="2:11" ht="13" x14ac:dyDescent="0.3">
      <c r="B33" s="33"/>
      <c r="C33" s="33"/>
      <c r="D33" s="33"/>
      <c r="E33" s="33"/>
      <c r="F33" s="33"/>
      <c r="G33" s="33"/>
      <c r="H33" s="372"/>
      <c r="I33" s="372"/>
      <c r="K33" s="37"/>
    </row>
    <row r="34" spans="2:11" x14ac:dyDescent="0.25">
      <c r="B34" s="37"/>
      <c r="C34" s="37"/>
      <c r="D34" s="37"/>
      <c r="E34" s="37"/>
      <c r="F34" s="37"/>
      <c r="G34" s="37"/>
      <c r="H34" s="37"/>
      <c r="I34" s="37"/>
      <c r="J34" s="37"/>
      <c r="K34" s="37"/>
    </row>
    <row r="35" spans="2:11" ht="27" customHeight="1" x14ac:dyDescent="0.25">
      <c r="B35" s="769"/>
      <c r="C35" s="769"/>
      <c r="D35" s="769"/>
      <c r="E35" s="769"/>
      <c r="F35" s="769"/>
      <c r="G35" s="769"/>
      <c r="H35" s="769"/>
      <c r="I35" s="769"/>
      <c r="J35" s="37"/>
      <c r="K35" s="37"/>
    </row>
    <row r="36" spans="2:11" ht="13" x14ac:dyDescent="0.3">
      <c r="B36" s="770"/>
      <c r="C36" s="770"/>
      <c r="D36" s="770"/>
      <c r="E36" s="15"/>
      <c r="F36" s="15"/>
      <c r="G36" s="15"/>
      <c r="H36" s="14"/>
      <c r="I36" s="36"/>
      <c r="J36" s="37"/>
      <c r="K36" s="37"/>
    </row>
    <row r="37" spans="2:11" x14ac:dyDescent="0.25">
      <c r="B37" s="38"/>
      <c r="C37" s="38"/>
      <c r="D37" s="37"/>
      <c r="E37" s="37"/>
      <c r="F37" s="37"/>
      <c r="G37" s="37"/>
      <c r="H37" s="369"/>
      <c r="I37" s="369"/>
      <c r="J37" s="37"/>
      <c r="K37" s="37"/>
    </row>
    <row r="38" spans="2:11" x14ac:dyDescent="0.25">
      <c r="B38" s="38"/>
      <c r="C38" s="38"/>
      <c r="D38" s="37"/>
      <c r="E38" s="37"/>
      <c r="F38" s="37"/>
      <c r="G38" s="37"/>
      <c r="H38" s="369"/>
      <c r="I38" s="369"/>
      <c r="J38" s="37"/>
      <c r="K38" s="37"/>
    </row>
    <row r="39" spans="2:11" x14ac:dyDescent="0.25">
      <c r="B39" s="38"/>
      <c r="C39" s="38"/>
      <c r="D39" s="37"/>
      <c r="E39" s="37"/>
      <c r="F39" s="37"/>
      <c r="G39" s="37"/>
      <c r="H39" s="369"/>
      <c r="I39" s="369"/>
      <c r="J39" s="37"/>
      <c r="K39" s="37"/>
    </row>
    <row r="40" spans="2:11" ht="13" x14ac:dyDescent="0.3">
      <c r="B40" s="770"/>
      <c r="C40" s="770"/>
      <c r="D40" s="770"/>
      <c r="E40" s="15"/>
      <c r="F40" s="15"/>
      <c r="G40" s="15"/>
      <c r="H40" s="14"/>
      <c r="I40" s="36"/>
      <c r="J40" s="37"/>
      <c r="K40" s="37"/>
    </row>
    <row r="41" spans="2:11" x14ac:dyDescent="0.25">
      <c r="B41" s="38"/>
      <c r="C41" s="38"/>
      <c r="D41" s="37"/>
      <c r="E41" s="37"/>
      <c r="F41" s="37"/>
      <c r="G41" s="37"/>
      <c r="H41" s="370"/>
      <c r="I41" s="370"/>
      <c r="J41" s="37"/>
      <c r="K41" s="37"/>
    </row>
    <row r="42" spans="2:11" x14ac:dyDescent="0.25">
      <c r="B42" s="38"/>
      <c r="C42" s="38"/>
      <c r="D42" s="37"/>
      <c r="E42" s="37"/>
      <c r="F42" s="37"/>
      <c r="G42" s="37"/>
      <c r="H42" s="370"/>
      <c r="I42" s="370"/>
      <c r="J42" s="37"/>
      <c r="K42" s="37"/>
    </row>
    <row r="43" spans="2:11" x14ac:dyDescent="0.25">
      <c r="B43" s="38"/>
      <c r="C43" s="38"/>
      <c r="D43" s="37"/>
      <c r="E43" s="37"/>
      <c r="F43" s="37"/>
      <c r="G43" s="37"/>
      <c r="H43" s="370"/>
      <c r="I43" s="370"/>
      <c r="J43" s="37"/>
      <c r="K43" s="37"/>
    </row>
    <row r="44" spans="2:11" x14ac:dyDescent="0.25">
      <c r="B44" s="38"/>
      <c r="C44" s="38"/>
      <c r="D44" s="37"/>
      <c r="E44" s="37"/>
      <c r="F44" s="37"/>
      <c r="G44" s="37"/>
      <c r="H44" s="370"/>
      <c r="I44" s="370"/>
      <c r="J44" s="37"/>
      <c r="K44" s="37"/>
    </row>
    <row r="45" spans="2:11" x14ac:dyDescent="0.25">
      <c r="B45" s="38"/>
      <c r="C45" s="38"/>
      <c r="D45" s="37"/>
      <c r="E45" s="37"/>
      <c r="F45" s="37"/>
      <c r="G45" s="37"/>
      <c r="H45" s="370"/>
      <c r="I45" s="370"/>
      <c r="J45" s="37"/>
      <c r="K45" s="37"/>
    </row>
    <row r="46" spans="2:11" ht="13" x14ac:dyDescent="0.3">
      <c r="B46" s="770"/>
      <c r="C46" s="770"/>
      <c r="D46" s="770"/>
      <c r="E46" s="15"/>
      <c r="F46" s="15"/>
      <c r="G46" s="15"/>
      <c r="H46" s="14"/>
      <c r="I46" s="36"/>
      <c r="J46" s="37"/>
      <c r="K46" s="37"/>
    </row>
    <row r="47" spans="2:11" x14ac:dyDescent="0.25">
      <c r="B47" s="38"/>
      <c r="C47" s="38"/>
      <c r="D47" s="37"/>
      <c r="E47" s="37"/>
      <c r="F47" s="37"/>
      <c r="G47" s="37"/>
      <c r="H47" s="371"/>
      <c r="I47" s="371"/>
      <c r="J47" s="37"/>
      <c r="K47" s="37"/>
    </row>
    <row r="48" spans="2:11" x14ac:dyDescent="0.25">
      <c r="B48" s="38"/>
      <c r="C48" s="38"/>
      <c r="D48" s="37"/>
      <c r="E48" s="37"/>
      <c r="F48" s="37"/>
      <c r="G48" s="37"/>
      <c r="H48" s="371"/>
      <c r="I48" s="371"/>
      <c r="J48" s="37"/>
      <c r="K48" s="37"/>
    </row>
    <row r="49" spans="1:15" s="383" customFormat="1" ht="31.5" customHeight="1" x14ac:dyDescent="0.35">
      <c r="A49" s="382"/>
      <c r="B49" s="336" t="s">
        <v>403</v>
      </c>
      <c r="D49" s="384"/>
      <c r="E49" s="384"/>
      <c r="F49" s="384"/>
      <c r="G49" s="384"/>
      <c r="H49" s="384"/>
      <c r="I49" s="384"/>
      <c r="J49" s="384"/>
      <c r="K49" s="384"/>
      <c r="L49" s="384"/>
      <c r="M49" s="384"/>
      <c r="N49" s="384"/>
      <c r="O49" s="384"/>
    </row>
    <row r="50" spans="1:15" ht="13" thickBot="1" x14ac:dyDescent="0.3">
      <c r="B50" s="37"/>
      <c r="C50" s="37"/>
      <c r="D50" s="37"/>
      <c r="E50" s="37"/>
      <c r="F50" s="37"/>
      <c r="G50" s="37"/>
      <c r="H50" s="37"/>
      <c r="I50" s="37"/>
      <c r="J50" s="37"/>
      <c r="K50" s="37"/>
      <c r="L50" s="37"/>
      <c r="M50" s="37"/>
      <c r="N50" s="37"/>
      <c r="O50" s="37"/>
    </row>
    <row r="51" spans="1:15" ht="13" x14ac:dyDescent="0.25">
      <c r="B51" s="797" t="s">
        <v>348</v>
      </c>
      <c r="C51" s="795" t="s">
        <v>350</v>
      </c>
      <c r="D51" s="795"/>
      <c r="E51" s="795" t="s">
        <v>352</v>
      </c>
      <c r="F51" s="795"/>
      <c r="G51" s="795" t="s">
        <v>697</v>
      </c>
      <c r="H51" s="796"/>
      <c r="I51" s="37"/>
      <c r="J51" s="37"/>
      <c r="K51" s="37"/>
      <c r="L51" s="37"/>
      <c r="M51" s="37"/>
      <c r="N51" s="37"/>
      <c r="O51" s="37"/>
    </row>
    <row r="52" spans="1:15" ht="13" x14ac:dyDescent="0.25">
      <c r="B52" s="798"/>
      <c r="C52" s="375" t="s">
        <v>351</v>
      </c>
      <c r="D52" s="375" t="s">
        <v>349</v>
      </c>
      <c r="E52" s="375" t="s">
        <v>351</v>
      </c>
      <c r="F52" s="375" t="s">
        <v>349</v>
      </c>
      <c r="G52" s="375" t="s">
        <v>695</v>
      </c>
      <c r="H52" s="454" t="s">
        <v>696</v>
      </c>
      <c r="I52" s="37"/>
      <c r="J52" s="37"/>
      <c r="K52" s="37"/>
      <c r="L52" s="37"/>
      <c r="M52" s="37"/>
      <c r="N52" s="37"/>
      <c r="O52" s="37"/>
    </row>
    <row r="53" spans="1:15" ht="24" customHeight="1" x14ac:dyDescent="0.25">
      <c r="B53" s="455" t="s">
        <v>328</v>
      </c>
      <c r="C53" s="377">
        <f t="shared" ref="C53:C60" si="0">SUMIF($K$76:$K$122,B53,$I$76:$I$122)</f>
        <v>36.423499999999997</v>
      </c>
      <c r="D53" s="378">
        <f>C53/$C$61</f>
        <v>7.5335512792776083E-3</v>
      </c>
      <c r="E53" s="377">
        <f t="shared" ref="E53:E60" si="1">SUMIF($K$76:$K$122,B53,$J$76:$J$122)</f>
        <v>0</v>
      </c>
      <c r="F53" s="378">
        <f t="shared" ref="F53:F60" si="2">E53/$E$61</f>
        <v>0</v>
      </c>
      <c r="G53" s="381">
        <f>D53*$D$22</f>
        <v>4.922841734902686E-2</v>
      </c>
      <c r="H53" s="542">
        <f>F53*$D$26</f>
        <v>0</v>
      </c>
      <c r="I53" s="37"/>
      <c r="J53" s="37"/>
      <c r="K53" s="37"/>
      <c r="L53" s="37"/>
      <c r="M53" s="37"/>
      <c r="N53" s="37"/>
      <c r="O53" s="37"/>
    </row>
    <row r="54" spans="1:15" ht="24" customHeight="1" x14ac:dyDescent="0.25">
      <c r="B54" s="455" t="s">
        <v>329</v>
      </c>
      <c r="C54" s="377">
        <f t="shared" si="0"/>
        <v>0</v>
      </c>
      <c r="D54" s="378">
        <f t="shared" ref="D54:D60" si="3">C54/$C$61</f>
        <v>0</v>
      </c>
      <c r="E54" s="377">
        <f t="shared" si="1"/>
        <v>0</v>
      </c>
      <c r="F54" s="378">
        <f t="shared" si="2"/>
        <v>0</v>
      </c>
      <c r="G54" s="381">
        <f t="shared" ref="G54:G60" si="4">D54*$D$22</f>
        <v>0</v>
      </c>
      <c r="H54" s="542">
        <f t="shared" ref="H54:H61" si="5">F54*$D$26</f>
        <v>0</v>
      </c>
      <c r="I54" s="37"/>
      <c r="J54" s="37"/>
      <c r="K54" s="37"/>
      <c r="L54" s="37"/>
      <c r="M54" s="37"/>
      <c r="N54" s="37"/>
      <c r="O54" s="37"/>
    </row>
    <row r="55" spans="1:15" ht="24" customHeight="1" x14ac:dyDescent="0.25">
      <c r="B55" s="455" t="s">
        <v>330</v>
      </c>
      <c r="C55" s="377">
        <f t="shared" si="0"/>
        <v>92.624299999999991</v>
      </c>
      <c r="D55" s="378">
        <f t="shared" si="3"/>
        <v>1.9157684290559474E-2</v>
      </c>
      <c r="E55" s="377">
        <f t="shared" si="1"/>
        <v>0</v>
      </c>
      <c r="F55" s="378">
        <f t="shared" si="2"/>
        <v>0</v>
      </c>
      <c r="G55" s="381">
        <f t="shared" si="4"/>
        <v>0.12518697261552209</v>
      </c>
      <c r="H55" s="542">
        <f t="shared" si="5"/>
        <v>0</v>
      </c>
      <c r="I55" s="37"/>
      <c r="J55" s="37"/>
      <c r="K55" s="37"/>
      <c r="L55" s="37"/>
      <c r="M55" s="37"/>
      <c r="N55" s="37"/>
      <c r="O55" s="37"/>
    </row>
    <row r="56" spans="1:15" ht="24" customHeight="1" x14ac:dyDescent="0.25">
      <c r="B56" s="455" t="s">
        <v>338</v>
      </c>
      <c r="C56" s="377">
        <f t="shared" si="0"/>
        <v>4689.1874000000007</v>
      </c>
      <c r="D56" s="378">
        <f t="shared" si="3"/>
        <v>0.96987477139875211</v>
      </c>
      <c r="E56" s="377">
        <f t="shared" si="1"/>
        <v>0</v>
      </c>
      <c r="F56" s="378">
        <f t="shared" si="2"/>
        <v>0</v>
      </c>
      <c r="G56" s="381">
        <f t="shared" si="4"/>
        <v>6.3377016034976918</v>
      </c>
      <c r="H56" s="542">
        <f t="shared" si="5"/>
        <v>0</v>
      </c>
      <c r="I56" s="37"/>
      <c r="J56" s="37"/>
      <c r="K56" s="37"/>
      <c r="L56" s="37"/>
      <c r="M56" s="37"/>
      <c r="N56" s="37"/>
      <c r="O56" s="37"/>
    </row>
    <row r="57" spans="1:15" ht="24" customHeight="1" x14ac:dyDescent="0.25">
      <c r="B57" s="455" t="s">
        <v>337</v>
      </c>
      <c r="C57" s="377">
        <f t="shared" si="0"/>
        <v>2.302</v>
      </c>
      <c r="D57" s="378">
        <f t="shared" si="3"/>
        <v>4.7612763860960797E-4</v>
      </c>
      <c r="E57" s="380">
        <f t="shared" si="1"/>
        <v>0.20129999999999998</v>
      </c>
      <c r="F57" s="378">
        <f t="shared" si="2"/>
        <v>1</v>
      </c>
      <c r="G57" s="381">
        <f t="shared" si="4"/>
        <v>3.1112830106239061E-3</v>
      </c>
      <c r="H57" s="579">
        <f t="shared" si="5"/>
        <v>2.7234524570673909E-4</v>
      </c>
      <c r="I57" s="37"/>
      <c r="J57" s="37"/>
      <c r="K57" s="37"/>
      <c r="L57" s="37"/>
      <c r="M57" s="37"/>
      <c r="N57" s="37"/>
      <c r="O57" s="37"/>
    </row>
    <row r="58" spans="1:15" ht="24" customHeight="1" x14ac:dyDescent="0.25">
      <c r="B58" s="455" t="s">
        <v>341</v>
      </c>
      <c r="C58" s="377">
        <f t="shared" si="0"/>
        <v>0</v>
      </c>
      <c r="D58" s="378">
        <f t="shared" si="3"/>
        <v>0</v>
      </c>
      <c r="E58" s="377">
        <f t="shared" si="1"/>
        <v>0</v>
      </c>
      <c r="F58" s="378">
        <f t="shared" si="2"/>
        <v>0</v>
      </c>
      <c r="G58" s="381">
        <f t="shared" si="4"/>
        <v>0</v>
      </c>
      <c r="H58" s="542">
        <f>F58*$D$26</f>
        <v>0</v>
      </c>
      <c r="I58" s="37"/>
      <c r="J58" s="37"/>
      <c r="K58" s="37"/>
      <c r="L58" s="37"/>
      <c r="M58" s="37"/>
      <c r="N58" s="37"/>
      <c r="O58" s="37"/>
    </row>
    <row r="59" spans="1:15" ht="24" customHeight="1" x14ac:dyDescent="0.25">
      <c r="B59" s="455" t="s">
        <v>340</v>
      </c>
      <c r="C59" s="377">
        <f t="shared" si="0"/>
        <v>0</v>
      </c>
      <c r="D59" s="378">
        <f t="shared" si="3"/>
        <v>0</v>
      </c>
      <c r="E59" s="377">
        <f t="shared" si="1"/>
        <v>0</v>
      </c>
      <c r="F59" s="378">
        <f t="shared" si="2"/>
        <v>0</v>
      </c>
      <c r="G59" s="381">
        <f t="shared" si="4"/>
        <v>0</v>
      </c>
      <c r="H59" s="542">
        <f t="shared" si="5"/>
        <v>0</v>
      </c>
      <c r="I59" s="37"/>
      <c r="J59" s="37"/>
      <c r="K59" s="37"/>
      <c r="L59" s="37"/>
      <c r="M59" s="37"/>
      <c r="N59" s="37"/>
      <c r="O59" s="37"/>
    </row>
    <row r="60" spans="1:15" ht="24" customHeight="1" x14ac:dyDescent="0.25">
      <c r="B60" s="455" t="s">
        <v>339</v>
      </c>
      <c r="C60" s="377">
        <f t="shared" si="0"/>
        <v>14.300799999999997</v>
      </c>
      <c r="D60" s="378">
        <f t="shared" si="3"/>
        <v>2.9578653928011641E-3</v>
      </c>
      <c r="E60" s="377">
        <f t="shared" si="1"/>
        <v>0</v>
      </c>
      <c r="F60" s="378">
        <f t="shared" si="2"/>
        <v>0</v>
      </c>
      <c r="G60" s="381">
        <f t="shared" si="4"/>
        <v>1.9328338869822041E-2</v>
      </c>
      <c r="H60" s="542">
        <f t="shared" si="5"/>
        <v>0</v>
      </c>
      <c r="I60" s="37"/>
      <c r="J60" s="37"/>
      <c r="K60" s="37"/>
      <c r="L60" s="37"/>
      <c r="M60" s="37"/>
      <c r="N60" s="37"/>
      <c r="O60" s="37"/>
    </row>
    <row r="61" spans="1:15" ht="24" customHeight="1" thickBot="1" x14ac:dyDescent="0.35">
      <c r="B61" s="457" t="s">
        <v>344</v>
      </c>
      <c r="C61" s="458">
        <f>SUM(C53:C60)</f>
        <v>4834.8380000000006</v>
      </c>
      <c r="D61" s="553">
        <f>SUM(D53:D60)</f>
        <v>1</v>
      </c>
      <c r="E61" s="459">
        <f>SUM(E53:E60)</f>
        <v>0.20129999999999998</v>
      </c>
      <c r="F61" s="553">
        <f>SUM(F53:F60)</f>
        <v>1</v>
      </c>
      <c r="G61" s="459"/>
      <c r="H61" s="580">
        <f t="shared" si="5"/>
        <v>2.7234524570673909E-4</v>
      </c>
      <c r="I61" s="37"/>
      <c r="J61" s="37"/>
      <c r="K61" s="37"/>
      <c r="L61" s="37"/>
      <c r="M61" s="37"/>
      <c r="N61" s="37"/>
      <c r="O61" s="37"/>
    </row>
    <row r="62" spans="1:15" x14ac:dyDescent="0.25">
      <c r="B62" s="37"/>
      <c r="C62" s="37"/>
      <c r="E62" s="37"/>
      <c r="F62" s="37"/>
      <c r="G62" s="37"/>
      <c r="H62" s="37"/>
      <c r="I62" s="37"/>
      <c r="J62" s="37"/>
      <c r="K62" s="37"/>
      <c r="L62" s="37"/>
      <c r="M62" s="37"/>
      <c r="N62" s="37"/>
      <c r="O62" s="37"/>
    </row>
    <row r="63" spans="1:15" ht="30" customHeight="1" x14ac:dyDescent="0.25">
      <c r="B63" s="37"/>
      <c r="C63" s="37"/>
      <c r="E63" s="37"/>
      <c r="F63" s="37"/>
      <c r="G63" s="37"/>
      <c r="H63" s="37"/>
      <c r="I63" s="37"/>
      <c r="J63" s="37"/>
      <c r="K63" s="37"/>
      <c r="L63" s="37"/>
      <c r="M63" s="37"/>
      <c r="N63" s="37"/>
      <c r="O63" s="37"/>
    </row>
    <row r="64" spans="1:15" ht="30" customHeight="1" x14ac:dyDescent="0.25">
      <c r="B64" s="37"/>
      <c r="C64" s="37"/>
      <c r="E64" s="37"/>
      <c r="F64" s="37"/>
      <c r="G64" s="37"/>
      <c r="H64" s="37"/>
      <c r="I64" s="37"/>
      <c r="J64" s="37"/>
      <c r="K64" s="37"/>
      <c r="L64" s="37"/>
      <c r="M64" s="37"/>
      <c r="N64" s="37"/>
      <c r="O64" s="37"/>
    </row>
    <row r="65" spans="1:15" ht="30" customHeight="1" x14ac:dyDescent="0.25">
      <c r="B65" s="37"/>
      <c r="C65" s="37"/>
      <c r="E65" s="37"/>
      <c r="F65" s="37"/>
      <c r="G65" s="37"/>
      <c r="H65" s="37"/>
      <c r="I65" s="37"/>
      <c r="J65" s="37"/>
      <c r="K65" s="37"/>
      <c r="L65" s="37"/>
      <c r="M65" s="37"/>
      <c r="N65" s="37"/>
      <c r="O65" s="37"/>
    </row>
    <row r="66" spans="1:15" ht="30" customHeight="1" x14ac:dyDescent="0.25">
      <c r="B66" s="37"/>
      <c r="C66" s="37"/>
      <c r="E66" s="37"/>
      <c r="F66" s="37"/>
      <c r="G66" s="37"/>
      <c r="H66" s="37"/>
      <c r="I66" s="37"/>
      <c r="J66" s="37"/>
      <c r="K66" s="37"/>
      <c r="L66" s="37"/>
      <c r="M66" s="37"/>
      <c r="N66" s="37"/>
      <c r="O66" s="37"/>
    </row>
    <row r="67" spans="1:15" ht="30" customHeight="1" x14ac:dyDescent="0.25">
      <c r="B67" s="37"/>
      <c r="C67" s="37"/>
      <c r="E67" s="37"/>
      <c r="F67" s="37"/>
      <c r="G67" s="37"/>
      <c r="H67" s="37"/>
      <c r="I67" s="37"/>
      <c r="J67" s="37"/>
      <c r="K67" s="37"/>
      <c r="L67" s="37"/>
      <c r="M67" s="37"/>
      <c r="N67" s="37"/>
      <c r="O67" s="37"/>
    </row>
    <row r="68" spans="1:15" ht="30" customHeight="1" x14ac:dyDescent="0.25">
      <c r="B68" s="37"/>
      <c r="C68" s="37"/>
      <c r="E68" s="37"/>
      <c r="F68" s="37"/>
      <c r="G68" s="37"/>
      <c r="H68" s="37"/>
      <c r="I68" s="37"/>
      <c r="J68" s="37"/>
      <c r="K68" s="37"/>
      <c r="L68" s="37"/>
      <c r="M68" s="37"/>
      <c r="N68" s="37"/>
      <c r="O68" s="37"/>
    </row>
    <row r="69" spans="1:15" ht="30" customHeight="1" x14ac:dyDescent="0.25">
      <c r="B69" s="37"/>
      <c r="C69" s="37"/>
      <c r="E69" s="37"/>
      <c r="F69" s="37"/>
      <c r="G69" s="37"/>
      <c r="H69" s="37"/>
      <c r="I69" s="37"/>
      <c r="J69" s="37"/>
      <c r="K69" s="37"/>
      <c r="L69" s="37"/>
      <c r="M69" s="37"/>
      <c r="N69" s="37"/>
      <c r="O69" s="37"/>
    </row>
    <row r="70" spans="1:15" ht="30" customHeight="1" x14ac:dyDescent="0.25">
      <c r="B70" s="38"/>
      <c r="C70" s="38"/>
      <c r="D70" s="37"/>
      <c r="E70" s="37"/>
      <c r="F70" s="37"/>
      <c r="G70" s="37"/>
      <c r="H70" s="371"/>
      <c r="I70" s="371"/>
      <c r="J70" s="37"/>
      <c r="K70" s="37"/>
    </row>
    <row r="71" spans="1:15" x14ac:dyDescent="0.25">
      <c r="B71" s="38"/>
      <c r="C71" s="38"/>
      <c r="D71" s="37"/>
      <c r="E71" s="37"/>
      <c r="F71" s="37"/>
      <c r="G71" s="37"/>
      <c r="H71" s="371"/>
      <c r="I71" s="371"/>
      <c r="J71" s="37"/>
      <c r="K71" s="37"/>
    </row>
    <row r="72" spans="1:15" s="383" customFormat="1" ht="27.65" customHeight="1" x14ac:dyDescent="0.35">
      <c r="A72" s="382"/>
      <c r="B72" s="306" t="s">
        <v>461</v>
      </c>
      <c r="D72" s="384"/>
      <c r="E72" s="384"/>
      <c r="F72" s="384"/>
      <c r="G72" s="384"/>
      <c r="H72" s="384"/>
      <c r="I72" s="384"/>
      <c r="J72" s="384"/>
      <c r="K72" s="384"/>
      <c r="L72" s="384"/>
      <c r="M72" s="384"/>
    </row>
    <row r="73" spans="1:15" s="404" customFormat="1" ht="19.5" customHeight="1" x14ac:dyDescent="0.35">
      <c r="A73" s="403"/>
      <c r="B73" s="386" t="s">
        <v>462</v>
      </c>
      <c r="D73" s="405"/>
      <c r="E73" s="405"/>
      <c r="F73" s="405"/>
      <c r="G73" s="405"/>
      <c r="H73" s="405"/>
      <c r="I73" s="405"/>
      <c r="J73" s="405"/>
      <c r="K73" s="405"/>
      <c r="L73" s="405"/>
      <c r="M73" s="405"/>
    </row>
    <row r="74" spans="1:15" s="415" customFormat="1" ht="19.5" customHeight="1" thickBot="1" x14ac:dyDescent="0.4">
      <c r="D74" s="416"/>
      <c r="E74" s="416"/>
      <c r="K74" s="416"/>
      <c r="L74" s="416"/>
      <c r="M74" s="416"/>
    </row>
    <row r="75" spans="1:15" s="366" customFormat="1" ht="34" customHeight="1" x14ac:dyDescent="0.25">
      <c r="B75" s="493" t="s">
        <v>137</v>
      </c>
      <c r="C75" s="494" t="s">
        <v>320</v>
      </c>
      <c r="D75" s="494" t="s">
        <v>321</v>
      </c>
      <c r="E75" s="494" t="s">
        <v>322</v>
      </c>
      <c r="F75" s="494" t="s">
        <v>323</v>
      </c>
      <c r="G75" s="494" t="s">
        <v>10</v>
      </c>
      <c r="H75" s="494" t="s">
        <v>324</v>
      </c>
      <c r="I75" s="494" t="s">
        <v>325</v>
      </c>
      <c r="J75" s="494" t="s">
        <v>326</v>
      </c>
      <c r="K75" s="495" t="s">
        <v>327</v>
      </c>
      <c r="M75" s="37"/>
    </row>
    <row r="76" spans="1:15" ht="25" x14ac:dyDescent="0.25">
      <c r="B76" s="806" t="s">
        <v>297</v>
      </c>
      <c r="C76" s="390" t="s">
        <v>148</v>
      </c>
      <c r="D76" s="390" t="s">
        <v>167</v>
      </c>
      <c r="E76" s="390" t="s">
        <v>168</v>
      </c>
      <c r="F76" s="390">
        <v>210</v>
      </c>
      <c r="G76" s="390" t="s">
        <v>25</v>
      </c>
      <c r="H76" s="391"/>
      <c r="I76" s="390">
        <v>2.1717</v>
      </c>
      <c r="J76" s="390"/>
      <c r="K76" s="496" t="s">
        <v>339</v>
      </c>
      <c r="M76" s="37"/>
    </row>
    <row r="77" spans="1:15" x14ac:dyDescent="0.25">
      <c r="B77" s="806"/>
      <c r="C77" s="390" t="s">
        <v>149</v>
      </c>
      <c r="D77" s="390" t="s">
        <v>169</v>
      </c>
      <c r="E77" s="390" t="s">
        <v>170</v>
      </c>
      <c r="F77" s="390">
        <v>5156</v>
      </c>
      <c r="G77" s="390" t="s">
        <v>171</v>
      </c>
      <c r="H77" s="391"/>
      <c r="I77" s="390">
        <v>20.366499999999998</v>
      </c>
      <c r="J77" s="390"/>
      <c r="K77" s="496" t="s">
        <v>328</v>
      </c>
      <c r="M77" s="37"/>
    </row>
    <row r="78" spans="1:15" ht="37.5" x14ac:dyDescent="0.25">
      <c r="B78" s="806"/>
      <c r="C78" s="390" t="s">
        <v>151</v>
      </c>
      <c r="D78" s="390" t="s">
        <v>189</v>
      </c>
      <c r="E78" s="390" t="s">
        <v>747</v>
      </c>
      <c r="F78" s="390">
        <v>425</v>
      </c>
      <c r="G78" s="390" t="s">
        <v>187</v>
      </c>
      <c r="H78" s="391"/>
      <c r="I78" s="390">
        <v>0.1719</v>
      </c>
      <c r="J78" s="390"/>
      <c r="K78" s="496" t="s">
        <v>339</v>
      </c>
      <c r="M78" s="37"/>
    </row>
    <row r="79" spans="1:15" ht="25" x14ac:dyDescent="0.25">
      <c r="B79" s="806"/>
      <c r="C79" s="390" t="s">
        <v>157</v>
      </c>
      <c r="D79" s="390" t="s">
        <v>172</v>
      </c>
      <c r="E79" s="390" t="s">
        <v>173</v>
      </c>
      <c r="F79" s="390">
        <v>10</v>
      </c>
      <c r="G79" s="390" t="s">
        <v>171</v>
      </c>
      <c r="H79" s="391"/>
      <c r="I79" s="390">
        <v>2.5552999999999999</v>
      </c>
      <c r="J79" s="390"/>
      <c r="K79" s="496" t="s">
        <v>338</v>
      </c>
      <c r="M79" s="37"/>
    </row>
    <row r="80" spans="1:15" ht="25" x14ac:dyDescent="0.25">
      <c r="B80" s="806"/>
      <c r="C80" s="390" t="s">
        <v>157</v>
      </c>
      <c r="D80" s="390" t="s">
        <v>172</v>
      </c>
      <c r="E80" s="390" t="s">
        <v>174</v>
      </c>
      <c r="F80" s="390">
        <v>146</v>
      </c>
      <c r="G80" s="390" t="s">
        <v>171</v>
      </c>
      <c r="H80" s="391"/>
      <c r="I80" s="390">
        <v>38.404699999999998</v>
      </c>
      <c r="J80" s="390"/>
      <c r="K80" s="496" t="s">
        <v>338</v>
      </c>
      <c r="M80" s="37"/>
    </row>
    <row r="81" spans="2:13" ht="25" x14ac:dyDescent="0.25">
      <c r="B81" s="806"/>
      <c r="C81" s="390" t="s">
        <v>157</v>
      </c>
      <c r="D81" s="390" t="s">
        <v>172</v>
      </c>
      <c r="E81" s="390" t="s">
        <v>174</v>
      </c>
      <c r="F81" s="390">
        <v>246</v>
      </c>
      <c r="G81" s="390" t="s">
        <v>171</v>
      </c>
      <c r="H81" s="391"/>
      <c r="I81" s="390">
        <v>64.709400000000002</v>
      </c>
      <c r="J81" s="390"/>
      <c r="K81" s="496" t="s">
        <v>338</v>
      </c>
      <c r="M81" s="37"/>
    </row>
    <row r="82" spans="2:13" ht="25" x14ac:dyDescent="0.25">
      <c r="B82" s="806"/>
      <c r="C82" s="390" t="s">
        <v>157</v>
      </c>
      <c r="D82" s="390" t="s">
        <v>172</v>
      </c>
      <c r="E82" s="390" t="s">
        <v>174</v>
      </c>
      <c r="F82" s="390">
        <v>24</v>
      </c>
      <c r="G82" s="390" t="s">
        <v>171</v>
      </c>
      <c r="H82" s="391"/>
      <c r="I82" s="390">
        <v>6.3131000000000004</v>
      </c>
      <c r="J82" s="390"/>
      <c r="K82" s="496" t="s">
        <v>338</v>
      </c>
      <c r="M82" s="37"/>
    </row>
    <row r="83" spans="2:13" ht="25" x14ac:dyDescent="0.25">
      <c r="B83" s="806"/>
      <c r="C83" s="390" t="s">
        <v>157</v>
      </c>
      <c r="D83" s="390" t="s">
        <v>172</v>
      </c>
      <c r="E83" s="390" t="s">
        <v>174</v>
      </c>
      <c r="F83" s="390">
        <v>25</v>
      </c>
      <c r="G83" s="390" t="s">
        <v>171</v>
      </c>
      <c r="H83" s="391"/>
      <c r="I83" s="390">
        <v>6.5762</v>
      </c>
      <c r="J83" s="390"/>
      <c r="K83" s="496" t="s">
        <v>338</v>
      </c>
      <c r="M83" s="37"/>
    </row>
    <row r="84" spans="2:13" ht="25" x14ac:dyDescent="0.25">
      <c r="B84" s="806"/>
      <c r="C84" s="390" t="s">
        <v>157</v>
      </c>
      <c r="D84" s="390" t="s">
        <v>172</v>
      </c>
      <c r="E84" s="390" t="s">
        <v>271</v>
      </c>
      <c r="F84" s="390">
        <v>229</v>
      </c>
      <c r="G84" s="390" t="s">
        <v>175</v>
      </c>
      <c r="H84" s="391"/>
      <c r="I84" s="390">
        <v>796.36749999999995</v>
      </c>
      <c r="J84" s="390"/>
      <c r="K84" s="496" t="s">
        <v>338</v>
      </c>
      <c r="M84" s="37"/>
    </row>
    <row r="85" spans="2:13" ht="25" x14ac:dyDescent="0.25">
      <c r="B85" s="806"/>
      <c r="C85" s="390" t="s">
        <v>157</v>
      </c>
      <c r="D85" s="390" t="s">
        <v>172</v>
      </c>
      <c r="E85" s="390" t="s">
        <v>271</v>
      </c>
      <c r="F85" s="390">
        <v>393</v>
      </c>
      <c r="G85" s="390" t="s">
        <v>175</v>
      </c>
      <c r="H85" s="391"/>
      <c r="I85" s="390">
        <v>1366.6919</v>
      </c>
      <c r="J85" s="390"/>
      <c r="K85" s="496" t="s">
        <v>338</v>
      </c>
      <c r="M85" s="37"/>
    </row>
    <row r="86" spans="2:13" ht="25" x14ac:dyDescent="0.25">
      <c r="B86" s="806"/>
      <c r="C86" s="390" t="s">
        <v>157</v>
      </c>
      <c r="D86" s="390" t="s">
        <v>172</v>
      </c>
      <c r="E86" s="390" t="s">
        <v>269</v>
      </c>
      <c r="F86" s="390">
        <v>7</v>
      </c>
      <c r="G86" s="390" t="s">
        <v>175</v>
      </c>
      <c r="H86" s="391"/>
      <c r="I86" s="390">
        <v>5.0758999999999999</v>
      </c>
      <c r="J86" s="390"/>
      <c r="K86" s="496" t="s">
        <v>338</v>
      </c>
      <c r="M86" s="37"/>
    </row>
    <row r="87" spans="2:13" ht="25" x14ac:dyDescent="0.25">
      <c r="B87" s="806"/>
      <c r="C87" s="390" t="s">
        <v>157</v>
      </c>
      <c r="D87" s="390" t="s">
        <v>176</v>
      </c>
      <c r="E87" s="390" t="s">
        <v>177</v>
      </c>
      <c r="F87" s="390">
        <v>63</v>
      </c>
      <c r="G87" s="390" t="s">
        <v>178</v>
      </c>
      <c r="H87" s="391"/>
      <c r="I87" s="390">
        <v>38.006399999999999</v>
      </c>
      <c r="J87" s="390"/>
      <c r="K87" s="496" t="s">
        <v>330</v>
      </c>
      <c r="M87" s="37"/>
    </row>
    <row r="88" spans="2:13" ht="37.5" x14ac:dyDescent="0.25">
      <c r="B88" s="806"/>
      <c r="C88" s="390" t="s">
        <v>152</v>
      </c>
      <c r="D88" s="390" t="s">
        <v>265</v>
      </c>
      <c r="E88" s="390" t="s">
        <v>362</v>
      </c>
      <c r="F88" s="390">
        <v>48</v>
      </c>
      <c r="G88" s="390" t="s">
        <v>25</v>
      </c>
      <c r="H88" s="391"/>
      <c r="I88" s="390">
        <v>0.35489999999999999</v>
      </c>
      <c r="J88" s="390"/>
      <c r="K88" s="496" t="s">
        <v>330</v>
      </c>
      <c r="M88" s="37"/>
    </row>
    <row r="89" spans="2:13" ht="37.5" x14ac:dyDescent="0.25">
      <c r="B89" s="806"/>
      <c r="C89" s="390" t="s">
        <v>155</v>
      </c>
      <c r="D89" s="390" t="s">
        <v>179</v>
      </c>
      <c r="E89" s="390" t="s">
        <v>253</v>
      </c>
      <c r="F89" s="390">
        <v>713</v>
      </c>
      <c r="G89" s="390" t="s">
        <v>25</v>
      </c>
      <c r="H89" s="391"/>
      <c r="I89" s="390">
        <v>4.3121999999999998</v>
      </c>
      <c r="J89" s="390"/>
      <c r="K89" s="496" t="s">
        <v>339</v>
      </c>
      <c r="M89" s="37"/>
    </row>
    <row r="90" spans="2:13" ht="25" x14ac:dyDescent="0.25">
      <c r="B90" s="806"/>
      <c r="C90" s="390" t="s">
        <v>148</v>
      </c>
      <c r="D90" s="390" t="s">
        <v>167</v>
      </c>
      <c r="E90" s="390" t="s">
        <v>267</v>
      </c>
      <c r="F90" s="390">
        <v>90</v>
      </c>
      <c r="G90" s="390" t="s">
        <v>25</v>
      </c>
      <c r="H90" s="391"/>
      <c r="I90" s="390">
        <v>0.92010000000000003</v>
      </c>
      <c r="J90" s="390"/>
      <c r="K90" s="496" t="s">
        <v>339</v>
      </c>
      <c r="M90" s="37"/>
    </row>
    <row r="91" spans="2:13" ht="37.5" x14ac:dyDescent="0.25">
      <c r="B91" s="806"/>
      <c r="C91" s="390" t="s">
        <v>148</v>
      </c>
      <c r="D91" s="390" t="s">
        <v>180</v>
      </c>
      <c r="E91" s="390" t="s">
        <v>181</v>
      </c>
      <c r="F91" s="390">
        <v>4</v>
      </c>
      <c r="G91" s="390" t="s">
        <v>175</v>
      </c>
      <c r="H91" s="391"/>
      <c r="I91" s="390">
        <v>2.1627000000000001</v>
      </c>
      <c r="J91" s="390"/>
      <c r="K91" s="496" t="s">
        <v>338</v>
      </c>
      <c r="M91" s="37"/>
    </row>
    <row r="92" spans="2:13" ht="25" x14ac:dyDescent="0.25">
      <c r="B92" s="806"/>
      <c r="C92" s="390" t="s">
        <v>148</v>
      </c>
      <c r="D92" s="390" t="s">
        <v>180</v>
      </c>
      <c r="E92" s="390" t="s">
        <v>188</v>
      </c>
      <c r="F92" s="390">
        <v>4</v>
      </c>
      <c r="G92" s="390" t="s">
        <v>175</v>
      </c>
      <c r="H92" s="391"/>
      <c r="I92" s="390">
        <v>10.036099999999999</v>
      </c>
      <c r="J92" s="390"/>
      <c r="K92" s="496" t="s">
        <v>338</v>
      </c>
      <c r="M92" s="37"/>
    </row>
    <row r="93" spans="2:13" ht="25" x14ac:dyDescent="0.25">
      <c r="B93" s="806"/>
      <c r="C93" s="390" t="s">
        <v>148</v>
      </c>
      <c r="D93" s="390" t="s">
        <v>182</v>
      </c>
      <c r="E93" s="390" t="s">
        <v>268</v>
      </c>
      <c r="F93" s="390">
        <v>68</v>
      </c>
      <c r="G93" s="390" t="s">
        <v>25</v>
      </c>
      <c r="H93" s="391"/>
      <c r="I93" s="390">
        <v>3.0750000000000002</v>
      </c>
      <c r="J93" s="390"/>
      <c r="K93" s="496" t="s">
        <v>338</v>
      </c>
      <c r="M93" s="37"/>
    </row>
    <row r="94" spans="2:13" ht="25" x14ac:dyDescent="0.25">
      <c r="B94" s="806"/>
      <c r="C94" s="390" t="s">
        <v>147</v>
      </c>
      <c r="D94" s="390" t="s">
        <v>183</v>
      </c>
      <c r="E94" s="390" t="s">
        <v>184</v>
      </c>
      <c r="F94" s="390">
        <v>66</v>
      </c>
      <c r="G94" s="390" t="s">
        <v>25</v>
      </c>
      <c r="H94" s="391"/>
      <c r="I94" s="390">
        <v>4.0602999999999998</v>
      </c>
      <c r="J94" s="390"/>
      <c r="K94" s="496" t="s">
        <v>330</v>
      </c>
      <c r="M94" s="37"/>
    </row>
    <row r="95" spans="2:13" ht="37.5" x14ac:dyDescent="0.25">
      <c r="B95" s="806"/>
      <c r="C95" s="390" t="s">
        <v>152</v>
      </c>
      <c r="D95" s="390" t="s">
        <v>185</v>
      </c>
      <c r="E95" s="390" t="s">
        <v>186</v>
      </c>
      <c r="F95" s="390">
        <v>431</v>
      </c>
      <c r="G95" s="390" t="s">
        <v>187</v>
      </c>
      <c r="H95" s="391"/>
      <c r="I95" s="390">
        <v>0.22409999999999999</v>
      </c>
      <c r="J95" s="390"/>
      <c r="K95" s="496" t="s">
        <v>339</v>
      </c>
      <c r="M95" s="37"/>
    </row>
    <row r="96" spans="2:13" s="393" customFormat="1" ht="25" customHeight="1" x14ac:dyDescent="0.25">
      <c r="B96" s="806"/>
      <c r="C96" s="390" t="s">
        <v>152</v>
      </c>
      <c r="D96" s="390" t="s">
        <v>185</v>
      </c>
      <c r="E96" s="390" t="s">
        <v>186</v>
      </c>
      <c r="F96" s="390">
        <v>296</v>
      </c>
      <c r="G96" s="390" t="s">
        <v>187</v>
      </c>
      <c r="H96" s="391"/>
      <c r="I96" s="390">
        <v>0.15390000000000001</v>
      </c>
      <c r="J96" s="390"/>
      <c r="K96" s="496" t="s">
        <v>339</v>
      </c>
      <c r="M96" s="335"/>
    </row>
    <row r="97" spans="2:13" ht="25" x14ac:dyDescent="0.25">
      <c r="B97" s="806"/>
      <c r="C97" s="390" t="s">
        <v>161</v>
      </c>
      <c r="D97" s="390" t="s">
        <v>190</v>
      </c>
      <c r="E97" s="390" t="s">
        <v>193</v>
      </c>
      <c r="F97" s="390">
        <v>1058</v>
      </c>
      <c r="G97" s="390" t="s">
        <v>192</v>
      </c>
      <c r="H97" s="391">
        <v>0.12</v>
      </c>
      <c r="I97" s="390">
        <v>0.72050000000000003</v>
      </c>
      <c r="J97" s="390">
        <v>8.6499999999999994E-2</v>
      </c>
      <c r="K97" s="496" t="s">
        <v>337</v>
      </c>
    </row>
    <row r="98" spans="2:13" ht="25" x14ac:dyDescent="0.25">
      <c r="B98" s="806"/>
      <c r="C98" s="390" t="s">
        <v>161</v>
      </c>
      <c r="D98" s="390" t="s">
        <v>190</v>
      </c>
      <c r="E98" s="390" t="s">
        <v>191</v>
      </c>
      <c r="F98" s="390">
        <v>1020</v>
      </c>
      <c r="G98" s="390" t="s">
        <v>192</v>
      </c>
      <c r="H98" s="391"/>
      <c r="I98" s="390">
        <v>0.26829999999999998</v>
      </c>
      <c r="J98" s="390"/>
      <c r="K98" s="496" t="s">
        <v>337</v>
      </c>
      <c r="M98" s="37"/>
    </row>
    <row r="99" spans="2:13" ht="12" customHeight="1" x14ac:dyDescent="0.25">
      <c r="B99" s="502" t="s">
        <v>344</v>
      </c>
      <c r="C99" s="428"/>
      <c r="D99" s="428"/>
      <c r="E99" s="428"/>
      <c r="F99" s="428"/>
      <c r="G99" s="428"/>
      <c r="H99" s="490"/>
      <c r="I99" s="491">
        <f>SUM(I76:I98)</f>
        <v>2373.6985999999988</v>
      </c>
      <c r="J99" s="492">
        <f>SUM(J76:J98)</f>
        <v>8.6499999999999994E-2</v>
      </c>
      <c r="K99" s="497" t="s">
        <v>90</v>
      </c>
    </row>
    <row r="100" spans="2:13" ht="25" x14ac:dyDescent="0.25">
      <c r="B100" s="806" t="s">
        <v>298</v>
      </c>
      <c r="C100" s="390" t="s">
        <v>148</v>
      </c>
      <c r="D100" s="390" t="s">
        <v>167</v>
      </c>
      <c r="E100" s="390" t="s">
        <v>168</v>
      </c>
      <c r="F100" s="390">
        <v>205</v>
      </c>
      <c r="G100" s="390" t="s">
        <v>25</v>
      </c>
      <c r="H100" s="391"/>
      <c r="I100" s="390">
        <v>2.12</v>
      </c>
      <c r="J100" s="390"/>
      <c r="K100" s="496" t="s">
        <v>339</v>
      </c>
      <c r="M100" s="37"/>
    </row>
    <row r="101" spans="2:13" x14ac:dyDescent="0.25">
      <c r="B101" s="806"/>
      <c r="C101" s="390" t="s">
        <v>149</v>
      </c>
      <c r="D101" s="390" t="s">
        <v>169</v>
      </c>
      <c r="E101" s="390" t="s">
        <v>170</v>
      </c>
      <c r="F101" s="390">
        <v>4065</v>
      </c>
      <c r="G101" s="390" t="s">
        <v>171</v>
      </c>
      <c r="H101" s="391"/>
      <c r="I101" s="390">
        <v>16.056999999999999</v>
      </c>
      <c r="J101" s="390"/>
      <c r="K101" s="496" t="s">
        <v>328</v>
      </c>
      <c r="M101" s="37"/>
    </row>
    <row r="102" spans="2:13" ht="37.5" x14ac:dyDescent="0.25">
      <c r="B102" s="806"/>
      <c r="C102" s="390" t="s">
        <v>151</v>
      </c>
      <c r="D102" s="390" t="s">
        <v>189</v>
      </c>
      <c r="E102" s="390" t="s">
        <v>747</v>
      </c>
      <c r="F102" s="390">
        <v>480</v>
      </c>
      <c r="G102" s="390" t="s">
        <v>187</v>
      </c>
      <c r="H102" s="391"/>
      <c r="I102" s="390">
        <v>0.19420000000000001</v>
      </c>
      <c r="J102" s="390"/>
      <c r="K102" s="496" t="s">
        <v>339</v>
      </c>
      <c r="M102" s="37"/>
    </row>
    <row r="103" spans="2:13" ht="25" x14ac:dyDescent="0.25">
      <c r="B103" s="806"/>
      <c r="C103" s="390" t="s">
        <v>157</v>
      </c>
      <c r="D103" s="390" t="s">
        <v>172</v>
      </c>
      <c r="E103" s="390" t="s">
        <v>173</v>
      </c>
      <c r="F103" s="390">
        <v>14</v>
      </c>
      <c r="G103" s="390" t="s">
        <v>171</v>
      </c>
      <c r="H103" s="391"/>
      <c r="I103" s="390">
        <v>3.5775000000000001</v>
      </c>
      <c r="J103" s="390"/>
      <c r="K103" s="496" t="s">
        <v>338</v>
      </c>
      <c r="M103" s="37"/>
    </row>
    <row r="104" spans="2:13" ht="25" x14ac:dyDescent="0.25">
      <c r="B104" s="806"/>
      <c r="C104" s="390" t="s">
        <v>157</v>
      </c>
      <c r="D104" s="390" t="s">
        <v>172</v>
      </c>
      <c r="E104" s="390" t="s">
        <v>174</v>
      </c>
      <c r="F104" s="390">
        <v>187</v>
      </c>
      <c r="G104" s="390" t="s">
        <v>171</v>
      </c>
      <c r="H104" s="391"/>
      <c r="I104" s="390">
        <v>49.189599999999999</v>
      </c>
      <c r="J104" s="390"/>
      <c r="K104" s="496" t="s">
        <v>338</v>
      </c>
      <c r="M104" s="37"/>
    </row>
    <row r="105" spans="2:13" ht="25" x14ac:dyDescent="0.25">
      <c r="B105" s="806"/>
      <c r="C105" s="390" t="s">
        <v>157</v>
      </c>
      <c r="D105" s="390" t="s">
        <v>172</v>
      </c>
      <c r="E105" s="390" t="s">
        <v>174</v>
      </c>
      <c r="F105" s="390">
        <v>291</v>
      </c>
      <c r="G105" s="390" t="s">
        <v>171</v>
      </c>
      <c r="H105" s="391"/>
      <c r="I105" s="390">
        <v>76.546400000000006</v>
      </c>
      <c r="J105" s="390"/>
      <c r="K105" s="496" t="s">
        <v>338</v>
      </c>
      <c r="M105" s="37"/>
    </row>
    <row r="106" spans="2:13" ht="25" x14ac:dyDescent="0.25">
      <c r="B106" s="806"/>
      <c r="C106" s="390" t="s">
        <v>157</v>
      </c>
      <c r="D106" s="390" t="s">
        <v>172</v>
      </c>
      <c r="E106" s="390" t="s">
        <v>174</v>
      </c>
      <c r="F106" s="390">
        <v>18</v>
      </c>
      <c r="G106" s="390" t="s">
        <v>171</v>
      </c>
      <c r="H106" s="391"/>
      <c r="I106" s="390">
        <v>4.7347999999999999</v>
      </c>
      <c r="J106" s="390"/>
      <c r="K106" s="496" t="s">
        <v>338</v>
      </c>
      <c r="M106" s="37"/>
    </row>
    <row r="107" spans="2:13" ht="25" x14ac:dyDescent="0.25">
      <c r="B107" s="806"/>
      <c r="C107" s="390" t="s">
        <v>157</v>
      </c>
      <c r="D107" s="390" t="s">
        <v>172</v>
      </c>
      <c r="E107" s="390" t="s">
        <v>174</v>
      </c>
      <c r="F107" s="390">
        <v>25</v>
      </c>
      <c r="G107" s="390" t="s">
        <v>171</v>
      </c>
      <c r="H107" s="391"/>
      <c r="I107" s="390">
        <v>6.5762</v>
      </c>
      <c r="J107" s="390"/>
      <c r="K107" s="496" t="s">
        <v>338</v>
      </c>
      <c r="M107" s="37"/>
    </row>
    <row r="108" spans="2:13" ht="25" x14ac:dyDescent="0.25">
      <c r="B108" s="806"/>
      <c r="C108" s="390" t="s">
        <v>157</v>
      </c>
      <c r="D108" s="390" t="s">
        <v>172</v>
      </c>
      <c r="E108" s="390" t="s">
        <v>271</v>
      </c>
      <c r="F108" s="390">
        <v>247</v>
      </c>
      <c r="G108" s="390" t="s">
        <v>175</v>
      </c>
      <c r="H108" s="391"/>
      <c r="I108" s="390">
        <v>858.96410000000003</v>
      </c>
      <c r="J108" s="390"/>
      <c r="K108" s="496" t="s">
        <v>338</v>
      </c>
      <c r="M108" s="37"/>
    </row>
    <row r="109" spans="2:13" ht="25" x14ac:dyDescent="0.25">
      <c r="B109" s="806"/>
      <c r="C109" s="390" t="s">
        <v>157</v>
      </c>
      <c r="D109" s="390" t="s">
        <v>172</v>
      </c>
      <c r="E109" s="390" t="s">
        <v>271</v>
      </c>
      <c r="F109" s="390">
        <v>393</v>
      </c>
      <c r="G109" s="390" t="s">
        <v>175</v>
      </c>
      <c r="H109" s="391"/>
      <c r="I109" s="390">
        <v>1366.6919</v>
      </c>
      <c r="J109" s="390"/>
      <c r="K109" s="496" t="s">
        <v>338</v>
      </c>
      <c r="M109" s="37"/>
    </row>
    <row r="110" spans="2:13" ht="25" x14ac:dyDescent="0.25">
      <c r="B110" s="806"/>
      <c r="C110" s="390" t="s">
        <v>157</v>
      </c>
      <c r="D110" s="390" t="s">
        <v>172</v>
      </c>
      <c r="E110" s="390" t="s">
        <v>269</v>
      </c>
      <c r="F110" s="390">
        <v>8</v>
      </c>
      <c r="G110" s="390" t="s">
        <v>175</v>
      </c>
      <c r="H110" s="391"/>
      <c r="I110" s="390">
        <v>5.8010000000000002</v>
      </c>
      <c r="J110" s="390"/>
      <c r="K110" s="496" t="s">
        <v>338</v>
      </c>
      <c r="M110" s="37"/>
    </row>
    <row r="111" spans="2:13" ht="37.5" x14ac:dyDescent="0.25">
      <c r="B111" s="806"/>
      <c r="C111" s="390" t="s">
        <v>152</v>
      </c>
      <c r="D111" s="390" t="s">
        <v>265</v>
      </c>
      <c r="E111" s="390" t="s">
        <v>362</v>
      </c>
      <c r="F111" s="390">
        <v>48</v>
      </c>
      <c r="G111" s="390" t="s">
        <v>25</v>
      </c>
      <c r="H111" s="391"/>
      <c r="I111" s="390">
        <v>0.35489999999999999</v>
      </c>
      <c r="J111" s="390"/>
      <c r="K111" s="496" t="s">
        <v>330</v>
      </c>
      <c r="M111" s="37"/>
    </row>
    <row r="112" spans="2:13" ht="25" x14ac:dyDescent="0.25">
      <c r="B112" s="806"/>
      <c r="C112" s="390" t="s">
        <v>157</v>
      </c>
      <c r="D112" s="390" t="s">
        <v>176</v>
      </c>
      <c r="E112" s="390" t="s">
        <v>177</v>
      </c>
      <c r="F112" s="390">
        <v>76</v>
      </c>
      <c r="G112" s="390" t="s">
        <v>178</v>
      </c>
      <c r="H112" s="391"/>
      <c r="I112" s="390">
        <v>45.848999999999997</v>
      </c>
      <c r="J112" s="390"/>
      <c r="K112" s="496" t="s">
        <v>330</v>
      </c>
      <c r="M112" s="37"/>
    </row>
    <row r="113" spans="2:13" ht="37.5" x14ac:dyDescent="0.25">
      <c r="B113" s="806"/>
      <c r="C113" s="390" t="s">
        <v>155</v>
      </c>
      <c r="D113" s="390" t="s">
        <v>179</v>
      </c>
      <c r="E113" s="390" t="s">
        <v>253</v>
      </c>
      <c r="F113" s="390">
        <v>439</v>
      </c>
      <c r="G113" s="390" t="s">
        <v>25</v>
      </c>
      <c r="H113" s="391"/>
      <c r="I113" s="390">
        <v>2.6551</v>
      </c>
      <c r="J113" s="390"/>
      <c r="K113" s="496" t="s">
        <v>339</v>
      </c>
      <c r="M113" s="37"/>
    </row>
    <row r="114" spans="2:13" ht="25" x14ac:dyDescent="0.25">
      <c r="B114" s="806"/>
      <c r="C114" s="390" t="s">
        <v>148</v>
      </c>
      <c r="D114" s="390" t="s">
        <v>167</v>
      </c>
      <c r="E114" s="390" t="s">
        <v>267</v>
      </c>
      <c r="F114" s="390">
        <v>88</v>
      </c>
      <c r="G114" s="390" t="s">
        <v>25</v>
      </c>
      <c r="H114" s="391"/>
      <c r="I114" s="390">
        <v>0.89970000000000006</v>
      </c>
      <c r="J114" s="390"/>
      <c r="K114" s="496" t="s">
        <v>339</v>
      </c>
      <c r="M114" s="37"/>
    </row>
    <row r="115" spans="2:13" ht="37.5" x14ac:dyDescent="0.25">
      <c r="B115" s="806"/>
      <c r="C115" s="390" t="s">
        <v>148</v>
      </c>
      <c r="D115" s="390" t="s">
        <v>180</v>
      </c>
      <c r="E115" s="390" t="s">
        <v>181</v>
      </c>
      <c r="F115" s="390">
        <v>4</v>
      </c>
      <c r="G115" s="390" t="s">
        <v>175</v>
      </c>
      <c r="H115" s="391"/>
      <c r="I115" s="390">
        <v>2.1627000000000001</v>
      </c>
      <c r="J115" s="390"/>
      <c r="K115" s="496" t="s">
        <v>338</v>
      </c>
      <c r="M115" s="37"/>
    </row>
    <row r="116" spans="2:13" ht="25" x14ac:dyDescent="0.25">
      <c r="B116" s="806"/>
      <c r="C116" s="390" t="s">
        <v>148</v>
      </c>
      <c r="D116" s="390" t="s">
        <v>180</v>
      </c>
      <c r="E116" s="390" t="s">
        <v>188</v>
      </c>
      <c r="F116" s="390">
        <v>4</v>
      </c>
      <c r="G116" s="390" t="s">
        <v>175</v>
      </c>
      <c r="H116" s="391"/>
      <c r="I116" s="390">
        <v>10.036099999999999</v>
      </c>
      <c r="J116" s="390"/>
      <c r="K116" s="496" t="s">
        <v>338</v>
      </c>
      <c r="M116" s="37"/>
    </row>
    <row r="117" spans="2:13" ht="25" x14ac:dyDescent="0.25">
      <c r="B117" s="806"/>
      <c r="C117" s="390" t="s">
        <v>148</v>
      </c>
      <c r="D117" s="390" t="s">
        <v>182</v>
      </c>
      <c r="E117" s="390" t="s">
        <v>268</v>
      </c>
      <c r="F117" s="390">
        <v>65</v>
      </c>
      <c r="G117" s="390" t="s">
        <v>25</v>
      </c>
      <c r="H117" s="391"/>
      <c r="I117" s="390">
        <v>2.9392999999999998</v>
      </c>
      <c r="J117" s="390"/>
      <c r="K117" s="496" t="s">
        <v>338</v>
      </c>
      <c r="M117" s="37"/>
    </row>
    <row r="118" spans="2:13" ht="25" x14ac:dyDescent="0.25">
      <c r="B118" s="806"/>
      <c r="C118" s="390" t="s">
        <v>147</v>
      </c>
      <c r="D118" s="390" t="s">
        <v>183</v>
      </c>
      <c r="E118" s="390" t="s">
        <v>184</v>
      </c>
      <c r="F118" s="390">
        <v>65</v>
      </c>
      <c r="G118" s="390" t="s">
        <v>25</v>
      </c>
      <c r="H118" s="391"/>
      <c r="I118" s="390">
        <v>3.9988000000000001</v>
      </c>
      <c r="J118" s="390"/>
      <c r="K118" s="496" t="s">
        <v>330</v>
      </c>
      <c r="M118" s="37"/>
    </row>
    <row r="119" spans="2:13" s="393" customFormat="1" ht="25" customHeight="1" x14ac:dyDescent="0.25">
      <c r="B119" s="806"/>
      <c r="C119" s="390" t="s">
        <v>152</v>
      </c>
      <c r="D119" s="390" t="s">
        <v>185</v>
      </c>
      <c r="E119" s="390" t="s">
        <v>186</v>
      </c>
      <c r="F119" s="390">
        <v>556</v>
      </c>
      <c r="G119" s="390" t="s">
        <v>187</v>
      </c>
      <c r="H119" s="391"/>
      <c r="I119" s="390">
        <v>0.28910000000000002</v>
      </c>
      <c r="J119" s="390"/>
      <c r="K119" s="496" t="s">
        <v>339</v>
      </c>
      <c r="M119" s="335"/>
    </row>
    <row r="120" spans="2:13" ht="39.65" customHeight="1" x14ac:dyDescent="0.25">
      <c r="B120" s="806"/>
      <c r="C120" s="390" t="s">
        <v>152</v>
      </c>
      <c r="D120" s="390" t="s">
        <v>185</v>
      </c>
      <c r="E120" s="390" t="s">
        <v>186</v>
      </c>
      <c r="F120" s="390">
        <v>363</v>
      </c>
      <c r="G120" s="390" t="s">
        <v>187</v>
      </c>
      <c r="H120" s="391"/>
      <c r="I120" s="390">
        <v>0.1888</v>
      </c>
      <c r="J120" s="390"/>
      <c r="K120" s="496" t="s">
        <v>339</v>
      </c>
    </row>
    <row r="121" spans="2:13" ht="25" x14ac:dyDescent="0.25">
      <c r="B121" s="806"/>
      <c r="C121" s="390" t="s">
        <v>161</v>
      </c>
      <c r="D121" s="390" t="s">
        <v>190</v>
      </c>
      <c r="E121" s="390" t="s">
        <v>193</v>
      </c>
      <c r="F121" s="390">
        <v>1405</v>
      </c>
      <c r="G121" s="390" t="s">
        <v>192</v>
      </c>
      <c r="H121" s="391">
        <v>0.12</v>
      </c>
      <c r="I121" s="390">
        <v>0.95679999999999998</v>
      </c>
      <c r="J121" s="390">
        <v>0.1148</v>
      </c>
      <c r="K121" s="496" t="s">
        <v>337</v>
      </c>
    </row>
    <row r="122" spans="2:13" ht="25" x14ac:dyDescent="0.25">
      <c r="B122" s="806"/>
      <c r="C122" s="390" t="s">
        <v>161</v>
      </c>
      <c r="D122" s="390" t="s">
        <v>190</v>
      </c>
      <c r="E122" s="390" t="s">
        <v>191</v>
      </c>
      <c r="F122" s="390">
        <v>1355</v>
      </c>
      <c r="G122" s="390" t="s">
        <v>192</v>
      </c>
      <c r="H122" s="391"/>
      <c r="I122" s="390">
        <v>0.35639999999999999</v>
      </c>
      <c r="J122" s="390"/>
      <c r="K122" s="496" t="s">
        <v>337</v>
      </c>
    </row>
    <row r="123" spans="2:13" ht="12" customHeight="1" thickBot="1" x14ac:dyDescent="0.3">
      <c r="B123" s="503" t="s">
        <v>344</v>
      </c>
      <c r="C123" s="498"/>
      <c r="D123" s="498"/>
      <c r="E123" s="498"/>
      <c r="F123" s="498"/>
      <c r="G123" s="498"/>
      <c r="H123" s="499"/>
      <c r="I123" s="513">
        <f>SUM(I100:I122)</f>
        <v>2461.1393999999996</v>
      </c>
      <c r="J123" s="500">
        <f>SUM(J100:J122)</f>
        <v>0.1148</v>
      </c>
      <c r="K123" s="501" t="s">
        <v>90</v>
      </c>
    </row>
    <row r="124" spans="2:13" ht="27" customHeight="1" x14ac:dyDescent="0.25">
      <c r="B124" s="769"/>
      <c r="C124" s="769"/>
      <c r="D124" s="769"/>
      <c r="E124" s="769"/>
      <c r="F124" s="769"/>
      <c r="G124" s="769"/>
      <c r="H124" s="769"/>
      <c r="I124" s="769"/>
      <c r="J124" s="37"/>
      <c r="K124" s="37"/>
    </row>
    <row r="125" spans="2:13" ht="13" x14ac:dyDescent="0.3">
      <c r="B125" s="15"/>
      <c r="C125" s="15"/>
      <c r="D125" s="15"/>
      <c r="E125" s="15"/>
      <c r="F125" s="15"/>
      <c r="G125" s="15"/>
      <c r="H125" s="14"/>
      <c r="I125" s="36"/>
      <c r="J125" s="37"/>
      <c r="K125" s="37"/>
    </row>
    <row r="126" spans="2:13" ht="13" x14ac:dyDescent="0.3">
      <c r="B126" s="735"/>
      <c r="C126" s="735"/>
      <c r="D126" s="735"/>
      <c r="E126" s="61"/>
      <c r="F126" s="61"/>
      <c r="G126" s="61"/>
      <c r="H126" s="31"/>
      <c r="I126" s="39"/>
      <c r="J126" s="37"/>
      <c r="K126" s="37"/>
    </row>
    <row r="127" spans="2:13" ht="13" x14ac:dyDescent="0.3">
      <c r="B127" s="735"/>
      <c r="C127" s="735"/>
      <c r="D127" s="735"/>
      <c r="E127" s="61"/>
      <c r="F127" s="61"/>
      <c r="G127" s="61"/>
      <c r="H127" s="33"/>
      <c r="I127" s="39"/>
      <c r="J127" s="37"/>
      <c r="K127" s="37"/>
    </row>
    <row r="128" spans="2:13" x14ac:dyDescent="0.25">
      <c r="B128" s="37"/>
      <c r="C128" s="37"/>
      <c r="D128" s="37"/>
      <c r="E128" s="37"/>
      <c r="F128" s="37"/>
      <c r="G128" s="37"/>
      <c r="H128" s="37"/>
      <c r="I128" s="37"/>
      <c r="J128" s="37"/>
      <c r="K128" s="37"/>
    </row>
    <row r="129" spans="2:11" x14ac:dyDescent="0.25">
      <c r="B129" s="37"/>
      <c r="C129" s="37"/>
      <c r="D129" s="37"/>
      <c r="E129" s="37"/>
      <c r="F129" s="37"/>
      <c r="G129" s="37"/>
      <c r="H129" s="37"/>
      <c r="I129" s="37"/>
      <c r="J129" s="37"/>
      <c r="K129" s="37"/>
    </row>
    <row r="130" spans="2:11" s="393" customFormat="1" ht="25" customHeight="1" x14ac:dyDescent="0.35">
      <c r="B130" s="769"/>
      <c r="C130" s="769"/>
      <c r="D130" s="769"/>
      <c r="E130" s="253"/>
      <c r="F130" s="253"/>
      <c r="G130" s="253"/>
      <c r="H130" s="335"/>
      <c r="I130" s="335"/>
      <c r="J130" s="335"/>
      <c r="K130" s="335"/>
    </row>
    <row r="131" spans="2:11" x14ac:dyDescent="0.25">
      <c r="B131" s="37"/>
      <c r="C131" s="37"/>
      <c r="D131" s="37"/>
      <c r="E131" s="37"/>
      <c r="F131" s="37"/>
      <c r="G131" s="37"/>
      <c r="H131" s="37"/>
      <c r="I131" s="37"/>
      <c r="J131" s="37"/>
      <c r="K131" s="37"/>
    </row>
    <row r="132" spans="2:11" x14ac:dyDescent="0.25">
      <c r="B132" s="37"/>
      <c r="C132" s="37"/>
      <c r="D132" s="37"/>
      <c r="E132" s="37"/>
      <c r="F132" s="37"/>
      <c r="G132" s="37"/>
      <c r="H132" s="37"/>
      <c r="I132" s="37"/>
      <c r="J132" s="37"/>
      <c r="K132" s="37"/>
    </row>
    <row r="133" spans="2:11" x14ac:dyDescent="0.25">
      <c r="B133" s="37"/>
      <c r="C133" s="37"/>
      <c r="D133" s="37"/>
      <c r="E133" s="37"/>
      <c r="F133" s="37"/>
      <c r="G133" s="37"/>
      <c r="H133" s="37"/>
      <c r="I133" s="37"/>
      <c r="J133" s="37"/>
      <c r="K133" s="37"/>
    </row>
    <row r="134" spans="2:11" x14ac:dyDescent="0.25">
      <c r="B134" s="37"/>
      <c r="C134" s="37"/>
      <c r="D134" s="37"/>
      <c r="E134" s="37"/>
      <c r="F134" s="37"/>
      <c r="G134" s="37"/>
      <c r="H134" s="37"/>
      <c r="I134" s="37"/>
      <c r="J134" s="37"/>
      <c r="K134" s="37"/>
    </row>
    <row r="135" spans="2:11" x14ac:dyDescent="0.25">
      <c r="B135" s="37"/>
      <c r="C135" s="37"/>
      <c r="D135" s="37"/>
      <c r="E135" s="37"/>
      <c r="F135" s="37"/>
      <c r="G135" s="37"/>
      <c r="H135" s="37"/>
      <c r="I135" s="37"/>
      <c r="J135" s="37"/>
      <c r="K135" s="37"/>
    </row>
    <row r="136" spans="2:11" x14ac:dyDescent="0.25">
      <c r="B136" s="37"/>
      <c r="C136" s="37"/>
      <c r="D136" s="37"/>
      <c r="E136" s="37"/>
      <c r="F136" s="37"/>
      <c r="G136" s="37"/>
      <c r="H136" s="37"/>
      <c r="I136" s="37"/>
      <c r="J136" s="37"/>
      <c r="K136" s="37"/>
    </row>
    <row r="137" spans="2:11" x14ac:dyDescent="0.25">
      <c r="B137" s="37"/>
      <c r="C137" s="37"/>
      <c r="D137" s="37"/>
      <c r="E137" s="37"/>
      <c r="F137" s="37"/>
      <c r="G137" s="37"/>
      <c r="H137" s="37"/>
      <c r="I137" s="37"/>
      <c r="J137" s="37"/>
      <c r="K137" s="37"/>
    </row>
  </sheetData>
  <mergeCells count="31">
    <mergeCell ref="B124:I124"/>
    <mergeCell ref="B126:D126"/>
    <mergeCell ref="B127:D127"/>
    <mergeCell ref="B130:D130"/>
    <mergeCell ref="B51:B52"/>
    <mergeCell ref="C51:D51"/>
    <mergeCell ref="B76:B98"/>
    <mergeCell ref="B100:B122"/>
    <mergeCell ref="O4:O5"/>
    <mergeCell ref="B35:I35"/>
    <mergeCell ref="B36:D36"/>
    <mergeCell ref="B40:D40"/>
    <mergeCell ref="B46:D46"/>
    <mergeCell ref="B4:B5"/>
    <mergeCell ref="C4:C5"/>
    <mergeCell ref="D4:D5"/>
    <mergeCell ref="E4:E5"/>
    <mergeCell ref="I4:J4"/>
    <mergeCell ref="K4:L4"/>
    <mergeCell ref="M4:N4"/>
    <mergeCell ref="B11:C11"/>
    <mergeCell ref="B12:B13"/>
    <mergeCell ref="B14:B15"/>
    <mergeCell ref="B16:B18"/>
    <mergeCell ref="B19:B21"/>
    <mergeCell ref="F4:F5"/>
    <mergeCell ref="G4:G5"/>
    <mergeCell ref="B10:C10"/>
    <mergeCell ref="E51:F51"/>
    <mergeCell ref="G51:H51"/>
    <mergeCell ref="B22:B2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D5BC330-A082-4E33-A5B1-C96611500313}">
          <x14:formula1>
            <xm:f>'Task 3 - Material summary'!$B$7:$B$14</xm:f>
          </x14:formula1>
          <xm:sqref>K76:K123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765F-4540-4A8E-B6EA-5EF986ECDAEF}">
  <sheetPr>
    <tabColor rgb="FF00353E"/>
  </sheetPr>
  <dimension ref="A1:O156"/>
  <sheetViews>
    <sheetView showGridLines="0" topLeftCell="A83" workbookViewId="0">
      <selection activeCell="F91" sqref="F91"/>
    </sheetView>
  </sheetViews>
  <sheetFormatPr defaultColWidth="8.7265625" defaultRowHeight="12.5" x14ac:dyDescent="0.25"/>
  <cols>
    <col min="1" max="1" width="10.7265625" style="300" customWidth="1"/>
    <col min="2" max="2" width="37.453125" style="366" customWidth="1"/>
    <col min="3" max="3" width="24.1796875" style="366" customWidth="1"/>
    <col min="4" max="7" width="19.26953125" style="366" customWidth="1"/>
    <col min="8" max="8" width="17.54296875" style="366" customWidth="1"/>
    <col min="9" max="9" width="20.81640625" style="366" customWidth="1"/>
    <col min="10" max="10" width="22.7265625" style="366" customWidth="1"/>
    <col min="11" max="11" width="19.54296875" style="366" customWidth="1"/>
    <col min="12" max="12" width="26.453125" style="300" customWidth="1"/>
    <col min="13" max="14" width="27.7265625" style="300" customWidth="1"/>
    <col min="15" max="15" width="20.7265625" style="300" customWidth="1"/>
    <col min="16" max="16384" width="8.7265625" style="300"/>
  </cols>
  <sheetData>
    <row r="1" spans="2:15" s="363" customFormat="1" ht="32.15" customHeight="1" x14ac:dyDescent="0.35">
      <c r="B1" s="267" t="s">
        <v>469</v>
      </c>
      <c r="D1" s="364"/>
      <c r="E1" s="364"/>
      <c r="F1" s="364"/>
      <c r="G1" s="364"/>
      <c r="H1" s="364"/>
      <c r="I1" s="364"/>
      <c r="J1" s="364"/>
      <c r="K1" s="364"/>
    </row>
    <row r="2" spans="2:15" s="363" customFormat="1" ht="18" customHeight="1" x14ac:dyDescent="0.35">
      <c r="B2" s="363" t="s">
        <v>647</v>
      </c>
      <c r="H2" s="364"/>
      <c r="I2" s="364"/>
    </row>
    <row r="3" spans="2:15" ht="39.65" customHeight="1" thickBot="1" x14ac:dyDescent="0.35">
      <c r="B3" s="365" t="s">
        <v>443</v>
      </c>
      <c r="I3" s="367" t="s">
        <v>444</v>
      </c>
      <c r="L3" s="366"/>
    </row>
    <row r="4" spans="2:15" ht="24" customHeight="1" x14ac:dyDescent="0.25">
      <c r="B4" s="771" t="s">
        <v>37</v>
      </c>
      <c r="C4" s="773" t="s">
        <v>75</v>
      </c>
      <c r="D4" s="773" t="s">
        <v>381</v>
      </c>
      <c r="E4" s="773" t="s">
        <v>629</v>
      </c>
      <c r="F4" s="773" t="s">
        <v>630</v>
      </c>
      <c r="G4" s="791" t="s">
        <v>631</v>
      </c>
      <c r="I4" s="786" t="s">
        <v>69</v>
      </c>
      <c r="J4" s="787"/>
      <c r="K4" s="788" t="s">
        <v>70</v>
      </c>
      <c r="L4" s="787"/>
      <c r="M4" s="794" t="s">
        <v>342</v>
      </c>
      <c r="N4" s="794"/>
      <c r="O4" s="791" t="s">
        <v>382</v>
      </c>
    </row>
    <row r="5" spans="2:15" ht="36" customHeight="1" x14ac:dyDescent="0.25">
      <c r="B5" s="772"/>
      <c r="C5" s="774"/>
      <c r="D5" s="774"/>
      <c r="E5" s="774"/>
      <c r="F5" s="774"/>
      <c r="G5" s="792"/>
      <c r="I5" s="64" t="s">
        <v>71</v>
      </c>
      <c r="J5" s="65" t="s">
        <v>72</v>
      </c>
      <c r="K5" s="66" t="s">
        <v>73</v>
      </c>
      <c r="L5" s="67" t="s">
        <v>74</v>
      </c>
      <c r="M5" s="155" t="s">
        <v>636</v>
      </c>
      <c r="N5" s="155" t="s">
        <v>689</v>
      </c>
      <c r="O5" s="792"/>
    </row>
    <row r="6" spans="2:15" ht="16.5" customHeight="1" x14ac:dyDescent="0.25">
      <c r="B6" s="401" t="s">
        <v>87</v>
      </c>
      <c r="C6" s="174">
        <f>'Structure dimensions'!L11</f>
        <v>423</v>
      </c>
      <c r="D6" s="174">
        <f>SUM(I6:L6)</f>
        <v>1409.8254000000004</v>
      </c>
      <c r="E6" s="174">
        <f>O6</f>
        <v>1409.9125000000004</v>
      </c>
      <c r="F6" s="408">
        <f>D6/C6</f>
        <v>3.3329205673758873</v>
      </c>
      <c r="G6" s="410">
        <f>E6/C6</f>
        <v>3.3331264775413718</v>
      </c>
      <c r="H6" s="368"/>
      <c r="I6" s="178">
        <f>I85</f>
        <v>1351.2254000000003</v>
      </c>
      <c r="J6" s="179">
        <v>15.7</v>
      </c>
      <c r="K6" s="180">
        <v>29.5</v>
      </c>
      <c r="L6" s="179">
        <v>13.4</v>
      </c>
      <c r="M6" s="179">
        <f>J85</f>
        <v>8.7099999999999997E-2</v>
      </c>
      <c r="N6" s="179">
        <v>0</v>
      </c>
      <c r="O6" s="63">
        <f>SUM(I6:N6)</f>
        <v>1409.9125000000004</v>
      </c>
    </row>
    <row r="7" spans="2:15" ht="16.5" customHeight="1" x14ac:dyDescent="0.25">
      <c r="B7" s="401" t="s">
        <v>48</v>
      </c>
      <c r="C7" s="174">
        <f>'Structure dimensions'!L12</f>
        <v>360.67999999999995</v>
      </c>
      <c r="D7" s="174">
        <f>SUM(I7:L7)</f>
        <v>1096.4031</v>
      </c>
      <c r="E7" s="174">
        <f t="shared" ref="E7:E9" si="0">O7</f>
        <v>1096.4976999999999</v>
      </c>
      <c r="F7" s="408">
        <f>D7/C7</f>
        <v>3.0398222801375185</v>
      </c>
      <c r="G7" s="410">
        <f t="shared" ref="G7:G9" si="1">E7/C7</f>
        <v>3.0400845624930688</v>
      </c>
      <c r="H7" s="368"/>
      <c r="I7" s="178">
        <f>I109</f>
        <v>890.60310000000004</v>
      </c>
      <c r="J7" s="179">
        <v>11.3</v>
      </c>
      <c r="K7" s="180">
        <v>181.7</v>
      </c>
      <c r="L7" s="179">
        <v>12.8</v>
      </c>
      <c r="M7" s="182">
        <f>J109</f>
        <v>9.4600000000000004E-2</v>
      </c>
      <c r="N7" s="179">
        <v>0</v>
      </c>
      <c r="O7" s="63">
        <f>SUM(I7:N7)</f>
        <v>1096.4976999999999</v>
      </c>
    </row>
    <row r="8" spans="2:15" ht="16.5" customHeight="1" x14ac:dyDescent="0.25">
      <c r="B8" s="401" t="s">
        <v>49</v>
      </c>
      <c r="C8" s="174">
        <f>'Structure dimensions'!L13</f>
        <v>484.17999999999995</v>
      </c>
      <c r="D8" s="174">
        <f>SUM(I8:L8)</f>
        <v>1530.1431999999998</v>
      </c>
      <c r="E8" s="174">
        <f t="shared" si="0"/>
        <v>1530.3018999999997</v>
      </c>
      <c r="F8" s="408">
        <f>D8/C8</f>
        <v>3.1602775827171712</v>
      </c>
      <c r="G8" s="410">
        <f t="shared" si="1"/>
        <v>3.1606053533809737</v>
      </c>
      <c r="H8" s="368"/>
      <c r="I8" s="178">
        <f>I132</f>
        <v>1463.2431999999999</v>
      </c>
      <c r="J8" s="179">
        <v>17.3</v>
      </c>
      <c r="K8" s="180">
        <v>32.1</v>
      </c>
      <c r="L8" s="181">
        <v>17.5</v>
      </c>
      <c r="M8" s="182">
        <f>J132</f>
        <v>0.15870000000000001</v>
      </c>
      <c r="N8" s="179">
        <v>0</v>
      </c>
      <c r="O8" s="63">
        <f>SUM(I8:N8)</f>
        <v>1530.3018999999997</v>
      </c>
    </row>
    <row r="9" spans="2:15" ht="16.5" customHeight="1" thickBot="1" x14ac:dyDescent="0.3">
      <c r="B9" s="411" t="s">
        <v>50</v>
      </c>
      <c r="C9" s="176">
        <f>'Structure dimensions'!L14</f>
        <v>632.4</v>
      </c>
      <c r="D9" s="176">
        <f>SUM(I9:L9)</f>
        <v>1716.0148999999997</v>
      </c>
      <c r="E9" s="176">
        <f t="shared" si="0"/>
        <v>1716.2055999999998</v>
      </c>
      <c r="F9" s="409">
        <f>D9/C9</f>
        <v>2.7134960468058185</v>
      </c>
      <c r="G9" s="412">
        <f t="shared" si="1"/>
        <v>2.7137975964579377</v>
      </c>
      <c r="H9" s="368"/>
      <c r="I9" s="197">
        <f>I156</f>
        <v>1589.1148999999996</v>
      </c>
      <c r="J9" s="198">
        <v>26.2</v>
      </c>
      <c r="K9" s="199">
        <v>66.7</v>
      </c>
      <c r="L9" s="201">
        <v>34</v>
      </c>
      <c r="M9" s="203">
        <f>J156</f>
        <v>0.19070000000000001</v>
      </c>
      <c r="N9" s="198">
        <v>0</v>
      </c>
      <c r="O9" s="80">
        <f>SUM(I9:N9)</f>
        <v>1716.2055999999998</v>
      </c>
    </row>
    <row r="10" spans="2:15" ht="22.5" customHeight="1" thickTop="1" thickBot="1" x14ac:dyDescent="0.3">
      <c r="B10" s="77" t="s">
        <v>2</v>
      </c>
      <c r="C10" s="328"/>
      <c r="D10" s="209">
        <f>SUM(D6:D9)</f>
        <v>5752.3865999999998</v>
      </c>
      <c r="E10" s="209">
        <f>SUM(E6:E9)</f>
        <v>5752.9177</v>
      </c>
      <c r="F10" s="209"/>
      <c r="G10" s="79"/>
      <c r="I10" s="194" t="s">
        <v>81</v>
      </c>
      <c r="J10" s="72">
        <f>SUM(I6:J9)</f>
        <v>5364.6866</v>
      </c>
      <c r="K10" s="195" t="s">
        <v>81</v>
      </c>
      <c r="L10" s="72">
        <f>SUM(K6:L9)</f>
        <v>387.7</v>
      </c>
      <c r="M10" s="184" t="s">
        <v>346</v>
      </c>
      <c r="N10" s="196">
        <f>SUM(M6:N9)</f>
        <v>0.53110000000000002</v>
      </c>
      <c r="O10" s="239">
        <f>SUM(O6:O9)</f>
        <v>5752.9177</v>
      </c>
    </row>
    <row r="11" spans="2:15" ht="21" customHeight="1" thickBot="1" x14ac:dyDescent="0.3">
      <c r="B11" s="300"/>
      <c r="C11" s="300"/>
      <c r="D11" s="300"/>
      <c r="E11" s="300"/>
      <c r="F11" s="300"/>
      <c r="G11" s="300"/>
      <c r="H11" s="300"/>
      <c r="I11" s="300" t="s">
        <v>490</v>
      </c>
      <c r="J11" s="100"/>
      <c r="K11" s="161"/>
      <c r="L11" s="100"/>
      <c r="M11" s="162"/>
      <c r="N11" s="163"/>
      <c r="O11" s="163"/>
    </row>
    <row r="12" spans="2:15" ht="13" x14ac:dyDescent="0.3">
      <c r="B12" s="781" t="s">
        <v>383</v>
      </c>
      <c r="C12" s="782"/>
      <c r="D12" s="342" t="s">
        <v>384</v>
      </c>
      <c r="E12" s="343" t="s">
        <v>10</v>
      </c>
      <c r="F12" s="300"/>
      <c r="G12" s="300"/>
      <c r="H12" s="369"/>
      <c r="I12" s="421"/>
      <c r="K12" s="37"/>
    </row>
    <row r="13" spans="2:15" ht="13" x14ac:dyDescent="0.25">
      <c r="B13" s="804" t="s">
        <v>9</v>
      </c>
      <c r="C13" s="805"/>
      <c r="D13" s="174">
        <v>4</v>
      </c>
      <c r="E13" s="301" t="s">
        <v>385</v>
      </c>
      <c r="F13" s="300"/>
      <c r="G13" s="300"/>
      <c r="H13" s="369"/>
      <c r="K13" s="37"/>
    </row>
    <row r="14" spans="2:15" x14ac:dyDescent="0.25">
      <c r="B14" s="775" t="s">
        <v>648</v>
      </c>
      <c r="C14" s="344" t="s">
        <v>623</v>
      </c>
      <c r="D14" s="174">
        <f>D10/D13</f>
        <v>1438.09665</v>
      </c>
      <c r="E14" s="301" t="s">
        <v>646</v>
      </c>
      <c r="F14" s="300"/>
      <c r="G14" s="300"/>
      <c r="H14" s="369"/>
      <c r="K14" s="37"/>
    </row>
    <row r="15" spans="2:15" x14ac:dyDescent="0.25">
      <c r="B15" s="775"/>
      <c r="C15" s="344" t="s">
        <v>624</v>
      </c>
      <c r="D15" s="174">
        <f>E10/D13</f>
        <v>1438.229425</v>
      </c>
      <c r="E15" s="301" t="s">
        <v>646</v>
      </c>
      <c r="F15" s="300"/>
      <c r="G15" s="300"/>
      <c r="H15" s="369"/>
      <c r="K15" s="37"/>
    </row>
    <row r="16" spans="2:15" ht="25" x14ac:dyDescent="0.25">
      <c r="B16" s="775" t="s">
        <v>649</v>
      </c>
      <c r="C16" s="344" t="s">
        <v>623</v>
      </c>
      <c r="D16" s="185">
        <f>AVERAGE(F6:F9)</f>
        <v>3.061629119259099</v>
      </c>
      <c r="E16" s="301" t="s">
        <v>406</v>
      </c>
      <c r="F16" s="335"/>
      <c r="G16" s="335"/>
      <c r="H16" s="369"/>
      <c r="K16" s="37"/>
    </row>
    <row r="17" spans="2:11" ht="25" x14ac:dyDescent="0.25">
      <c r="B17" s="775"/>
      <c r="C17" s="344" t="s">
        <v>624</v>
      </c>
      <c r="D17" s="185">
        <f>AVERAGE(G6:G9)</f>
        <v>3.0619034974683377</v>
      </c>
      <c r="E17" s="301" t="s">
        <v>406</v>
      </c>
      <c r="H17" s="369"/>
      <c r="K17" s="37"/>
    </row>
    <row r="18" spans="2:11" x14ac:dyDescent="0.25">
      <c r="B18" s="775" t="s">
        <v>628</v>
      </c>
      <c r="C18" s="344" t="s">
        <v>3</v>
      </c>
      <c r="D18" s="347">
        <f>J10/E10</f>
        <v>0.93251579107415361</v>
      </c>
      <c r="E18" s="301" t="s">
        <v>388</v>
      </c>
      <c r="F18" s="335"/>
      <c r="G18" s="335"/>
      <c r="H18" s="369"/>
      <c r="K18" s="37"/>
    </row>
    <row r="19" spans="2:11" x14ac:dyDescent="0.25">
      <c r="B19" s="775"/>
      <c r="C19" s="344" t="s">
        <v>4</v>
      </c>
      <c r="D19" s="347">
        <f>L10/E10</f>
        <v>6.7391890553205727E-2</v>
      </c>
      <c r="E19" s="301" t="s">
        <v>388</v>
      </c>
      <c r="F19" s="335"/>
      <c r="G19" s="335"/>
      <c r="H19" s="369"/>
      <c r="K19" s="37"/>
    </row>
    <row r="20" spans="2:11" x14ac:dyDescent="0.25">
      <c r="B20" s="775"/>
      <c r="C20" s="344" t="s">
        <v>627</v>
      </c>
      <c r="D20" s="347">
        <f>N10/E10</f>
        <v>9.2318372640721075E-5</v>
      </c>
      <c r="E20" s="301" t="s">
        <v>388</v>
      </c>
      <c r="F20" s="335"/>
      <c r="G20" s="335"/>
      <c r="H20" s="370"/>
      <c r="I20" s="370"/>
      <c r="J20" s="37"/>
      <c r="K20" s="37"/>
    </row>
    <row r="21" spans="2:11" ht="25" x14ac:dyDescent="0.25">
      <c r="B21" s="775" t="s">
        <v>649</v>
      </c>
      <c r="C21" s="344" t="s">
        <v>3</v>
      </c>
      <c r="D21" s="185">
        <f>D17*D18</f>
        <v>2.8552733621344046</v>
      </c>
      <c r="E21" s="301" t="s">
        <v>406</v>
      </c>
      <c r="F21" s="335"/>
      <c r="G21" s="335"/>
      <c r="H21" s="370"/>
      <c r="I21" s="370"/>
      <c r="J21" s="37"/>
      <c r="K21" s="37"/>
    </row>
    <row r="22" spans="2:11" ht="25" x14ac:dyDescent="0.25">
      <c r="B22" s="775"/>
      <c r="C22" s="344" t="s">
        <v>4</v>
      </c>
      <c r="D22" s="185">
        <f>D17*D19</f>
        <v>0.20634746538586404</v>
      </c>
      <c r="E22" s="301" t="s">
        <v>406</v>
      </c>
      <c r="F22" s="335"/>
      <c r="G22" s="335"/>
      <c r="H22" s="370"/>
      <c r="I22" s="370"/>
      <c r="J22" s="37"/>
      <c r="K22" s="37"/>
    </row>
    <row r="23" spans="2:11" ht="25.5" thickBot="1" x14ac:dyDescent="0.3">
      <c r="B23" s="808"/>
      <c r="C23" s="346" t="s">
        <v>627</v>
      </c>
      <c r="D23" s="187">
        <f>D17*D20</f>
        <v>2.8266994806920917E-4</v>
      </c>
      <c r="E23" s="303" t="s">
        <v>406</v>
      </c>
      <c r="F23" s="335"/>
      <c r="G23" s="335"/>
      <c r="H23" s="370"/>
      <c r="I23" s="370"/>
      <c r="J23" s="37"/>
      <c r="K23" s="37"/>
    </row>
    <row r="24" spans="2:11" x14ac:dyDescent="0.25">
      <c r="B24" s="37"/>
      <c r="C24" s="37"/>
      <c r="D24" s="37"/>
      <c r="E24" s="37"/>
      <c r="F24" s="37"/>
      <c r="G24" s="37"/>
      <c r="H24" s="370"/>
      <c r="I24" s="370"/>
      <c r="J24" s="37"/>
      <c r="K24" s="37"/>
    </row>
    <row r="25" spans="2:11" x14ac:dyDescent="0.25">
      <c r="B25" s="37"/>
      <c r="C25" s="37"/>
      <c r="D25" s="37"/>
      <c r="E25" s="37"/>
      <c r="F25" s="37"/>
      <c r="G25" s="37"/>
      <c r="H25" s="370"/>
      <c r="I25" s="370"/>
      <c r="J25" s="37"/>
      <c r="K25" s="37"/>
    </row>
    <row r="26" spans="2:11" x14ac:dyDescent="0.25">
      <c r="B26" s="37"/>
      <c r="C26" s="37"/>
      <c r="D26" s="37"/>
      <c r="E26" s="37"/>
      <c r="F26" s="37"/>
      <c r="G26" s="37"/>
      <c r="H26" s="371"/>
      <c r="I26" s="371"/>
      <c r="J26" s="37"/>
      <c r="K26" s="37"/>
    </row>
    <row r="27" spans="2:11" ht="13" x14ac:dyDescent="0.3">
      <c r="B27" s="33"/>
      <c r="C27" s="33"/>
      <c r="D27" s="33"/>
      <c r="E27" s="33"/>
      <c r="F27" s="33"/>
      <c r="G27" s="33"/>
      <c r="H27" s="372"/>
      <c r="I27" s="372"/>
      <c r="J27" s="37"/>
      <c r="K27" s="37"/>
    </row>
    <row r="28" spans="2:11" x14ac:dyDescent="0.25">
      <c r="B28" s="37"/>
      <c r="C28" s="37"/>
      <c r="D28" s="37"/>
      <c r="E28" s="37"/>
      <c r="F28" s="37"/>
      <c r="G28" s="37"/>
      <c r="H28" s="37"/>
      <c r="I28" s="37"/>
      <c r="J28" s="37"/>
      <c r="K28" s="37"/>
    </row>
    <row r="29" spans="2:11" ht="27" customHeight="1" x14ac:dyDescent="0.25">
      <c r="B29" s="769"/>
      <c r="C29" s="769"/>
      <c r="D29" s="769"/>
      <c r="E29" s="769"/>
      <c r="F29" s="769"/>
      <c r="G29" s="769"/>
      <c r="H29" s="769"/>
      <c r="I29" s="769"/>
      <c r="J29" s="37"/>
    </row>
    <row r="30" spans="2:11" ht="13" x14ac:dyDescent="0.3">
      <c r="B30" s="770"/>
      <c r="C30" s="770"/>
      <c r="D30" s="770"/>
      <c r="E30" s="15"/>
      <c r="F30" s="15"/>
      <c r="G30" s="15"/>
      <c r="H30" s="14"/>
      <c r="I30" s="36"/>
      <c r="J30" s="37"/>
      <c r="K30" s="37"/>
    </row>
    <row r="31" spans="2:11" x14ac:dyDescent="0.25">
      <c r="B31" s="38"/>
      <c r="C31" s="38"/>
      <c r="D31" s="37"/>
      <c r="E31" s="37"/>
      <c r="F31" s="37"/>
      <c r="G31" s="37"/>
      <c r="H31" s="369"/>
      <c r="I31" s="369"/>
      <c r="J31" s="37"/>
      <c r="K31" s="37"/>
    </row>
    <row r="32" spans="2:11" x14ac:dyDescent="0.25">
      <c r="B32" s="38"/>
      <c r="C32" s="38"/>
      <c r="D32" s="37"/>
      <c r="E32" s="37"/>
      <c r="F32" s="37"/>
      <c r="G32" s="37"/>
      <c r="H32" s="369"/>
      <c r="I32" s="369"/>
      <c r="J32" s="37"/>
      <c r="K32" s="37"/>
    </row>
    <row r="33" spans="1:15" x14ac:dyDescent="0.25">
      <c r="B33" s="38"/>
      <c r="C33" s="38"/>
      <c r="D33" s="37"/>
      <c r="E33" s="37"/>
      <c r="F33" s="37"/>
      <c r="G33" s="37"/>
      <c r="H33" s="369"/>
      <c r="I33" s="369"/>
      <c r="J33" s="37"/>
      <c r="K33" s="37"/>
    </row>
    <row r="34" spans="1:15" ht="13" x14ac:dyDescent="0.3">
      <c r="B34" s="770"/>
      <c r="C34" s="770"/>
      <c r="D34" s="770"/>
      <c r="E34" s="15"/>
      <c r="F34" s="15"/>
      <c r="G34" s="15"/>
      <c r="H34" s="14"/>
      <c r="I34" s="36"/>
      <c r="J34" s="37"/>
      <c r="K34" s="37"/>
    </row>
    <row r="35" spans="1:15" x14ac:dyDescent="0.25">
      <c r="B35" s="38"/>
      <c r="C35" s="38"/>
      <c r="D35" s="37"/>
      <c r="E35" s="37"/>
      <c r="F35" s="37"/>
      <c r="G35" s="37"/>
      <c r="H35" s="370"/>
      <c r="I35" s="370"/>
      <c r="J35" s="37"/>
      <c r="K35" s="37"/>
    </row>
    <row r="36" spans="1:15" x14ac:dyDescent="0.25">
      <c r="B36" s="38"/>
      <c r="C36" s="38"/>
      <c r="D36" s="37"/>
      <c r="E36" s="37"/>
      <c r="F36" s="37"/>
      <c r="G36" s="37"/>
      <c r="H36" s="370"/>
      <c r="I36" s="370"/>
      <c r="J36" s="37"/>
      <c r="K36" s="37"/>
    </row>
    <row r="37" spans="1:15" x14ac:dyDescent="0.25">
      <c r="B37" s="38"/>
      <c r="C37" s="38"/>
      <c r="D37" s="37"/>
      <c r="E37" s="37"/>
      <c r="F37" s="37"/>
      <c r="G37" s="37"/>
      <c r="H37" s="370"/>
      <c r="I37" s="370"/>
      <c r="J37" s="37"/>
      <c r="K37" s="37"/>
    </row>
    <row r="38" spans="1:15" x14ac:dyDescent="0.25">
      <c r="B38" s="38"/>
      <c r="C38" s="38"/>
      <c r="D38" s="37"/>
      <c r="E38" s="37"/>
      <c r="F38" s="37"/>
      <c r="G38" s="37"/>
      <c r="H38" s="370"/>
      <c r="I38" s="370"/>
      <c r="J38" s="37"/>
      <c r="K38" s="37"/>
    </row>
    <row r="39" spans="1:15" x14ac:dyDescent="0.25">
      <c r="B39" s="38"/>
      <c r="C39" s="38"/>
      <c r="D39" s="37"/>
      <c r="E39" s="37"/>
      <c r="F39" s="37"/>
      <c r="G39" s="37"/>
      <c r="H39" s="370"/>
      <c r="I39" s="370"/>
      <c r="J39" s="37"/>
      <c r="K39" s="37"/>
    </row>
    <row r="40" spans="1:15" ht="13" x14ac:dyDescent="0.3">
      <c r="B40" s="770"/>
      <c r="C40" s="770"/>
      <c r="D40" s="770"/>
      <c r="E40" s="15"/>
      <c r="F40" s="15"/>
      <c r="G40" s="15"/>
      <c r="H40" s="14"/>
      <c r="I40" s="36"/>
      <c r="J40" s="37"/>
      <c r="K40" s="37"/>
    </row>
    <row r="41" spans="1:15" x14ac:dyDescent="0.25">
      <c r="B41" s="38"/>
      <c r="C41" s="38"/>
      <c r="D41" s="37"/>
      <c r="E41" s="37"/>
      <c r="F41" s="37"/>
      <c r="G41" s="37"/>
      <c r="H41" s="371"/>
      <c r="I41" s="371"/>
      <c r="J41" s="37"/>
      <c r="K41" s="37"/>
    </row>
    <row r="42" spans="1:15" s="383" customFormat="1" ht="37" customHeight="1" x14ac:dyDescent="0.35">
      <c r="A42" s="382"/>
      <c r="B42" s="336" t="s">
        <v>403</v>
      </c>
      <c r="D42" s="384"/>
      <c r="E42" s="384"/>
      <c r="F42" s="384"/>
      <c r="G42" s="384"/>
      <c r="H42" s="384"/>
      <c r="I42" s="384"/>
      <c r="J42" s="384"/>
      <c r="K42" s="384"/>
      <c r="L42" s="384"/>
      <c r="M42" s="384"/>
      <c r="N42" s="384"/>
      <c r="O42" s="384"/>
    </row>
    <row r="43" spans="1:15" ht="13" thickBot="1" x14ac:dyDescent="0.3">
      <c r="B43" s="37"/>
      <c r="C43" s="37"/>
      <c r="D43" s="37"/>
      <c r="E43" s="37"/>
      <c r="F43" s="37"/>
      <c r="G43" s="37"/>
      <c r="H43" s="37"/>
      <c r="I43" s="37"/>
      <c r="J43" s="37"/>
      <c r="K43" s="37"/>
      <c r="L43" s="37"/>
      <c r="M43" s="37"/>
      <c r="N43" s="37"/>
      <c r="O43" s="37"/>
    </row>
    <row r="44" spans="1:15" ht="13" x14ac:dyDescent="0.25">
      <c r="B44" s="797" t="s">
        <v>348</v>
      </c>
      <c r="C44" s="795" t="s">
        <v>350</v>
      </c>
      <c r="D44" s="795"/>
      <c r="E44" s="809" t="s">
        <v>352</v>
      </c>
      <c r="F44" s="810"/>
      <c r="G44" s="37"/>
      <c r="H44" s="37"/>
      <c r="I44" s="37"/>
      <c r="J44" s="37"/>
      <c r="K44" s="37"/>
      <c r="L44" s="37"/>
      <c r="M44" s="37"/>
      <c r="N44" s="37"/>
      <c r="O44" s="37"/>
    </row>
    <row r="45" spans="1:15" ht="13" x14ac:dyDescent="0.25">
      <c r="B45" s="798"/>
      <c r="C45" s="375" t="s">
        <v>351</v>
      </c>
      <c r="D45" s="375" t="s">
        <v>349</v>
      </c>
      <c r="E45" s="375" t="s">
        <v>351</v>
      </c>
      <c r="F45" s="454" t="s">
        <v>349</v>
      </c>
      <c r="G45" s="37"/>
      <c r="H45" s="37"/>
      <c r="I45" s="37"/>
      <c r="J45" s="37"/>
      <c r="K45" s="37"/>
      <c r="L45" s="37"/>
      <c r="M45" s="37"/>
      <c r="N45" s="37"/>
      <c r="O45" s="37"/>
    </row>
    <row r="46" spans="1:15" ht="24" customHeight="1" x14ac:dyDescent="0.25">
      <c r="B46" s="455" t="s">
        <v>328</v>
      </c>
      <c r="C46" s="377">
        <f t="shared" ref="C46:C53" si="2">SUMIF($K$62:$K$156,B46,$I$62:$I$156)</f>
        <v>16.309800000000003</v>
      </c>
      <c r="D46" s="378">
        <f>C46/$C$54</f>
        <v>3.0806998755956204E-3</v>
      </c>
      <c r="E46" s="377">
        <f t="shared" ref="E46:E53" si="3">SUMIF($K$62:$K$156,B46,$J$62:$J$156)</f>
        <v>0</v>
      </c>
      <c r="F46" s="456">
        <f t="shared" ref="F46:F53" si="4">E46/$E$54</f>
        <v>0</v>
      </c>
      <c r="G46" s="37"/>
      <c r="H46" s="37"/>
      <c r="I46" s="37"/>
      <c r="J46" s="37"/>
      <c r="K46" s="37"/>
      <c r="L46" s="37"/>
      <c r="M46" s="37"/>
      <c r="N46" s="37"/>
      <c r="O46" s="37"/>
    </row>
    <row r="47" spans="1:15" ht="24" customHeight="1" x14ac:dyDescent="0.25">
      <c r="B47" s="455" t="s">
        <v>329</v>
      </c>
      <c r="C47" s="377">
        <f t="shared" si="2"/>
        <v>0</v>
      </c>
      <c r="D47" s="378">
        <f t="shared" ref="D47:D53" si="5">C47/$C$54</f>
        <v>0</v>
      </c>
      <c r="E47" s="377">
        <f t="shared" si="3"/>
        <v>0</v>
      </c>
      <c r="F47" s="456">
        <f t="shared" si="4"/>
        <v>0</v>
      </c>
      <c r="G47" s="37"/>
      <c r="H47" s="37"/>
      <c r="I47" s="37"/>
      <c r="J47" s="37"/>
      <c r="K47" s="37"/>
      <c r="L47" s="37"/>
      <c r="M47" s="37"/>
      <c r="N47" s="37"/>
      <c r="O47" s="37"/>
    </row>
    <row r="48" spans="1:15" ht="24" customHeight="1" x14ac:dyDescent="0.25">
      <c r="B48" s="455" t="s">
        <v>330</v>
      </c>
      <c r="C48" s="377">
        <f t="shared" si="2"/>
        <v>213.32989999999998</v>
      </c>
      <c r="D48" s="378">
        <f t="shared" si="5"/>
        <v>4.0295122956187444E-2</v>
      </c>
      <c r="E48" s="377">
        <f t="shared" si="3"/>
        <v>0</v>
      </c>
      <c r="F48" s="456">
        <f t="shared" si="4"/>
        <v>0</v>
      </c>
      <c r="G48" s="37"/>
      <c r="H48" s="37"/>
      <c r="I48" s="37"/>
      <c r="J48" s="37"/>
      <c r="K48" s="37"/>
      <c r="L48" s="37"/>
      <c r="M48" s="37"/>
      <c r="N48" s="37"/>
      <c r="O48" s="37"/>
    </row>
    <row r="49" spans="1:15" ht="24" customHeight="1" x14ac:dyDescent="0.25">
      <c r="B49" s="455" t="s">
        <v>338</v>
      </c>
      <c r="C49" s="377">
        <f t="shared" si="2"/>
        <v>5037.8120000000008</v>
      </c>
      <c r="D49" s="378">
        <f t="shared" si="5"/>
        <v>0.95157431738427956</v>
      </c>
      <c r="E49" s="377">
        <f t="shared" si="3"/>
        <v>0</v>
      </c>
      <c r="F49" s="456">
        <f t="shared" si="4"/>
        <v>0</v>
      </c>
      <c r="G49" s="37"/>
      <c r="H49" s="37"/>
      <c r="I49" s="37"/>
      <c r="J49" s="37"/>
      <c r="K49" s="37"/>
      <c r="L49" s="37"/>
      <c r="M49" s="37"/>
      <c r="N49" s="37"/>
      <c r="O49" s="37"/>
    </row>
    <row r="50" spans="1:15" ht="24" customHeight="1" x14ac:dyDescent="0.25">
      <c r="B50" s="455" t="s">
        <v>337</v>
      </c>
      <c r="C50" s="377">
        <f t="shared" si="2"/>
        <v>6.0743999999999998</v>
      </c>
      <c r="D50" s="378">
        <f t="shared" si="5"/>
        <v>1.1473717227874058E-3</v>
      </c>
      <c r="E50" s="380">
        <f t="shared" si="3"/>
        <v>0.53110000000000002</v>
      </c>
      <c r="F50" s="456">
        <f t="shared" si="4"/>
        <v>1</v>
      </c>
      <c r="G50" s="37"/>
      <c r="H50" s="37"/>
      <c r="I50" s="37"/>
      <c r="J50" s="37"/>
      <c r="K50" s="37"/>
      <c r="L50" s="37"/>
      <c r="M50" s="37"/>
      <c r="N50" s="37"/>
      <c r="O50" s="37"/>
    </row>
    <row r="51" spans="1:15" ht="24" customHeight="1" x14ac:dyDescent="0.25">
      <c r="B51" s="455" t="s">
        <v>341</v>
      </c>
      <c r="C51" s="377">
        <f t="shared" si="2"/>
        <v>0</v>
      </c>
      <c r="D51" s="378">
        <f t="shared" si="5"/>
        <v>0</v>
      </c>
      <c r="E51" s="377">
        <f t="shared" si="3"/>
        <v>0</v>
      </c>
      <c r="F51" s="456">
        <f t="shared" si="4"/>
        <v>0</v>
      </c>
      <c r="G51" s="37"/>
      <c r="H51" s="37"/>
      <c r="I51" s="37"/>
      <c r="J51" s="37"/>
      <c r="K51" s="37"/>
      <c r="L51" s="37"/>
      <c r="M51" s="37"/>
      <c r="N51" s="37"/>
      <c r="O51" s="37"/>
    </row>
    <row r="52" spans="1:15" ht="24" customHeight="1" x14ac:dyDescent="0.25">
      <c r="B52" s="455" t="s">
        <v>340</v>
      </c>
      <c r="C52" s="377">
        <f t="shared" si="2"/>
        <v>0</v>
      </c>
      <c r="D52" s="378">
        <f t="shared" si="5"/>
        <v>0</v>
      </c>
      <c r="E52" s="377">
        <f t="shared" si="3"/>
        <v>0</v>
      </c>
      <c r="F52" s="456">
        <f t="shared" si="4"/>
        <v>0</v>
      </c>
      <c r="G52" s="37"/>
      <c r="H52" s="37"/>
      <c r="I52" s="37"/>
      <c r="J52" s="37"/>
      <c r="K52" s="37"/>
      <c r="L52" s="37"/>
      <c r="M52" s="37"/>
      <c r="N52" s="37"/>
      <c r="O52" s="37"/>
    </row>
    <row r="53" spans="1:15" ht="24" customHeight="1" x14ac:dyDescent="0.25">
      <c r="B53" s="455" t="s">
        <v>339</v>
      </c>
      <c r="C53" s="377">
        <f t="shared" si="2"/>
        <v>20.660499999999995</v>
      </c>
      <c r="D53" s="378">
        <f t="shared" si="5"/>
        <v>3.9024880611499397E-3</v>
      </c>
      <c r="E53" s="377">
        <f t="shared" si="3"/>
        <v>0</v>
      </c>
      <c r="F53" s="456">
        <f t="shared" si="4"/>
        <v>0</v>
      </c>
      <c r="G53" s="37"/>
      <c r="H53" s="37"/>
      <c r="I53" s="37"/>
      <c r="J53" s="37"/>
      <c r="K53" s="37"/>
      <c r="L53" s="37"/>
      <c r="M53" s="37"/>
      <c r="N53" s="37"/>
      <c r="O53" s="37"/>
    </row>
    <row r="54" spans="1:15" ht="24" customHeight="1" thickBot="1" x14ac:dyDescent="0.35">
      <c r="B54" s="457" t="s">
        <v>344</v>
      </c>
      <c r="C54" s="458">
        <f>SUM(C46:C53)</f>
        <v>5294.1866000000009</v>
      </c>
      <c r="D54" s="553">
        <f>SUM(D46:D53)</f>
        <v>1</v>
      </c>
      <c r="E54" s="459">
        <f>SUM(E46:E53)</f>
        <v>0.53110000000000002</v>
      </c>
      <c r="F54" s="553">
        <f>SUM(F46:F53)</f>
        <v>1</v>
      </c>
      <c r="G54" s="37"/>
      <c r="H54" s="37"/>
      <c r="I54" s="37"/>
      <c r="J54" s="37"/>
      <c r="K54" s="37"/>
      <c r="L54" s="37"/>
      <c r="M54" s="37"/>
      <c r="N54" s="37"/>
      <c r="O54" s="37"/>
    </row>
    <row r="55" spans="1:15" x14ac:dyDescent="0.25">
      <c r="B55" s="37"/>
      <c r="C55" s="37"/>
      <c r="E55" s="37"/>
      <c r="F55" s="37"/>
      <c r="G55" s="37"/>
      <c r="H55" s="37"/>
      <c r="I55" s="37"/>
      <c r="J55" s="37"/>
      <c r="K55" s="37"/>
      <c r="L55" s="37"/>
      <c r="M55" s="37"/>
      <c r="N55" s="37"/>
      <c r="O55" s="37"/>
    </row>
    <row r="56" spans="1:15" x14ac:dyDescent="0.25">
      <c r="B56" s="38"/>
      <c r="C56" s="38"/>
      <c r="D56" s="37"/>
      <c r="E56" s="37"/>
      <c r="F56" s="37"/>
      <c r="G56" s="37"/>
      <c r="H56" s="37"/>
      <c r="I56" s="371"/>
      <c r="J56" s="37"/>
      <c r="K56" s="37"/>
    </row>
    <row r="57" spans="1:15" x14ac:dyDescent="0.25">
      <c r="B57" s="38"/>
      <c r="C57" s="38"/>
      <c r="D57" s="37"/>
      <c r="E57" s="37"/>
      <c r="F57" s="37"/>
      <c r="G57" s="37"/>
      <c r="H57" s="371"/>
      <c r="I57" s="371"/>
      <c r="J57" s="37"/>
      <c r="K57" s="37"/>
    </row>
    <row r="58" spans="1:15" s="383" customFormat="1" ht="27.65" customHeight="1" x14ac:dyDescent="0.35">
      <c r="A58" s="382"/>
      <c r="B58" s="306" t="s">
        <v>461</v>
      </c>
      <c r="D58" s="384"/>
      <c r="E58" s="384"/>
      <c r="F58" s="384"/>
      <c r="G58" s="384"/>
      <c r="H58" s="384"/>
      <c r="I58" s="384"/>
      <c r="J58" s="384"/>
      <c r="K58" s="384"/>
      <c r="L58" s="384"/>
      <c r="M58" s="384"/>
    </row>
    <row r="59" spans="1:15" s="404" customFormat="1" ht="19.5" customHeight="1" x14ac:dyDescent="0.35">
      <c r="A59" s="403"/>
      <c r="B59" s="386" t="s">
        <v>462</v>
      </c>
      <c r="D59" s="405"/>
      <c r="E59" s="405"/>
      <c r="F59" s="405"/>
      <c r="G59" s="405"/>
      <c r="H59" s="405"/>
      <c r="I59" s="405"/>
      <c r="J59" s="405"/>
      <c r="K59" s="405"/>
      <c r="L59" s="405"/>
      <c r="M59" s="405"/>
    </row>
    <row r="60" spans="1:15" ht="13" thickBot="1" x14ac:dyDescent="0.3">
      <c r="B60" s="37"/>
      <c r="C60" s="37"/>
      <c r="D60" s="37"/>
      <c r="E60" s="37"/>
      <c r="F60" s="37"/>
      <c r="G60" s="37"/>
      <c r="H60" s="37"/>
      <c r="I60" s="37"/>
      <c r="J60" s="37"/>
      <c r="K60" s="37"/>
      <c r="L60" s="37"/>
      <c r="M60" s="37"/>
    </row>
    <row r="61" spans="1:15" s="366" customFormat="1" ht="34" customHeight="1" x14ac:dyDescent="0.25">
      <c r="B61" s="493" t="s">
        <v>137</v>
      </c>
      <c r="C61" s="494" t="s">
        <v>320</v>
      </c>
      <c r="D61" s="494" t="s">
        <v>321</v>
      </c>
      <c r="E61" s="494" t="s">
        <v>322</v>
      </c>
      <c r="F61" s="494" t="s">
        <v>323</v>
      </c>
      <c r="G61" s="494" t="s">
        <v>10</v>
      </c>
      <c r="H61" s="494" t="s">
        <v>324</v>
      </c>
      <c r="I61" s="494" t="s">
        <v>325</v>
      </c>
      <c r="J61" s="494" t="s">
        <v>326</v>
      </c>
      <c r="K61" s="495" t="s">
        <v>327</v>
      </c>
      <c r="M61" s="37"/>
    </row>
    <row r="62" spans="1:15" ht="37.5" x14ac:dyDescent="0.25">
      <c r="B62" s="806" t="s">
        <v>288</v>
      </c>
      <c r="C62" s="390" t="s">
        <v>148</v>
      </c>
      <c r="D62" s="390" t="s">
        <v>167</v>
      </c>
      <c r="E62" s="390" t="s">
        <v>168</v>
      </c>
      <c r="F62" s="390">
        <v>62</v>
      </c>
      <c r="G62" s="390" t="s">
        <v>25</v>
      </c>
      <c r="H62" s="391"/>
      <c r="I62" s="390">
        <v>0.64119999999999999</v>
      </c>
      <c r="J62" s="390"/>
      <c r="K62" s="496" t="s">
        <v>339</v>
      </c>
      <c r="M62" s="37"/>
    </row>
    <row r="63" spans="1:15" ht="25" x14ac:dyDescent="0.25">
      <c r="B63" s="806"/>
      <c r="C63" s="390" t="s">
        <v>149</v>
      </c>
      <c r="D63" s="390" t="s">
        <v>169</v>
      </c>
      <c r="E63" s="390" t="s">
        <v>170</v>
      </c>
      <c r="F63" s="390">
        <v>997</v>
      </c>
      <c r="G63" s="390" t="s">
        <v>171</v>
      </c>
      <c r="H63" s="391"/>
      <c r="I63" s="390">
        <v>3.9382000000000001</v>
      </c>
      <c r="J63" s="390"/>
      <c r="K63" s="496" t="s">
        <v>328</v>
      </c>
      <c r="M63" s="37"/>
    </row>
    <row r="64" spans="1:15" ht="37.5" x14ac:dyDescent="0.25">
      <c r="B64" s="806"/>
      <c r="C64" s="390" t="s">
        <v>151</v>
      </c>
      <c r="D64" s="390" t="s">
        <v>189</v>
      </c>
      <c r="E64" s="390" t="s">
        <v>747</v>
      </c>
      <c r="F64" s="390">
        <v>565</v>
      </c>
      <c r="G64" s="390" t="s">
        <v>187</v>
      </c>
      <c r="H64" s="391"/>
      <c r="I64" s="390">
        <v>0.22850000000000001</v>
      </c>
      <c r="J64" s="390"/>
      <c r="K64" s="496" t="s">
        <v>339</v>
      </c>
      <c r="M64" s="37"/>
    </row>
    <row r="65" spans="2:13" ht="25" x14ac:dyDescent="0.25">
      <c r="B65" s="806"/>
      <c r="C65" s="390" t="s">
        <v>157</v>
      </c>
      <c r="D65" s="390" t="s">
        <v>172</v>
      </c>
      <c r="E65" s="390" t="s">
        <v>173</v>
      </c>
      <c r="F65" s="390">
        <v>17</v>
      </c>
      <c r="G65" s="390" t="s">
        <v>171</v>
      </c>
      <c r="H65" s="391"/>
      <c r="I65" s="390">
        <v>4.3441000000000001</v>
      </c>
      <c r="J65" s="390"/>
      <c r="K65" s="496" t="s">
        <v>338</v>
      </c>
      <c r="M65" s="37"/>
    </row>
    <row r="66" spans="2:13" ht="25" x14ac:dyDescent="0.25">
      <c r="B66" s="806"/>
      <c r="C66" s="390" t="s">
        <v>157</v>
      </c>
      <c r="D66" s="390" t="s">
        <v>172</v>
      </c>
      <c r="E66" s="390" t="s">
        <v>174</v>
      </c>
      <c r="F66" s="390">
        <v>94</v>
      </c>
      <c r="G66" s="390" t="s">
        <v>171</v>
      </c>
      <c r="H66" s="391"/>
      <c r="I66" s="390">
        <v>24.726299999999998</v>
      </c>
      <c r="J66" s="390"/>
      <c r="K66" s="496" t="s">
        <v>338</v>
      </c>
      <c r="M66" s="37"/>
    </row>
    <row r="67" spans="2:13" ht="25" x14ac:dyDescent="0.25">
      <c r="B67" s="806"/>
      <c r="C67" s="390" t="s">
        <v>157</v>
      </c>
      <c r="D67" s="390" t="s">
        <v>172</v>
      </c>
      <c r="E67" s="390" t="s">
        <v>174</v>
      </c>
      <c r="F67" s="390">
        <v>252</v>
      </c>
      <c r="G67" s="390" t="s">
        <v>171</v>
      </c>
      <c r="H67" s="391"/>
      <c r="I67" s="390">
        <v>66.287599999999998</v>
      </c>
      <c r="J67" s="390"/>
      <c r="K67" s="496" t="s">
        <v>338</v>
      </c>
      <c r="M67" s="37"/>
    </row>
    <row r="68" spans="2:13" ht="25" x14ac:dyDescent="0.25">
      <c r="B68" s="806"/>
      <c r="C68" s="390" t="s">
        <v>157</v>
      </c>
      <c r="D68" s="390" t="s">
        <v>172</v>
      </c>
      <c r="E68" s="390" t="s">
        <v>174</v>
      </c>
      <c r="F68" s="390">
        <v>78</v>
      </c>
      <c r="G68" s="390" t="s">
        <v>171</v>
      </c>
      <c r="H68" s="391"/>
      <c r="I68" s="390">
        <v>20.517600000000002</v>
      </c>
      <c r="J68" s="390"/>
      <c r="K68" s="496" t="s">
        <v>338</v>
      </c>
      <c r="M68" s="37"/>
    </row>
    <row r="69" spans="2:13" ht="25" x14ac:dyDescent="0.25">
      <c r="B69" s="806"/>
      <c r="C69" s="390" t="s">
        <v>157</v>
      </c>
      <c r="D69" s="390" t="s">
        <v>172</v>
      </c>
      <c r="E69" s="390" t="s">
        <v>174</v>
      </c>
      <c r="F69" s="390">
        <v>43</v>
      </c>
      <c r="G69" s="390" t="s">
        <v>171</v>
      </c>
      <c r="H69" s="391"/>
      <c r="I69" s="390">
        <v>11.311</v>
      </c>
      <c r="J69" s="390"/>
      <c r="K69" s="496" t="s">
        <v>338</v>
      </c>
      <c r="M69" s="37"/>
    </row>
    <row r="70" spans="2:13" ht="37.5" x14ac:dyDescent="0.25">
      <c r="B70" s="806"/>
      <c r="C70" s="390" t="s">
        <v>157</v>
      </c>
      <c r="D70" s="390" t="s">
        <v>172</v>
      </c>
      <c r="E70" s="390" t="s">
        <v>269</v>
      </c>
      <c r="F70" s="390">
        <v>6</v>
      </c>
      <c r="G70" s="390" t="s">
        <v>175</v>
      </c>
      <c r="H70" s="391"/>
      <c r="I70" s="390">
        <v>4.3506999999999998</v>
      </c>
      <c r="J70" s="390"/>
      <c r="K70" s="496" t="s">
        <v>338</v>
      </c>
      <c r="M70" s="37"/>
    </row>
    <row r="71" spans="2:13" ht="25" x14ac:dyDescent="0.25">
      <c r="B71" s="806"/>
      <c r="C71" s="390" t="s">
        <v>157</v>
      </c>
      <c r="D71" s="390" t="s">
        <v>172</v>
      </c>
      <c r="E71" s="390" t="s">
        <v>271</v>
      </c>
      <c r="F71" s="390">
        <v>323</v>
      </c>
      <c r="G71" s="390" t="s">
        <v>175</v>
      </c>
      <c r="H71" s="391"/>
      <c r="I71" s="390">
        <v>1123.2608</v>
      </c>
      <c r="J71" s="390"/>
      <c r="K71" s="496" t="s">
        <v>338</v>
      </c>
      <c r="M71" s="37"/>
    </row>
    <row r="72" spans="2:13" ht="37.5" x14ac:dyDescent="0.25">
      <c r="B72" s="806"/>
      <c r="C72" s="390" t="s">
        <v>157</v>
      </c>
      <c r="D72" s="390" t="s">
        <v>172</v>
      </c>
      <c r="E72" s="390" t="s">
        <v>368</v>
      </c>
      <c r="F72" s="390">
        <v>3</v>
      </c>
      <c r="G72" s="390" t="s">
        <v>175</v>
      </c>
      <c r="H72" s="391"/>
      <c r="I72" s="390">
        <v>17.353300000000001</v>
      </c>
      <c r="J72" s="390"/>
      <c r="K72" s="496" t="s">
        <v>338</v>
      </c>
      <c r="M72" s="37"/>
    </row>
    <row r="73" spans="2:13" ht="50" x14ac:dyDescent="0.25">
      <c r="B73" s="806"/>
      <c r="C73" s="390" t="s">
        <v>157</v>
      </c>
      <c r="D73" s="390" t="s">
        <v>176</v>
      </c>
      <c r="E73" s="390" t="s">
        <v>177</v>
      </c>
      <c r="F73" s="390">
        <v>69</v>
      </c>
      <c r="G73" s="390" t="s">
        <v>178</v>
      </c>
      <c r="H73" s="391"/>
      <c r="I73" s="390">
        <v>41.625999999999998</v>
      </c>
      <c r="J73" s="390"/>
      <c r="K73" s="496" t="s">
        <v>330</v>
      </c>
      <c r="M73" s="37"/>
    </row>
    <row r="74" spans="2:13" ht="37.5" x14ac:dyDescent="0.25">
      <c r="B74" s="806"/>
      <c r="C74" s="390" t="s">
        <v>152</v>
      </c>
      <c r="D74" s="390" t="s">
        <v>265</v>
      </c>
      <c r="E74" s="390" t="s">
        <v>362</v>
      </c>
      <c r="F74" s="390">
        <v>12</v>
      </c>
      <c r="G74" s="390" t="s">
        <v>25</v>
      </c>
      <c r="H74" s="391"/>
      <c r="I74" s="390">
        <v>8.8700000000000001E-2</v>
      </c>
      <c r="J74" s="390"/>
      <c r="K74" s="496" t="s">
        <v>330</v>
      </c>
      <c r="M74" s="37"/>
    </row>
    <row r="75" spans="2:13" ht="25" x14ac:dyDescent="0.25">
      <c r="B75" s="806"/>
      <c r="C75" s="390" t="s">
        <v>155</v>
      </c>
      <c r="D75" s="390" t="s">
        <v>179</v>
      </c>
      <c r="E75" s="390" t="s">
        <v>253</v>
      </c>
      <c r="F75" s="390">
        <v>597</v>
      </c>
      <c r="G75" s="390" t="s">
        <v>25</v>
      </c>
      <c r="H75" s="391"/>
      <c r="I75" s="390">
        <v>3.6107</v>
      </c>
      <c r="J75" s="390"/>
      <c r="K75" s="496" t="s">
        <v>339</v>
      </c>
      <c r="M75" s="37"/>
    </row>
    <row r="76" spans="2:13" ht="37.5" x14ac:dyDescent="0.25">
      <c r="B76" s="806"/>
      <c r="C76" s="390" t="s">
        <v>148</v>
      </c>
      <c r="D76" s="390" t="s">
        <v>167</v>
      </c>
      <c r="E76" s="390" t="s">
        <v>267</v>
      </c>
      <c r="F76" s="390">
        <v>149</v>
      </c>
      <c r="G76" s="390" t="s">
        <v>25</v>
      </c>
      <c r="H76" s="391"/>
      <c r="I76" s="390">
        <v>1.5233000000000001</v>
      </c>
      <c r="J76" s="390"/>
      <c r="K76" s="496" t="s">
        <v>339</v>
      </c>
      <c r="M76" s="37"/>
    </row>
    <row r="77" spans="2:13" ht="50" x14ac:dyDescent="0.25">
      <c r="B77" s="806"/>
      <c r="C77" s="390" t="s">
        <v>148</v>
      </c>
      <c r="D77" s="390" t="s">
        <v>180</v>
      </c>
      <c r="E77" s="390" t="s">
        <v>181</v>
      </c>
      <c r="F77" s="390">
        <v>4</v>
      </c>
      <c r="G77" s="390" t="s">
        <v>175</v>
      </c>
      <c r="H77" s="391"/>
      <c r="I77" s="390">
        <v>2.1627000000000001</v>
      </c>
      <c r="J77" s="390"/>
      <c r="K77" s="496" t="s">
        <v>338</v>
      </c>
      <c r="M77" s="37"/>
    </row>
    <row r="78" spans="2:13" ht="25" x14ac:dyDescent="0.25">
      <c r="B78" s="806"/>
      <c r="C78" s="390" t="s">
        <v>148</v>
      </c>
      <c r="D78" s="390" t="s">
        <v>180</v>
      </c>
      <c r="E78" s="390" t="s">
        <v>188</v>
      </c>
      <c r="F78" s="390">
        <v>4</v>
      </c>
      <c r="G78" s="390" t="s">
        <v>175</v>
      </c>
      <c r="H78" s="391"/>
      <c r="I78" s="390">
        <v>10.036099999999999</v>
      </c>
      <c r="J78" s="390"/>
      <c r="K78" s="496" t="s">
        <v>338</v>
      </c>
      <c r="M78" s="37"/>
    </row>
    <row r="79" spans="2:13" ht="37.5" x14ac:dyDescent="0.25">
      <c r="B79" s="806"/>
      <c r="C79" s="390" t="s">
        <v>148</v>
      </c>
      <c r="D79" s="390" t="s">
        <v>182</v>
      </c>
      <c r="E79" s="390" t="s">
        <v>268</v>
      </c>
      <c r="F79" s="390">
        <v>129</v>
      </c>
      <c r="G79" s="390" t="s">
        <v>25</v>
      </c>
      <c r="H79" s="391"/>
      <c r="I79" s="390">
        <v>5.8334000000000001</v>
      </c>
      <c r="J79" s="390"/>
      <c r="K79" s="496" t="s">
        <v>338</v>
      </c>
      <c r="M79" s="37"/>
    </row>
    <row r="80" spans="2:13" ht="25" x14ac:dyDescent="0.25">
      <c r="B80" s="806"/>
      <c r="C80" s="390" t="s">
        <v>147</v>
      </c>
      <c r="D80" s="390" t="s">
        <v>183</v>
      </c>
      <c r="E80" s="390" t="s">
        <v>184</v>
      </c>
      <c r="F80" s="390">
        <v>128</v>
      </c>
      <c r="G80" s="390" t="s">
        <v>25</v>
      </c>
      <c r="H80" s="391"/>
      <c r="I80" s="390">
        <v>7.8746</v>
      </c>
      <c r="J80" s="390"/>
      <c r="K80" s="496" t="s">
        <v>330</v>
      </c>
      <c r="M80" s="37"/>
    </row>
    <row r="81" spans="2:13" ht="37.5" x14ac:dyDescent="0.25">
      <c r="B81" s="806"/>
      <c r="C81" s="390" t="s">
        <v>152</v>
      </c>
      <c r="D81" s="390" t="s">
        <v>185</v>
      </c>
      <c r="E81" s="390" t="s">
        <v>186</v>
      </c>
      <c r="F81" s="390">
        <v>498</v>
      </c>
      <c r="G81" s="390" t="s">
        <v>187</v>
      </c>
      <c r="H81" s="391"/>
      <c r="I81" s="390">
        <v>0.25900000000000001</v>
      </c>
      <c r="J81" s="390"/>
      <c r="K81" s="496" t="s">
        <v>339</v>
      </c>
      <c r="M81" s="37"/>
    </row>
    <row r="82" spans="2:13" s="393" customFormat="1" ht="25" customHeight="1" x14ac:dyDescent="0.25">
      <c r="B82" s="806"/>
      <c r="C82" s="390" t="s">
        <v>152</v>
      </c>
      <c r="D82" s="390" t="s">
        <v>185</v>
      </c>
      <c r="E82" s="390" t="s">
        <v>186</v>
      </c>
      <c r="F82" s="390">
        <v>491</v>
      </c>
      <c r="G82" s="390" t="s">
        <v>187</v>
      </c>
      <c r="H82" s="391"/>
      <c r="I82" s="390">
        <v>0.25530000000000003</v>
      </c>
      <c r="J82" s="390"/>
      <c r="K82" s="496" t="s">
        <v>339</v>
      </c>
      <c r="M82" s="335"/>
    </row>
    <row r="83" spans="2:13" ht="25" x14ac:dyDescent="0.25">
      <c r="B83" s="806"/>
      <c r="C83" s="390" t="s">
        <v>161</v>
      </c>
      <c r="D83" s="390" t="s">
        <v>190</v>
      </c>
      <c r="E83" s="390" t="s">
        <v>193</v>
      </c>
      <c r="F83" s="390">
        <v>1066</v>
      </c>
      <c r="G83" s="390" t="s">
        <v>192</v>
      </c>
      <c r="H83" s="391">
        <v>0.12</v>
      </c>
      <c r="I83" s="390">
        <v>0.72589999999999999</v>
      </c>
      <c r="J83" s="390">
        <v>8.7099999999999997E-2</v>
      </c>
      <c r="K83" s="496" t="s">
        <v>337</v>
      </c>
    </row>
    <row r="84" spans="2:13" ht="25" x14ac:dyDescent="0.25">
      <c r="B84" s="806"/>
      <c r="C84" s="390" t="s">
        <v>161</v>
      </c>
      <c r="D84" s="390" t="s">
        <v>190</v>
      </c>
      <c r="E84" s="390" t="s">
        <v>191</v>
      </c>
      <c r="F84" s="390">
        <v>1028</v>
      </c>
      <c r="G84" s="390" t="s">
        <v>192</v>
      </c>
      <c r="H84" s="391"/>
      <c r="I84" s="390">
        <v>0.27039999999999997</v>
      </c>
      <c r="J84" s="390"/>
      <c r="K84" s="496" t="s">
        <v>337</v>
      </c>
      <c r="M84" s="37"/>
    </row>
    <row r="85" spans="2:13" ht="12" customHeight="1" x14ac:dyDescent="0.25">
      <c r="B85" s="502" t="s">
        <v>344</v>
      </c>
      <c r="C85" s="428"/>
      <c r="D85" s="428"/>
      <c r="E85" s="428"/>
      <c r="F85" s="428"/>
      <c r="G85" s="428"/>
      <c r="H85" s="490"/>
      <c r="I85" s="491">
        <f>SUM(I62:I84)</f>
        <v>1351.2254000000003</v>
      </c>
      <c r="J85" s="492">
        <f>SUM(J62:J84)</f>
        <v>8.7099999999999997E-2</v>
      </c>
      <c r="K85" s="497" t="s">
        <v>90</v>
      </c>
    </row>
    <row r="86" spans="2:13" ht="37.5" x14ac:dyDescent="0.25">
      <c r="B86" s="806" t="s">
        <v>366</v>
      </c>
      <c r="C86" s="390" t="s">
        <v>148</v>
      </c>
      <c r="D86" s="390" t="s">
        <v>167</v>
      </c>
      <c r="E86" s="390" t="s">
        <v>168</v>
      </c>
      <c r="F86" s="390">
        <v>48</v>
      </c>
      <c r="G86" s="390" t="s">
        <v>25</v>
      </c>
      <c r="H86" s="391"/>
      <c r="I86" s="390">
        <v>0.49640000000000001</v>
      </c>
      <c r="J86" s="390"/>
      <c r="K86" s="496" t="s">
        <v>339</v>
      </c>
      <c r="M86" s="37"/>
    </row>
    <row r="87" spans="2:13" ht="25" x14ac:dyDescent="0.25">
      <c r="B87" s="806"/>
      <c r="C87" s="390" t="s">
        <v>149</v>
      </c>
      <c r="D87" s="390" t="s">
        <v>169</v>
      </c>
      <c r="E87" s="390" t="s">
        <v>170</v>
      </c>
      <c r="F87" s="390">
        <v>254</v>
      </c>
      <c r="G87" s="390" t="s">
        <v>171</v>
      </c>
      <c r="H87" s="391"/>
      <c r="I87" s="390">
        <v>1.0033000000000001</v>
      </c>
      <c r="J87" s="390"/>
      <c r="K87" s="496" t="s">
        <v>328</v>
      </c>
      <c r="M87" s="37"/>
    </row>
    <row r="88" spans="2:13" ht="25" x14ac:dyDescent="0.25">
      <c r="B88" s="806"/>
      <c r="C88" s="390" t="s">
        <v>157</v>
      </c>
      <c r="D88" s="390" t="s">
        <v>172</v>
      </c>
      <c r="E88" s="390" t="s">
        <v>173</v>
      </c>
      <c r="F88" s="390">
        <v>25</v>
      </c>
      <c r="G88" s="390" t="s">
        <v>171</v>
      </c>
      <c r="H88" s="391"/>
      <c r="I88" s="390">
        <v>6.3883000000000001</v>
      </c>
      <c r="J88" s="390"/>
      <c r="K88" s="496" t="s">
        <v>338</v>
      </c>
      <c r="M88" s="37"/>
    </row>
    <row r="89" spans="2:13" ht="25" x14ac:dyDescent="0.25">
      <c r="B89" s="806"/>
      <c r="C89" s="390" t="s">
        <v>157</v>
      </c>
      <c r="D89" s="390" t="s">
        <v>172</v>
      </c>
      <c r="E89" s="390" t="s">
        <v>174</v>
      </c>
      <c r="F89" s="390">
        <v>70</v>
      </c>
      <c r="G89" s="390" t="s">
        <v>171</v>
      </c>
      <c r="H89" s="391"/>
      <c r="I89" s="390">
        <v>18.4132</v>
      </c>
      <c r="J89" s="390"/>
      <c r="K89" s="496" t="s">
        <v>338</v>
      </c>
      <c r="M89" s="37"/>
    </row>
    <row r="90" spans="2:13" ht="25" x14ac:dyDescent="0.25">
      <c r="B90" s="806"/>
      <c r="C90" s="390" t="s">
        <v>157</v>
      </c>
      <c r="D90" s="390" t="s">
        <v>172</v>
      </c>
      <c r="E90" s="390" t="s">
        <v>174</v>
      </c>
      <c r="F90" s="390">
        <v>185</v>
      </c>
      <c r="G90" s="390" t="s">
        <v>171</v>
      </c>
      <c r="H90" s="391"/>
      <c r="I90" s="390">
        <v>48.663499999999999</v>
      </c>
      <c r="J90" s="390"/>
      <c r="K90" s="496" t="s">
        <v>338</v>
      </c>
      <c r="M90" s="37"/>
    </row>
    <row r="91" spans="2:13" ht="25" x14ac:dyDescent="0.25">
      <c r="B91" s="806"/>
      <c r="C91" s="390" t="s">
        <v>157</v>
      </c>
      <c r="D91" s="390" t="s">
        <v>172</v>
      </c>
      <c r="E91" s="390" t="s">
        <v>174</v>
      </c>
      <c r="F91" s="390">
        <v>126</v>
      </c>
      <c r="G91" s="390" t="s">
        <v>171</v>
      </c>
      <c r="H91" s="391"/>
      <c r="I91" s="390">
        <v>33.143799999999999</v>
      </c>
      <c r="J91" s="390"/>
      <c r="K91" s="496" t="s">
        <v>338</v>
      </c>
      <c r="M91" s="37"/>
    </row>
    <row r="92" spans="2:13" ht="25" x14ac:dyDescent="0.25">
      <c r="B92" s="806"/>
      <c r="C92" s="390" t="s">
        <v>157</v>
      </c>
      <c r="D92" s="390" t="s">
        <v>172</v>
      </c>
      <c r="E92" s="390" t="s">
        <v>174</v>
      </c>
      <c r="F92" s="390">
        <v>32</v>
      </c>
      <c r="G92" s="390" t="s">
        <v>171</v>
      </c>
      <c r="H92" s="391"/>
      <c r="I92" s="390">
        <v>8.4175000000000004</v>
      </c>
      <c r="J92" s="390"/>
      <c r="K92" s="496" t="s">
        <v>338</v>
      </c>
      <c r="M92" s="37"/>
    </row>
    <row r="93" spans="2:13" ht="37.5" x14ac:dyDescent="0.25">
      <c r="B93" s="806"/>
      <c r="C93" s="390" t="s">
        <v>157</v>
      </c>
      <c r="D93" s="390" t="s">
        <v>172</v>
      </c>
      <c r="E93" s="390" t="s">
        <v>269</v>
      </c>
      <c r="F93" s="390">
        <v>4</v>
      </c>
      <c r="G93" s="390" t="s">
        <v>175</v>
      </c>
      <c r="H93" s="391"/>
      <c r="I93" s="390">
        <v>2.9005000000000001</v>
      </c>
      <c r="J93" s="390"/>
      <c r="K93" s="496" t="s">
        <v>338</v>
      </c>
      <c r="M93" s="37"/>
    </row>
    <row r="94" spans="2:13" ht="37.5" x14ac:dyDescent="0.25">
      <c r="B94" s="806"/>
      <c r="C94" s="390" t="s">
        <v>157</v>
      </c>
      <c r="D94" s="390" t="s">
        <v>172</v>
      </c>
      <c r="E94" s="390" t="s">
        <v>368</v>
      </c>
      <c r="F94" s="390">
        <v>2</v>
      </c>
      <c r="G94" s="390" t="s">
        <v>175</v>
      </c>
      <c r="H94" s="391"/>
      <c r="I94" s="390">
        <v>11.568899999999999</v>
      </c>
      <c r="J94" s="390"/>
      <c r="K94" s="496" t="s">
        <v>338</v>
      </c>
      <c r="M94" s="37"/>
    </row>
    <row r="95" spans="2:13" ht="50" x14ac:dyDescent="0.25">
      <c r="B95" s="806"/>
      <c r="C95" s="390" t="s">
        <v>157</v>
      </c>
      <c r="D95" s="390" t="s">
        <v>176</v>
      </c>
      <c r="E95" s="390" t="s">
        <v>177</v>
      </c>
      <c r="F95" s="390">
        <v>52</v>
      </c>
      <c r="G95" s="390" t="s">
        <v>178</v>
      </c>
      <c r="H95" s="391"/>
      <c r="I95" s="390">
        <v>31.3704</v>
      </c>
      <c r="J95" s="390"/>
      <c r="K95" s="496" t="s">
        <v>330</v>
      </c>
      <c r="M95" s="37"/>
    </row>
    <row r="96" spans="2:13" ht="37.5" x14ac:dyDescent="0.25">
      <c r="B96" s="806"/>
      <c r="C96" s="390" t="s">
        <v>152</v>
      </c>
      <c r="D96" s="390" t="s">
        <v>265</v>
      </c>
      <c r="E96" s="390" t="s">
        <v>266</v>
      </c>
      <c r="F96" s="390">
        <v>12</v>
      </c>
      <c r="G96" s="390" t="s">
        <v>25</v>
      </c>
      <c r="H96" s="391"/>
      <c r="I96" s="390">
        <v>8.8200000000000001E-2</v>
      </c>
      <c r="J96" s="390"/>
      <c r="K96" s="496" t="s">
        <v>330</v>
      </c>
      <c r="M96" s="37"/>
    </row>
    <row r="97" spans="2:13" ht="25" x14ac:dyDescent="0.25">
      <c r="B97" s="806"/>
      <c r="C97" s="390" t="s">
        <v>155</v>
      </c>
      <c r="D97" s="390" t="s">
        <v>179</v>
      </c>
      <c r="E97" s="390" t="s">
        <v>369</v>
      </c>
      <c r="F97" s="390">
        <v>441</v>
      </c>
      <c r="G97" s="390" t="s">
        <v>25</v>
      </c>
      <c r="H97" s="391"/>
      <c r="I97" s="390">
        <v>0.44450000000000001</v>
      </c>
      <c r="J97" s="390"/>
      <c r="K97" s="496" t="s">
        <v>339</v>
      </c>
      <c r="M97" s="37"/>
    </row>
    <row r="98" spans="2:13" ht="37.5" x14ac:dyDescent="0.25">
      <c r="B98" s="806"/>
      <c r="C98" s="390" t="s">
        <v>148</v>
      </c>
      <c r="D98" s="390" t="s">
        <v>167</v>
      </c>
      <c r="E98" s="390" t="s">
        <v>267</v>
      </c>
      <c r="F98" s="390">
        <v>147</v>
      </c>
      <c r="G98" s="390" t="s">
        <v>25</v>
      </c>
      <c r="H98" s="391"/>
      <c r="I98" s="390">
        <v>1.5027999999999999</v>
      </c>
      <c r="J98" s="390"/>
      <c r="K98" s="496" t="s">
        <v>339</v>
      </c>
      <c r="M98" s="37"/>
    </row>
    <row r="99" spans="2:13" ht="50" x14ac:dyDescent="0.25">
      <c r="B99" s="806"/>
      <c r="C99" s="390" t="s">
        <v>148</v>
      </c>
      <c r="D99" s="390" t="s">
        <v>180</v>
      </c>
      <c r="E99" s="390" t="s">
        <v>181</v>
      </c>
      <c r="F99" s="390">
        <v>4</v>
      </c>
      <c r="G99" s="390" t="s">
        <v>175</v>
      </c>
      <c r="H99" s="391"/>
      <c r="I99" s="390">
        <v>2.1627000000000001</v>
      </c>
      <c r="J99" s="390"/>
      <c r="K99" s="496" t="s">
        <v>338</v>
      </c>
      <c r="M99" s="37"/>
    </row>
    <row r="100" spans="2:13" ht="37.5" x14ac:dyDescent="0.25">
      <c r="B100" s="806"/>
      <c r="C100" s="390" t="s">
        <v>148</v>
      </c>
      <c r="D100" s="390" t="s">
        <v>182</v>
      </c>
      <c r="E100" s="390" t="s">
        <v>268</v>
      </c>
      <c r="F100" s="390">
        <v>126</v>
      </c>
      <c r="G100" s="390" t="s">
        <v>25</v>
      </c>
      <c r="H100" s="391"/>
      <c r="I100" s="390">
        <v>5.6977000000000002</v>
      </c>
      <c r="J100" s="390"/>
      <c r="K100" s="496" t="s">
        <v>338</v>
      </c>
      <c r="M100" s="37"/>
    </row>
    <row r="101" spans="2:13" ht="25" x14ac:dyDescent="0.25">
      <c r="B101" s="806"/>
      <c r="C101" s="390" t="s">
        <v>147</v>
      </c>
      <c r="D101" s="390" t="s">
        <v>183</v>
      </c>
      <c r="E101" s="390" t="s">
        <v>184</v>
      </c>
      <c r="F101" s="390">
        <v>125</v>
      </c>
      <c r="G101" s="390" t="s">
        <v>25</v>
      </c>
      <c r="H101" s="391"/>
      <c r="I101" s="390">
        <v>7.6901000000000002</v>
      </c>
      <c r="J101" s="390"/>
      <c r="K101" s="496" t="s">
        <v>330</v>
      </c>
      <c r="M101" s="37"/>
    </row>
    <row r="102" spans="2:13" ht="37.5" x14ac:dyDescent="0.25">
      <c r="B102" s="806"/>
      <c r="C102" s="390" t="s">
        <v>152</v>
      </c>
      <c r="D102" s="390" t="s">
        <v>185</v>
      </c>
      <c r="E102" s="390" t="s">
        <v>186</v>
      </c>
      <c r="F102" s="390">
        <v>342</v>
      </c>
      <c r="G102" s="390" t="s">
        <v>187</v>
      </c>
      <c r="H102" s="391"/>
      <c r="I102" s="390">
        <v>0.17780000000000001</v>
      </c>
      <c r="J102" s="390"/>
      <c r="K102" s="496" t="s">
        <v>339</v>
      </c>
      <c r="M102" s="37"/>
    </row>
    <row r="103" spans="2:13" ht="37.5" x14ac:dyDescent="0.25">
      <c r="B103" s="806"/>
      <c r="C103" s="390" t="s">
        <v>152</v>
      </c>
      <c r="D103" s="390" t="s">
        <v>185</v>
      </c>
      <c r="E103" s="390" t="s">
        <v>186</v>
      </c>
      <c r="F103" s="390">
        <v>410</v>
      </c>
      <c r="G103" s="390" t="s">
        <v>187</v>
      </c>
      <c r="H103" s="391"/>
      <c r="I103" s="390">
        <v>0.2132</v>
      </c>
      <c r="J103" s="390"/>
      <c r="K103" s="496" t="s">
        <v>339</v>
      </c>
      <c r="M103" s="37"/>
    </row>
    <row r="104" spans="2:13" ht="25" x14ac:dyDescent="0.25">
      <c r="B104" s="806"/>
      <c r="C104" s="390" t="s">
        <v>157</v>
      </c>
      <c r="D104" s="390" t="s">
        <v>172</v>
      </c>
      <c r="E104" s="390" t="s">
        <v>271</v>
      </c>
      <c r="F104" s="390">
        <v>201</v>
      </c>
      <c r="G104" s="390" t="s">
        <v>175</v>
      </c>
      <c r="H104" s="391"/>
      <c r="I104" s="390">
        <v>698.99509999999998</v>
      </c>
      <c r="J104" s="390"/>
      <c r="K104" s="496" t="s">
        <v>338</v>
      </c>
      <c r="M104" s="37"/>
    </row>
    <row r="105" spans="2:13" s="393" customFormat="1" ht="25" customHeight="1" x14ac:dyDescent="0.25">
      <c r="B105" s="806"/>
      <c r="C105" s="390" t="s">
        <v>148</v>
      </c>
      <c r="D105" s="390" t="s">
        <v>180</v>
      </c>
      <c r="E105" s="390" t="s">
        <v>188</v>
      </c>
      <c r="F105" s="390">
        <v>4</v>
      </c>
      <c r="G105" s="390" t="s">
        <v>175</v>
      </c>
      <c r="H105" s="391"/>
      <c r="I105" s="390">
        <v>10.036099999999999</v>
      </c>
      <c r="J105" s="390"/>
      <c r="K105" s="496" t="s">
        <v>338</v>
      </c>
      <c r="M105" s="335"/>
    </row>
    <row r="106" spans="2:13" ht="39.65" customHeight="1" x14ac:dyDescent="0.25">
      <c r="B106" s="806"/>
      <c r="C106" s="390" t="s">
        <v>151</v>
      </c>
      <c r="D106" s="390" t="s">
        <v>189</v>
      </c>
      <c r="E106" s="390" t="s">
        <v>370</v>
      </c>
      <c r="F106" s="390">
        <v>253</v>
      </c>
      <c r="G106" s="390" t="s">
        <v>187</v>
      </c>
      <c r="H106" s="391"/>
      <c r="I106" s="390">
        <v>0.1467</v>
      </c>
      <c r="J106" s="390"/>
      <c r="K106" s="496" t="s">
        <v>339</v>
      </c>
    </row>
    <row r="107" spans="2:13" ht="25" x14ac:dyDescent="0.25">
      <c r="B107" s="806"/>
      <c r="C107" s="390" t="s">
        <v>161</v>
      </c>
      <c r="D107" s="390" t="s">
        <v>190</v>
      </c>
      <c r="E107" s="390" t="s">
        <v>191</v>
      </c>
      <c r="F107" s="390">
        <v>1117</v>
      </c>
      <c r="G107" s="390" t="s">
        <v>192</v>
      </c>
      <c r="H107" s="391"/>
      <c r="I107" s="390">
        <v>0.29380000000000001</v>
      </c>
      <c r="J107" s="390"/>
      <c r="K107" s="496" t="s">
        <v>337</v>
      </c>
    </row>
    <row r="108" spans="2:13" ht="25" x14ac:dyDescent="0.25">
      <c r="B108" s="806"/>
      <c r="C108" s="390" t="s">
        <v>161</v>
      </c>
      <c r="D108" s="390" t="s">
        <v>190</v>
      </c>
      <c r="E108" s="390" t="s">
        <v>193</v>
      </c>
      <c r="F108" s="390">
        <v>1158</v>
      </c>
      <c r="G108" s="390" t="s">
        <v>192</v>
      </c>
      <c r="H108" s="391">
        <v>0.12</v>
      </c>
      <c r="I108" s="390">
        <v>0.78859999999999997</v>
      </c>
      <c r="J108" s="390">
        <v>9.4600000000000004E-2</v>
      </c>
      <c r="K108" s="496" t="s">
        <v>337</v>
      </c>
    </row>
    <row r="109" spans="2:13" ht="12" customHeight="1" x14ac:dyDescent="0.25">
      <c r="B109" s="502" t="s">
        <v>344</v>
      </c>
      <c r="C109" s="428"/>
      <c r="D109" s="428"/>
      <c r="E109" s="428"/>
      <c r="F109" s="428"/>
      <c r="G109" s="428"/>
      <c r="H109" s="490"/>
      <c r="I109" s="491">
        <f>SUM(I86:I108)</f>
        <v>890.60310000000004</v>
      </c>
      <c r="J109" s="492">
        <f>SUM(J86:J108)</f>
        <v>9.4600000000000004E-2</v>
      </c>
      <c r="K109" s="497" t="s">
        <v>90</v>
      </c>
    </row>
    <row r="110" spans="2:13" ht="37.5" x14ac:dyDescent="0.25">
      <c r="B110" s="811" t="s">
        <v>367</v>
      </c>
      <c r="C110" s="390" t="s">
        <v>148</v>
      </c>
      <c r="D110" s="390" t="s">
        <v>167</v>
      </c>
      <c r="E110" s="390" t="s">
        <v>168</v>
      </c>
      <c r="F110" s="390">
        <v>73</v>
      </c>
      <c r="G110" s="390" t="s">
        <v>25</v>
      </c>
      <c r="H110" s="391"/>
      <c r="I110" s="390">
        <v>0.75490000000000002</v>
      </c>
      <c r="J110" s="390"/>
      <c r="K110" s="496" t="s">
        <v>339</v>
      </c>
      <c r="M110" s="37"/>
    </row>
    <row r="111" spans="2:13" ht="25" x14ac:dyDescent="0.25">
      <c r="B111" s="811"/>
      <c r="C111" s="390" t="s">
        <v>149</v>
      </c>
      <c r="D111" s="390" t="s">
        <v>169</v>
      </c>
      <c r="E111" s="390" t="s">
        <v>170</v>
      </c>
      <c r="F111" s="390">
        <v>1744</v>
      </c>
      <c r="G111" s="390" t="s">
        <v>171</v>
      </c>
      <c r="H111" s="391"/>
      <c r="I111" s="390">
        <v>6.8888999999999996</v>
      </c>
      <c r="J111" s="390"/>
      <c r="K111" s="496" t="s">
        <v>328</v>
      </c>
      <c r="M111" s="37"/>
    </row>
    <row r="112" spans="2:13" ht="37.5" x14ac:dyDescent="0.25">
      <c r="B112" s="811"/>
      <c r="C112" s="390" t="s">
        <v>151</v>
      </c>
      <c r="D112" s="390" t="s">
        <v>189</v>
      </c>
      <c r="E112" s="390" t="s">
        <v>370</v>
      </c>
      <c r="F112" s="390">
        <v>905</v>
      </c>
      <c r="G112" s="390" t="s">
        <v>187</v>
      </c>
      <c r="H112" s="391"/>
      <c r="I112" s="390">
        <v>0.52490000000000003</v>
      </c>
      <c r="J112" s="390"/>
      <c r="K112" s="496" t="s">
        <v>339</v>
      </c>
      <c r="M112" s="37"/>
    </row>
    <row r="113" spans="2:13" ht="25" x14ac:dyDescent="0.25">
      <c r="B113" s="811"/>
      <c r="C113" s="390" t="s">
        <v>157</v>
      </c>
      <c r="D113" s="390" t="s">
        <v>172</v>
      </c>
      <c r="E113" s="390" t="s">
        <v>173</v>
      </c>
      <c r="F113" s="390">
        <v>19</v>
      </c>
      <c r="G113" s="390" t="s">
        <v>171</v>
      </c>
      <c r="H113" s="391"/>
      <c r="I113" s="390">
        <v>4.8551000000000002</v>
      </c>
      <c r="J113" s="390"/>
      <c r="K113" s="496" t="s">
        <v>338</v>
      </c>
      <c r="M113" s="37"/>
    </row>
    <row r="114" spans="2:13" ht="25" x14ac:dyDescent="0.25">
      <c r="B114" s="811"/>
      <c r="C114" s="390" t="s">
        <v>157</v>
      </c>
      <c r="D114" s="390" t="s">
        <v>172</v>
      </c>
      <c r="E114" s="390" t="s">
        <v>174</v>
      </c>
      <c r="F114" s="390">
        <v>76</v>
      </c>
      <c r="G114" s="390" t="s">
        <v>171</v>
      </c>
      <c r="H114" s="391"/>
      <c r="I114" s="390">
        <v>19.991499999999998</v>
      </c>
      <c r="J114" s="390"/>
      <c r="K114" s="496" t="s">
        <v>338</v>
      </c>
      <c r="M114" s="37"/>
    </row>
    <row r="115" spans="2:13" ht="25" x14ac:dyDescent="0.25">
      <c r="B115" s="811"/>
      <c r="C115" s="390" t="s">
        <v>157</v>
      </c>
      <c r="D115" s="390" t="s">
        <v>172</v>
      </c>
      <c r="E115" s="390" t="s">
        <v>174</v>
      </c>
      <c r="F115" s="390">
        <v>220</v>
      </c>
      <c r="G115" s="390" t="s">
        <v>171</v>
      </c>
      <c r="H115" s="391"/>
      <c r="I115" s="390">
        <v>57.870199999999997</v>
      </c>
      <c r="J115" s="390"/>
      <c r="K115" s="496" t="s">
        <v>338</v>
      </c>
      <c r="M115" s="37"/>
    </row>
    <row r="116" spans="2:13" ht="25" x14ac:dyDescent="0.25">
      <c r="B116" s="811"/>
      <c r="C116" s="390" t="s">
        <v>157</v>
      </c>
      <c r="D116" s="390" t="s">
        <v>172</v>
      </c>
      <c r="E116" s="390" t="s">
        <v>174</v>
      </c>
      <c r="F116" s="390">
        <v>184</v>
      </c>
      <c r="G116" s="390" t="s">
        <v>171</v>
      </c>
      <c r="H116" s="391"/>
      <c r="I116" s="390">
        <v>48.400500000000001</v>
      </c>
      <c r="J116" s="390"/>
      <c r="K116" s="496" t="s">
        <v>338</v>
      </c>
      <c r="M116" s="37"/>
    </row>
    <row r="117" spans="2:13" ht="25" x14ac:dyDescent="0.25">
      <c r="B117" s="811"/>
      <c r="C117" s="390" t="s">
        <v>157</v>
      </c>
      <c r="D117" s="390" t="s">
        <v>172</v>
      </c>
      <c r="E117" s="390" t="s">
        <v>174</v>
      </c>
      <c r="F117" s="390">
        <v>46</v>
      </c>
      <c r="G117" s="390" t="s">
        <v>171</v>
      </c>
      <c r="H117" s="391"/>
      <c r="I117" s="390">
        <v>12.100099999999999</v>
      </c>
      <c r="J117" s="390"/>
      <c r="K117" s="496" t="s">
        <v>338</v>
      </c>
      <c r="M117" s="37"/>
    </row>
    <row r="118" spans="2:13" ht="37.5" x14ac:dyDescent="0.25">
      <c r="B118" s="811"/>
      <c r="C118" s="390" t="s">
        <v>157</v>
      </c>
      <c r="D118" s="390" t="s">
        <v>172</v>
      </c>
      <c r="E118" s="390" t="s">
        <v>269</v>
      </c>
      <c r="F118" s="390">
        <v>6</v>
      </c>
      <c r="G118" s="390" t="s">
        <v>175</v>
      </c>
      <c r="H118" s="391"/>
      <c r="I118" s="390">
        <v>4.3506999999999998</v>
      </c>
      <c r="J118" s="390"/>
      <c r="K118" s="496" t="s">
        <v>338</v>
      </c>
      <c r="M118" s="37"/>
    </row>
    <row r="119" spans="2:13" ht="25" x14ac:dyDescent="0.25">
      <c r="B119" s="811"/>
      <c r="C119" s="390" t="s">
        <v>157</v>
      </c>
      <c r="D119" s="390" t="s">
        <v>172</v>
      </c>
      <c r="E119" s="390" t="s">
        <v>271</v>
      </c>
      <c r="F119" s="390">
        <v>352</v>
      </c>
      <c r="G119" s="390" t="s">
        <v>175</v>
      </c>
      <c r="H119" s="391"/>
      <c r="I119" s="390">
        <v>1224.1107999999999</v>
      </c>
      <c r="J119" s="390"/>
      <c r="K119" s="496" t="s">
        <v>338</v>
      </c>
      <c r="M119" s="37"/>
    </row>
    <row r="120" spans="2:13" ht="37.5" x14ac:dyDescent="0.25">
      <c r="B120" s="811"/>
      <c r="C120" s="390" t="s">
        <v>157</v>
      </c>
      <c r="D120" s="390" t="s">
        <v>172</v>
      </c>
      <c r="E120" s="390" t="s">
        <v>368</v>
      </c>
      <c r="F120" s="390">
        <v>3</v>
      </c>
      <c r="G120" s="390" t="s">
        <v>175</v>
      </c>
      <c r="H120" s="391"/>
      <c r="I120" s="390">
        <v>17.353300000000001</v>
      </c>
      <c r="J120" s="390"/>
      <c r="K120" s="496" t="s">
        <v>338</v>
      </c>
      <c r="M120" s="37"/>
    </row>
    <row r="121" spans="2:13" ht="50" x14ac:dyDescent="0.25">
      <c r="B121" s="811"/>
      <c r="C121" s="390" t="s">
        <v>157</v>
      </c>
      <c r="D121" s="390" t="s">
        <v>176</v>
      </c>
      <c r="E121" s="390" t="s">
        <v>177</v>
      </c>
      <c r="F121" s="390">
        <v>52</v>
      </c>
      <c r="G121" s="390" t="s">
        <v>178</v>
      </c>
      <c r="H121" s="391"/>
      <c r="I121" s="390">
        <v>31.3704</v>
      </c>
      <c r="J121" s="390"/>
      <c r="K121" s="496" t="s">
        <v>330</v>
      </c>
      <c r="M121" s="37"/>
    </row>
    <row r="122" spans="2:13" ht="25" x14ac:dyDescent="0.25">
      <c r="B122" s="811"/>
      <c r="C122" s="390" t="s">
        <v>155</v>
      </c>
      <c r="D122" s="390" t="s">
        <v>179</v>
      </c>
      <c r="E122" s="390" t="s">
        <v>253</v>
      </c>
      <c r="F122" s="390">
        <v>503</v>
      </c>
      <c r="G122" s="390" t="s">
        <v>25</v>
      </c>
      <c r="H122" s="391"/>
      <c r="I122" s="390">
        <v>3.0421</v>
      </c>
      <c r="J122" s="390"/>
      <c r="K122" s="496" t="s">
        <v>339</v>
      </c>
      <c r="M122" s="37"/>
    </row>
    <row r="123" spans="2:13" ht="37.5" x14ac:dyDescent="0.25">
      <c r="B123" s="811"/>
      <c r="C123" s="390" t="s">
        <v>148</v>
      </c>
      <c r="D123" s="390" t="s">
        <v>167</v>
      </c>
      <c r="E123" s="390" t="s">
        <v>267</v>
      </c>
      <c r="F123" s="390">
        <v>168</v>
      </c>
      <c r="G123" s="390" t="s">
        <v>25</v>
      </c>
      <c r="H123" s="391"/>
      <c r="I123" s="390">
        <v>1.7175</v>
      </c>
      <c r="J123" s="390"/>
      <c r="K123" s="496" t="s">
        <v>339</v>
      </c>
      <c r="M123" s="37"/>
    </row>
    <row r="124" spans="2:13" ht="50" x14ac:dyDescent="0.25">
      <c r="B124" s="811"/>
      <c r="C124" s="390" t="s">
        <v>148</v>
      </c>
      <c r="D124" s="390" t="s">
        <v>180</v>
      </c>
      <c r="E124" s="390" t="s">
        <v>181</v>
      </c>
      <c r="F124" s="390">
        <v>4</v>
      </c>
      <c r="G124" s="390" t="s">
        <v>175</v>
      </c>
      <c r="H124" s="391"/>
      <c r="I124" s="390">
        <v>2.1627000000000001</v>
      </c>
      <c r="J124" s="390"/>
      <c r="K124" s="496" t="s">
        <v>338</v>
      </c>
      <c r="M124" s="37"/>
    </row>
    <row r="125" spans="2:13" ht="25" x14ac:dyDescent="0.25">
      <c r="B125" s="811"/>
      <c r="C125" s="390" t="s">
        <v>148</v>
      </c>
      <c r="D125" s="390" t="s">
        <v>180</v>
      </c>
      <c r="E125" s="390" t="s">
        <v>188</v>
      </c>
      <c r="F125" s="390">
        <v>4</v>
      </c>
      <c r="G125" s="390" t="s">
        <v>175</v>
      </c>
      <c r="H125" s="391"/>
      <c r="I125" s="390">
        <v>10.036099999999999</v>
      </c>
      <c r="J125" s="390"/>
      <c r="K125" s="496" t="s">
        <v>338</v>
      </c>
      <c r="M125" s="37"/>
    </row>
    <row r="126" spans="2:13" ht="37.5" x14ac:dyDescent="0.25">
      <c r="B126" s="811"/>
      <c r="C126" s="390" t="s">
        <v>148</v>
      </c>
      <c r="D126" s="390" t="s">
        <v>182</v>
      </c>
      <c r="E126" s="390" t="s">
        <v>268</v>
      </c>
      <c r="F126" s="390">
        <v>144</v>
      </c>
      <c r="G126" s="390" t="s">
        <v>25</v>
      </c>
      <c r="H126" s="391"/>
      <c r="I126" s="390">
        <v>6.5117000000000003</v>
      </c>
      <c r="J126" s="390"/>
      <c r="K126" s="496" t="s">
        <v>338</v>
      </c>
      <c r="M126" s="37"/>
    </row>
    <row r="127" spans="2:13" ht="25" x14ac:dyDescent="0.25">
      <c r="B127" s="811"/>
      <c r="C127" s="390" t="s">
        <v>147</v>
      </c>
      <c r="D127" s="390" t="s">
        <v>183</v>
      </c>
      <c r="E127" s="390" t="s">
        <v>184</v>
      </c>
      <c r="F127" s="390">
        <v>144</v>
      </c>
      <c r="G127" s="390" t="s">
        <v>25</v>
      </c>
      <c r="H127" s="391"/>
      <c r="I127" s="390">
        <v>8.8589000000000002</v>
      </c>
      <c r="J127" s="390"/>
      <c r="K127" s="496" t="s">
        <v>330</v>
      </c>
      <c r="M127" s="37"/>
    </row>
    <row r="128" spans="2:13" ht="37.5" x14ac:dyDescent="0.25">
      <c r="B128" s="811"/>
      <c r="C128" s="390" t="s">
        <v>152</v>
      </c>
      <c r="D128" s="390" t="s">
        <v>185</v>
      </c>
      <c r="E128" s="390" t="s">
        <v>186</v>
      </c>
      <c r="F128" s="390">
        <v>465</v>
      </c>
      <c r="G128" s="390" t="s">
        <v>187</v>
      </c>
      <c r="H128" s="391"/>
      <c r="I128" s="390">
        <v>0.24179999999999999</v>
      </c>
      <c r="J128" s="390"/>
      <c r="K128" s="496" t="s">
        <v>339</v>
      </c>
      <c r="M128" s="37"/>
    </row>
    <row r="129" spans="2:13" s="393" customFormat="1" ht="25" customHeight="1" x14ac:dyDescent="0.25">
      <c r="B129" s="811"/>
      <c r="C129" s="390" t="s">
        <v>152</v>
      </c>
      <c r="D129" s="390" t="s">
        <v>185</v>
      </c>
      <c r="E129" s="390" t="s">
        <v>186</v>
      </c>
      <c r="F129" s="390">
        <v>550</v>
      </c>
      <c r="G129" s="390" t="s">
        <v>187</v>
      </c>
      <c r="H129" s="391"/>
      <c r="I129" s="390">
        <v>0.28599999999999998</v>
      </c>
      <c r="J129" s="390"/>
      <c r="K129" s="496" t="s">
        <v>339</v>
      </c>
      <c r="M129" s="335"/>
    </row>
    <row r="130" spans="2:13" ht="39.65" customHeight="1" x14ac:dyDescent="0.25">
      <c r="B130" s="811"/>
      <c r="C130" s="390" t="s">
        <v>161</v>
      </c>
      <c r="D130" s="390" t="s">
        <v>190</v>
      </c>
      <c r="E130" s="390" t="s">
        <v>193</v>
      </c>
      <c r="F130" s="390">
        <v>1942</v>
      </c>
      <c r="G130" s="390" t="s">
        <v>192</v>
      </c>
      <c r="H130" s="391">
        <v>0.12</v>
      </c>
      <c r="I130" s="390">
        <v>1.3225</v>
      </c>
      <c r="J130" s="390">
        <v>0.15870000000000001</v>
      </c>
      <c r="K130" s="496" t="s">
        <v>337</v>
      </c>
    </row>
    <row r="131" spans="2:13" ht="25" x14ac:dyDescent="0.25">
      <c r="B131" s="811"/>
      <c r="C131" s="390" t="s">
        <v>161</v>
      </c>
      <c r="D131" s="390" t="s">
        <v>190</v>
      </c>
      <c r="E131" s="390" t="s">
        <v>191</v>
      </c>
      <c r="F131" s="390">
        <v>1873</v>
      </c>
      <c r="G131" s="390" t="s">
        <v>192</v>
      </c>
      <c r="H131" s="391"/>
      <c r="I131" s="390">
        <v>0.49259999999999998</v>
      </c>
      <c r="J131" s="390"/>
      <c r="K131" s="496" t="s">
        <v>337</v>
      </c>
    </row>
    <row r="132" spans="2:13" ht="12" customHeight="1" x14ac:dyDescent="0.25">
      <c r="B132" s="502" t="s">
        <v>344</v>
      </c>
      <c r="C132" s="399"/>
      <c r="D132" s="399"/>
      <c r="E132" s="428"/>
      <c r="F132" s="428"/>
      <c r="G132" s="428"/>
      <c r="H132" s="490"/>
      <c r="I132" s="491">
        <f>SUM(I110:I131)</f>
        <v>1463.2431999999999</v>
      </c>
      <c r="J132" s="492">
        <f>SUM(J110:J131)</f>
        <v>0.15870000000000001</v>
      </c>
      <c r="K132" s="497" t="s">
        <v>90</v>
      </c>
    </row>
    <row r="133" spans="2:13" ht="37.5" x14ac:dyDescent="0.25">
      <c r="B133" s="806" t="s">
        <v>289</v>
      </c>
      <c r="C133" s="390" t="s">
        <v>148</v>
      </c>
      <c r="D133" s="390" t="s">
        <v>167</v>
      </c>
      <c r="E133" s="390" t="s">
        <v>168</v>
      </c>
      <c r="F133" s="390">
        <v>89</v>
      </c>
      <c r="G133" s="390" t="s">
        <v>25</v>
      </c>
      <c r="H133" s="391"/>
      <c r="I133" s="390">
        <v>0.9204</v>
      </c>
      <c r="J133" s="390"/>
      <c r="K133" s="496" t="s">
        <v>339</v>
      </c>
      <c r="M133" s="37"/>
    </row>
    <row r="134" spans="2:13" ht="25" x14ac:dyDescent="0.25">
      <c r="B134" s="806"/>
      <c r="C134" s="390" t="s">
        <v>149</v>
      </c>
      <c r="D134" s="390" t="s">
        <v>169</v>
      </c>
      <c r="E134" s="390" t="s">
        <v>170</v>
      </c>
      <c r="F134" s="390">
        <v>1134</v>
      </c>
      <c r="G134" s="390" t="s">
        <v>171</v>
      </c>
      <c r="H134" s="391"/>
      <c r="I134" s="390">
        <v>4.4794</v>
      </c>
      <c r="J134" s="390"/>
      <c r="K134" s="496" t="s">
        <v>328</v>
      </c>
      <c r="M134" s="37"/>
    </row>
    <row r="135" spans="2:13" ht="37.5" x14ac:dyDescent="0.25">
      <c r="B135" s="806"/>
      <c r="C135" s="390" t="s">
        <v>151</v>
      </c>
      <c r="D135" s="390" t="s">
        <v>189</v>
      </c>
      <c r="E135" s="390" t="s">
        <v>370</v>
      </c>
      <c r="F135" s="390">
        <v>687</v>
      </c>
      <c r="G135" s="390" t="s">
        <v>187</v>
      </c>
      <c r="H135" s="391"/>
      <c r="I135" s="390">
        <v>0.39850000000000002</v>
      </c>
      <c r="J135" s="390"/>
      <c r="K135" s="496" t="s">
        <v>339</v>
      </c>
      <c r="M135" s="37"/>
    </row>
    <row r="136" spans="2:13" ht="25" x14ac:dyDescent="0.25">
      <c r="B136" s="806"/>
      <c r="C136" s="390" t="s">
        <v>157</v>
      </c>
      <c r="D136" s="390" t="s">
        <v>172</v>
      </c>
      <c r="E136" s="390" t="s">
        <v>173</v>
      </c>
      <c r="F136" s="390">
        <v>20</v>
      </c>
      <c r="G136" s="390" t="s">
        <v>171</v>
      </c>
      <c r="H136" s="391"/>
      <c r="I136" s="390">
        <v>5.1106999999999996</v>
      </c>
      <c r="J136" s="390"/>
      <c r="K136" s="496" t="s">
        <v>338</v>
      </c>
      <c r="M136" s="37"/>
    </row>
    <row r="137" spans="2:13" ht="25" x14ac:dyDescent="0.25">
      <c r="B137" s="806"/>
      <c r="C137" s="390" t="s">
        <v>157</v>
      </c>
      <c r="D137" s="390" t="s">
        <v>172</v>
      </c>
      <c r="E137" s="390" t="s">
        <v>174</v>
      </c>
      <c r="F137" s="390">
        <v>137</v>
      </c>
      <c r="G137" s="390" t="s">
        <v>171</v>
      </c>
      <c r="H137" s="391"/>
      <c r="I137" s="390">
        <v>36.037300000000002</v>
      </c>
      <c r="J137" s="390"/>
      <c r="K137" s="496" t="s">
        <v>338</v>
      </c>
      <c r="M137" s="37"/>
    </row>
    <row r="138" spans="2:13" ht="25" x14ac:dyDescent="0.25">
      <c r="B138" s="806"/>
      <c r="C138" s="390" t="s">
        <v>157</v>
      </c>
      <c r="D138" s="390" t="s">
        <v>172</v>
      </c>
      <c r="E138" s="390" t="s">
        <v>174</v>
      </c>
      <c r="F138" s="390">
        <v>281</v>
      </c>
      <c r="G138" s="390" t="s">
        <v>171</v>
      </c>
      <c r="H138" s="391"/>
      <c r="I138" s="390">
        <v>73.915999999999997</v>
      </c>
      <c r="J138" s="390"/>
      <c r="K138" s="496" t="s">
        <v>338</v>
      </c>
      <c r="M138" s="37"/>
    </row>
    <row r="139" spans="2:13" ht="25" x14ac:dyDescent="0.25">
      <c r="B139" s="806"/>
      <c r="C139" s="390" t="s">
        <v>157</v>
      </c>
      <c r="D139" s="390" t="s">
        <v>172</v>
      </c>
      <c r="E139" s="390" t="s">
        <v>174</v>
      </c>
      <c r="F139" s="390">
        <v>278</v>
      </c>
      <c r="G139" s="390" t="s">
        <v>171</v>
      </c>
      <c r="H139" s="391"/>
      <c r="I139" s="390">
        <v>73.126800000000003</v>
      </c>
      <c r="J139" s="390"/>
      <c r="K139" s="496" t="s">
        <v>338</v>
      </c>
      <c r="M139" s="37"/>
    </row>
    <row r="140" spans="2:13" ht="25" x14ac:dyDescent="0.25">
      <c r="B140" s="806"/>
      <c r="C140" s="390" t="s">
        <v>157</v>
      </c>
      <c r="D140" s="390" t="s">
        <v>172</v>
      </c>
      <c r="E140" s="390" t="s">
        <v>174</v>
      </c>
      <c r="F140" s="390">
        <v>76</v>
      </c>
      <c r="G140" s="390" t="s">
        <v>171</v>
      </c>
      <c r="H140" s="391"/>
      <c r="I140" s="390">
        <v>19.991499999999998</v>
      </c>
      <c r="J140" s="390"/>
      <c r="K140" s="496" t="s">
        <v>338</v>
      </c>
      <c r="M140" s="37"/>
    </row>
    <row r="141" spans="2:13" ht="37.5" x14ac:dyDescent="0.25">
      <c r="B141" s="806"/>
      <c r="C141" s="390" t="s">
        <v>157</v>
      </c>
      <c r="D141" s="390" t="s">
        <v>172</v>
      </c>
      <c r="E141" s="390" t="s">
        <v>269</v>
      </c>
      <c r="F141" s="390">
        <v>10</v>
      </c>
      <c r="G141" s="390" t="s">
        <v>175</v>
      </c>
      <c r="H141" s="391"/>
      <c r="I141" s="390">
        <v>7.2511999999999999</v>
      </c>
      <c r="J141" s="390"/>
      <c r="K141" s="496" t="s">
        <v>338</v>
      </c>
      <c r="M141" s="37"/>
    </row>
    <row r="142" spans="2:13" ht="25" x14ac:dyDescent="0.25">
      <c r="B142" s="806"/>
      <c r="C142" s="390" t="s">
        <v>157</v>
      </c>
      <c r="D142" s="390" t="s">
        <v>172</v>
      </c>
      <c r="E142" s="390" t="s">
        <v>271</v>
      </c>
      <c r="F142" s="390">
        <v>352</v>
      </c>
      <c r="G142" s="390" t="s">
        <v>175</v>
      </c>
      <c r="H142" s="391"/>
      <c r="I142" s="390">
        <v>1224.1107999999999</v>
      </c>
      <c r="J142" s="390"/>
      <c r="K142" s="496" t="s">
        <v>338</v>
      </c>
      <c r="M142" s="37"/>
    </row>
    <row r="143" spans="2:13" ht="37.5" x14ac:dyDescent="0.25">
      <c r="B143" s="806"/>
      <c r="C143" s="390" t="s">
        <v>157</v>
      </c>
      <c r="D143" s="390" t="s">
        <v>172</v>
      </c>
      <c r="E143" s="390" t="s">
        <v>368</v>
      </c>
      <c r="F143" s="390">
        <v>5</v>
      </c>
      <c r="G143" s="390" t="s">
        <v>175</v>
      </c>
      <c r="H143" s="391"/>
      <c r="I143" s="390">
        <v>28.9221</v>
      </c>
      <c r="J143" s="390"/>
      <c r="K143" s="496" t="s">
        <v>338</v>
      </c>
      <c r="M143" s="37"/>
    </row>
    <row r="144" spans="2:13" ht="50" x14ac:dyDescent="0.25">
      <c r="B144" s="806"/>
      <c r="C144" s="390" t="s">
        <v>157</v>
      </c>
      <c r="D144" s="390" t="s">
        <v>176</v>
      </c>
      <c r="E144" s="390" t="s">
        <v>177</v>
      </c>
      <c r="F144" s="390">
        <v>107</v>
      </c>
      <c r="G144" s="390" t="s">
        <v>178</v>
      </c>
      <c r="H144" s="391"/>
      <c r="I144" s="390">
        <v>64.5505</v>
      </c>
      <c r="J144" s="390"/>
      <c r="K144" s="496" t="s">
        <v>330</v>
      </c>
      <c r="M144" s="37"/>
    </row>
    <row r="145" spans="2:13" ht="37.5" x14ac:dyDescent="0.25">
      <c r="B145" s="806"/>
      <c r="C145" s="390" t="s">
        <v>152</v>
      </c>
      <c r="D145" s="390" t="s">
        <v>265</v>
      </c>
      <c r="E145" s="390" t="s">
        <v>266</v>
      </c>
      <c r="F145" s="390">
        <v>20</v>
      </c>
      <c r="G145" s="390" t="s">
        <v>25</v>
      </c>
      <c r="H145" s="391"/>
      <c r="I145" s="390">
        <v>0.14699999999999999</v>
      </c>
      <c r="J145" s="390"/>
      <c r="K145" s="496" t="s">
        <v>330</v>
      </c>
      <c r="M145" s="37"/>
    </row>
    <row r="146" spans="2:13" ht="25" x14ac:dyDescent="0.25">
      <c r="B146" s="806"/>
      <c r="C146" s="390" t="s">
        <v>155</v>
      </c>
      <c r="D146" s="390" t="s">
        <v>179</v>
      </c>
      <c r="E146" s="390" t="s">
        <v>253</v>
      </c>
      <c r="F146" s="390">
        <v>1980</v>
      </c>
      <c r="G146" s="390" t="s">
        <v>25</v>
      </c>
      <c r="H146" s="391"/>
      <c r="I146" s="390">
        <v>11.975</v>
      </c>
      <c r="J146" s="390"/>
      <c r="K146" s="496" t="s">
        <v>330</v>
      </c>
      <c r="M146" s="37"/>
    </row>
    <row r="147" spans="2:13" ht="37.5" x14ac:dyDescent="0.25">
      <c r="B147" s="806"/>
      <c r="C147" s="390" t="s">
        <v>148</v>
      </c>
      <c r="D147" s="390" t="s">
        <v>167</v>
      </c>
      <c r="E147" s="390" t="s">
        <v>267</v>
      </c>
      <c r="F147" s="390">
        <v>250</v>
      </c>
      <c r="G147" s="390" t="s">
        <v>25</v>
      </c>
      <c r="H147" s="391"/>
      <c r="I147" s="390">
        <v>2.5558999999999998</v>
      </c>
      <c r="J147" s="390"/>
      <c r="K147" s="496" t="s">
        <v>339</v>
      </c>
      <c r="M147" s="37"/>
    </row>
    <row r="148" spans="2:13" ht="50" x14ac:dyDescent="0.25">
      <c r="B148" s="806"/>
      <c r="C148" s="390" t="s">
        <v>148</v>
      </c>
      <c r="D148" s="390" t="s">
        <v>180</v>
      </c>
      <c r="E148" s="390" t="s">
        <v>181</v>
      </c>
      <c r="F148" s="390">
        <v>8</v>
      </c>
      <c r="G148" s="390" t="s">
        <v>175</v>
      </c>
      <c r="H148" s="391"/>
      <c r="I148" s="390">
        <v>4.3254000000000001</v>
      </c>
      <c r="J148" s="390"/>
      <c r="K148" s="496" t="s">
        <v>338</v>
      </c>
      <c r="M148" s="37"/>
    </row>
    <row r="149" spans="2:13" ht="25" x14ac:dyDescent="0.25">
      <c r="B149" s="806"/>
      <c r="C149" s="390" t="s">
        <v>148</v>
      </c>
      <c r="D149" s="390" t="s">
        <v>180</v>
      </c>
      <c r="E149" s="390" t="s">
        <v>188</v>
      </c>
      <c r="F149" s="390">
        <v>6</v>
      </c>
      <c r="G149" s="390" t="s">
        <v>175</v>
      </c>
      <c r="H149" s="391"/>
      <c r="I149" s="390">
        <v>15.0541</v>
      </c>
      <c r="J149" s="390"/>
      <c r="K149" s="496" t="s">
        <v>338</v>
      </c>
      <c r="M149" s="37"/>
    </row>
    <row r="150" spans="2:13" ht="37.5" x14ac:dyDescent="0.25">
      <c r="B150" s="806"/>
      <c r="C150" s="390" t="s">
        <v>148</v>
      </c>
      <c r="D150" s="390" t="s">
        <v>182</v>
      </c>
      <c r="E150" s="390" t="s">
        <v>268</v>
      </c>
      <c r="F150" s="390">
        <v>125</v>
      </c>
      <c r="G150" s="390" t="s">
        <v>25</v>
      </c>
      <c r="H150" s="391"/>
      <c r="I150" s="390">
        <v>5.6524999999999999</v>
      </c>
      <c r="J150" s="390"/>
      <c r="K150" s="496" t="s">
        <v>338</v>
      </c>
      <c r="M150" s="37"/>
    </row>
    <row r="151" spans="2:13" ht="25" x14ac:dyDescent="0.25">
      <c r="B151" s="806"/>
      <c r="C151" s="390" t="s">
        <v>147</v>
      </c>
      <c r="D151" s="390" t="s">
        <v>183</v>
      </c>
      <c r="E151" s="390" t="s">
        <v>184</v>
      </c>
      <c r="F151" s="390">
        <v>125</v>
      </c>
      <c r="G151" s="390" t="s">
        <v>25</v>
      </c>
      <c r="H151" s="391"/>
      <c r="I151" s="390">
        <v>7.6901000000000002</v>
      </c>
      <c r="J151" s="390"/>
      <c r="K151" s="496" t="s">
        <v>330</v>
      </c>
      <c r="M151" s="37"/>
    </row>
    <row r="152" spans="2:13" s="393" customFormat="1" ht="25" customHeight="1" x14ac:dyDescent="0.25">
      <c r="B152" s="806"/>
      <c r="C152" s="390" t="s">
        <v>152</v>
      </c>
      <c r="D152" s="390" t="s">
        <v>185</v>
      </c>
      <c r="E152" s="390" t="s">
        <v>186</v>
      </c>
      <c r="F152" s="390">
        <v>722</v>
      </c>
      <c r="G152" s="390" t="s">
        <v>187</v>
      </c>
      <c r="H152" s="391"/>
      <c r="I152" s="390">
        <v>0.37540000000000001</v>
      </c>
      <c r="J152" s="390"/>
      <c r="K152" s="496" t="s">
        <v>339</v>
      </c>
      <c r="M152" s="335"/>
    </row>
    <row r="153" spans="2:13" ht="39.65" customHeight="1" x14ac:dyDescent="0.25">
      <c r="B153" s="806"/>
      <c r="C153" s="390" t="s">
        <v>152</v>
      </c>
      <c r="D153" s="390" t="s">
        <v>185</v>
      </c>
      <c r="E153" s="390" t="s">
        <v>186</v>
      </c>
      <c r="F153" s="390">
        <v>661</v>
      </c>
      <c r="G153" s="390" t="s">
        <v>187</v>
      </c>
      <c r="H153" s="391"/>
      <c r="I153" s="390">
        <v>0.34370000000000001</v>
      </c>
      <c r="J153" s="390"/>
      <c r="K153" s="496" t="s">
        <v>339</v>
      </c>
    </row>
    <row r="154" spans="2:13" ht="25" x14ac:dyDescent="0.25">
      <c r="B154" s="806"/>
      <c r="C154" s="390" t="s">
        <v>161</v>
      </c>
      <c r="D154" s="390" t="s">
        <v>190</v>
      </c>
      <c r="E154" s="390" t="s">
        <v>193</v>
      </c>
      <c r="F154" s="390">
        <v>2333</v>
      </c>
      <c r="G154" s="390" t="s">
        <v>192</v>
      </c>
      <c r="H154" s="391">
        <v>0.12</v>
      </c>
      <c r="I154" s="390">
        <v>1.5888</v>
      </c>
      <c r="J154" s="390">
        <v>0.19070000000000001</v>
      </c>
      <c r="K154" s="496" t="s">
        <v>337</v>
      </c>
    </row>
    <row r="155" spans="2:13" ht="25" x14ac:dyDescent="0.25">
      <c r="B155" s="806"/>
      <c r="C155" s="390" t="s">
        <v>161</v>
      </c>
      <c r="D155" s="390" t="s">
        <v>190</v>
      </c>
      <c r="E155" s="390" t="s">
        <v>191</v>
      </c>
      <c r="F155" s="390">
        <v>2250</v>
      </c>
      <c r="G155" s="390" t="s">
        <v>192</v>
      </c>
      <c r="H155" s="391"/>
      <c r="I155" s="390">
        <v>0.59179999999999999</v>
      </c>
      <c r="J155" s="390"/>
      <c r="K155" s="496" t="s">
        <v>337</v>
      </c>
    </row>
    <row r="156" spans="2:13" ht="12" customHeight="1" thickBot="1" x14ac:dyDescent="0.3">
      <c r="B156" s="503" t="s">
        <v>344</v>
      </c>
      <c r="C156" s="498"/>
      <c r="D156" s="498"/>
      <c r="E156" s="498"/>
      <c r="F156" s="498"/>
      <c r="G156" s="498"/>
      <c r="H156" s="499"/>
      <c r="I156" s="513">
        <f>SUM(I133:I155)</f>
        <v>1589.1148999999996</v>
      </c>
      <c r="J156" s="500">
        <f>SUM(J133:J155)</f>
        <v>0.19070000000000001</v>
      </c>
      <c r="K156" s="501" t="s">
        <v>90</v>
      </c>
    </row>
  </sheetData>
  <mergeCells count="27">
    <mergeCell ref="M4:N4"/>
    <mergeCell ref="O4:O5"/>
    <mergeCell ref="B29:I29"/>
    <mergeCell ref="B30:D30"/>
    <mergeCell ref="B34:D34"/>
    <mergeCell ref="B4:B5"/>
    <mergeCell ref="C4:C5"/>
    <mergeCell ref="D4:D5"/>
    <mergeCell ref="E4:E5"/>
    <mergeCell ref="I4:J4"/>
    <mergeCell ref="K4:L4"/>
    <mergeCell ref="B13:C13"/>
    <mergeCell ref="E44:F44"/>
    <mergeCell ref="B62:B84"/>
    <mergeCell ref="B12:C12"/>
    <mergeCell ref="F4:F5"/>
    <mergeCell ref="G4:G5"/>
    <mergeCell ref="B14:B15"/>
    <mergeCell ref="B44:B45"/>
    <mergeCell ref="C44:D44"/>
    <mergeCell ref="B40:D40"/>
    <mergeCell ref="B86:B108"/>
    <mergeCell ref="B110:B131"/>
    <mergeCell ref="B133:B155"/>
    <mergeCell ref="B16:B17"/>
    <mergeCell ref="B18:B20"/>
    <mergeCell ref="B21:B2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EF09A9-3C09-4A3D-8D53-098F6145B5A1}">
          <x14:formula1>
            <xm:f>'Task 3 - Material summary'!$B$7:$B$14</xm:f>
          </x14:formula1>
          <xm:sqref>K62:K156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4FDC-265B-4A3C-97BE-C70D278C34D4}">
  <sheetPr>
    <tabColor rgb="FF00353E"/>
  </sheetPr>
  <dimension ref="A1:P112"/>
  <sheetViews>
    <sheetView showGridLines="0" workbookViewId="0"/>
  </sheetViews>
  <sheetFormatPr defaultColWidth="8.7265625" defaultRowHeight="12.5" x14ac:dyDescent="0.25"/>
  <cols>
    <col min="1" max="1" width="7.81640625" style="300" customWidth="1"/>
    <col min="2" max="2" width="41.453125" style="366" customWidth="1"/>
    <col min="3" max="3" width="21.1796875" style="366" customWidth="1"/>
    <col min="4" max="6" width="21.453125" style="366" customWidth="1"/>
    <col min="7" max="7" width="19.54296875" style="366" customWidth="1"/>
    <col min="8" max="8" width="16.1796875" style="366" customWidth="1"/>
    <col min="9" max="9" width="18.1796875" style="366" customWidth="1"/>
    <col min="10" max="10" width="22.7265625" style="366" customWidth="1"/>
    <col min="11" max="11" width="22" style="366" customWidth="1"/>
    <col min="12" max="12" width="23" style="300" customWidth="1"/>
    <col min="13" max="14" width="30.453125" style="300" customWidth="1"/>
    <col min="15" max="15" width="18.81640625" style="300" customWidth="1"/>
    <col min="16" max="16384" width="8.7265625" style="300"/>
  </cols>
  <sheetData>
    <row r="1" spans="2:16" s="363" customFormat="1" ht="33.65" customHeight="1" x14ac:dyDescent="0.35">
      <c r="B1" s="267" t="s">
        <v>470</v>
      </c>
      <c r="D1" s="364"/>
      <c r="E1" s="364"/>
      <c r="F1" s="364"/>
      <c r="G1" s="364"/>
      <c r="H1" s="364"/>
      <c r="I1" s="364"/>
      <c r="J1" s="364"/>
      <c r="K1" s="364"/>
    </row>
    <row r="2" spans="2:16" s="363" customFormat="1" ht="18" customHeight="1" x14ac:dyDescent="0.35">
      <c r="B2" s="363" t="s">
        <v>651</v>
      </c>
      <c r="H2" s="364"/>
      <c r="I2" s="364"/>
    </row>
    <row r="3" spans="2:16" ht="39.65" customHeight="1" thickBot="1" x14ac:dyDescent="0.35">
      <c r="B3" s="365" t="s">
        <v>443</v>
      </c>
      <c r="I3" s="367" t="s">
        <v>444</v>
      </c>
      <c r="L3" s="366"/>
    </row>
    <row r="4" spans="2:16" ht="31.5" customHeight="1" x14ac:dyDescent="0.25">
      <c r="B4" s="771" t="s">
        <v>37</v>
      </c>
      <c r="C4" s="773" t="s">
        <v>75</v>
      </c>
      <c r="D4" s="773" t="s">
        <v>381</v>
      </c>
      <c r="E4" s="773" t="s">
        <v>629</v>
      </c>
      <c r="F4" s="773" t="s">
        <v>630</v>
      </c>
      <c r="G4" s="791" t="s">
        <v>631</v>
      </c>
      <c r="I4" s="786" t="s">
        <v>69</v>
      </c>
      <c r="J4" s="787"/>
      <c r="K4" s="788" t="s">
        <v>70</v>
      </c>
      <c r="L4" s="787"/>
      <c r="M4" s="794" t="s">
        <v>342</v>
      </c>
      <c r="N4" s="794"/>
      <c r="O4" s="791" t="s">
        <v>382</v>
      </c>
    </row>
    <row r="5" spans="2:16" ht="24.75" customHeight="1" x14ac:dyDescent="0.25">
      <c r="B5" s="772"/>
      <c r="C5" s="774"/>
      <c r="D5" s="774"/>
      <c r="E5" s="774"/>
      <c r="F5" s="774"/>
      <c r="G5" s="792"/>
      <c r="I5" s="64" t="s">
        <v>71</v>
      </c>
      <c r="J5" s="65" t="s">
        <v>72</v>
      </c>
      <c r="K5" s="66" t="s">
        <v>73</v>
      </c>
      <c r="L5" s="67" t="s">
        <v>74</v>
      </c>
      <c r="M5" s="155" t="s">
        <v>636</v>
      </c>
      <c r="N5" s="155" t="s">
        <v>689</v>
      </c>
      <c r="O5" s="792"/>
    </row>
    <row r="6" spans="2:16" ht="15" customHeight="1" x14ac:dyDescent="0.25">
      <c r="B6" s="401" t="s">
        <v>51</v>
      </c>
      <c r="C6" s="175">
        <f>'Structure dimensions'!L35</f>
        <v>98.625</v>
      </c>
      <c r="D6" s="175">
        <f>SUM(I6:L6)</f>
        <v>153.82420000000002</v>
      </c>
      <c r="E6" s="175">
        <f>O6</f>
        <v>153.92180000000002</v>
      </c>
      <c r="F6" s="408">
        <f>D6/C6</f>
        <v>1.5596877059569076</v>
      </c>
      <c r="G6" s="410">
        <f>E6/C6</f>
        <v>1.5606773130544995</v>
      </c>
      <c r="H6" s="368"/>
      <c r="I6" s="178">
        <f>I75</f>
        <v>122.52420000000001</v>
      </c>
      <c r="J6" s="179">
        <v>9.9</v>
      </c>
      <c r="K6" s="180">
        <v>15.4</v>
      </c>
      <c r="L6" s="179">
        <v>6</v>
      </c>
      <c r="M6" s="182">
        <f>J75</f>
        <v>9.7600000000000006E-2</v>
      </c>
      <c r="N6" s="179">
        <v>0</v>
      </c>
      <c r="O6" s="63">
        <f>SUM(I6:N6)</f>
        <v>153.92180000000002</v>
      </c>
    </row>
    <row r="7" spans="2:16" ht="15" customHeight="1" thickBot="1" x14ac:dyDescent="0.3">
      <c r="B7" s="411" t="s">
        <v>56</v>
      </c>
      <c r="C7" s="176">
        <f>'Structure dimensions'!L37</f>
        <v>75.210000000000008</v>
      </c>
      <c r="D7" s="177">
        <f>SUM(I7:L7)</f>
        <v>289.71329999999995</v>
      </c>
      <c r="E7" s="177">
        <f>O7</f>
        <v>289.78309999999993</v>
      </c>
      <c r="F7" s="409">
        <f>D7/C7</f>
        <v>3.8520582369365766</v>
      </c>
      <c r="G7" s="412">
        <f>E7/C7</f>
        <v>3.8529863050126298</v>
      </c>
      <c r="H7" s="368"/>
      <c r="I7" s="197">
        <f>I92</f>
        <v>244.11329999999998</v>
      </c>
      <c r="J7" s="198">
        <v>9.6</v>
      </c>
      <c r="K7" s="199">
        <v>27.8</v>
      </c>
      <c r="L7" s="198">
        <v>8.1999999999999993</v>
      </c>
      <c r="M7" s="203">
        <f>J92</f>
        <v>6.9800000000000001E-2</v>
      </c>
      <c r="N7" s="198">
        <v>0</v>
      </c>
      <c r="O7" s="80">
        <f>SUM(I7:N7)</f>
        <v>289.78309999999993</v>
      </c>
      <c r="P7" s="422"/>
    </row>
    <row r="8" spans="2:16" ht="14" thickTop="1" thickBot="1" x14ac:dyDescent="0.3">
      <c r="B8" s="417" t="s">
        <v>2</v>
      </c>
      <c r="C8" s="328"/>
      <c r="D8" s="172">
        <f>SUM(D6:D7)</f>
        <v>443.53749999999997</v>
      </c>
      <c r="E8" s="172">
        <f>SUM(E6:E7)</f>
        <v>443.70489999999995</v>
      </c>
      <c r="F8" s="172"/>
      <c r="G8" s="173"/>
      <c r="I8" s="194" t="s">
        <v>81</v>
      </c>
      <c r="J8" s="72">
        <f>SUM(I6:J7)</f>
        <v>386.13750000000005</v>
      </c>
      <c r="K8" s="195" t="s">
        <v>81</v>
      </c>
      <c r="L8" s="72">
        <f>SUM(K6:L7)</f>
        <v>57.400000000000006</v>
      </c>
      <c r="M8" s="184" t="s">
        <v>346</v>
      </c>
      <c r="N8" s="196">
        <f>SUM(M6:N7)</f>
        <v>0.16739999999999999</v>
      </c>
      <c r="O8" s="79">
        <f>SUM(O6:O7)</f>
        <v>443.70489999999995</v>
      </c>
    </row>
    <row r="9" spans="2:16" ht="13.5" thickBot="1" x14ac:dyDescent="0.3">
      <c r="B9" s="300"/>
      <c r="C9" s="300"/>
      <c r="D9" s="300"/>
      <c r="E9" s="300"/>
      <c r="F9" s="300"/>
      <c r="G9" s="300"/>
      <c r="I9" s="300" t="s">
        <v>490</v>
      </c>
      <c r="J9" s="100"/>
      <c r="K9" s="161"/>
      <c r="L9" s="100"/>
      <c r="M9" s="162"/>
      <c r="N9" s="163"/>
    </row>
    <row r="10" spans="2:16" ht="13" x14ac:dyDescent="0.3">
      <c r="B10" s="733" t="s">
        <v>383</v>
      </c>
      <c r="C10" s="734"/>
      <c r="D10" s="342" t="s">
        <v>384</v>
      </c>
      <c r="E10" s="343" t="s">
        <v>10</v>
      </c>
      <c r="F10" s="300"/>
      <c r="G10" s="300"/>
      <c r="H10" s="369"/>
      <c r="K10" s="37"/>
    </row>
    <row r="11" spans="2:16" ht="25" customHeight="1" x14ac:dyDescent="0.25">
      <c r="B11" s="775" t="s">
        <v>9</v>
      </c>
      <c r="C11" s="776"/>
      <c r="D11" s="174">
        <v>2</v>
      </c>
      <c r="E11" s="301" t="s">
        <v>385</v>
      </c>
      <c r="F11" s="300"/>
      <c r="G11" s="300"/>
      <c r="H11" s="369"/>
      <c r="K11" s="37"/>
    </row>
    <row r="12" spans="2:16" ht="25" customHeight="1" x14ac:dyDescent="0.25">
      <c r="B12" s="775" t="s">
        <v>641</v>
      </c>
      <c r="C12" s="344" t="s">
        <v>623</v>
      </c>
      <c r="D12" s="174">
        <f>D8/D11</f>
        <v>221.76874999999998</v>
      </c>
      <c r="E12" s="301" t="s">
        <v>408</v>
      </c>
      <c r="F12" s="300"/>
      <c r="G12" s="300"/>
      <c r="H12" s="369"/>
      <c r="K12" s="37"/>
    </row>
    <row r="13" spans="2:16" ht="25" customHeight="1" x14ac:dyDescent="0.25">
      <c r="B13" s="775"/>
      <c r="C13" s="344" t="s">
        <v>624</v>
      </c>
      <c r="D13" s="174">
        <f>E8/D11</f>
        <v>221.85244999999998</v>
      </c>
      <c r="E13" s="301" t="s">
        <v>408</v>
      </c>
      <c r="F13" s="335"/>
      <c r="G13" s="335"/>
      <c r="H13" s="369"/>
      <c r="K13" s="37"/>
    </row>
    <row r="14" spans="2:16" ht="25" customHeight="1" x14ac:dyDescent="0.25">
      <c r="B14" s="775" t="s">
        <v>642</v>
      </c>
      <c r="C14" s="344" t="s">
        <v>623</v>
      </c>
      <c r="D14" s="185">
        <f>AVERAGE(F6:F7)</f>
        <v>2.705872971446742</v>
      </c>
      <c r="E14" s="301" t="s">
        <v>407</v>
      </c>
      <c r="F14" s="335"/>
      <c r="G14" s="335"/>
      <c r="H14" s="369"/>
      <c r="K14" s="37"/>
    </row>
    <row r="15" spans="2:16" ht="25" customHeight="1" x14ac:dyDescent="0.25">
      <c r="B15" s="775"/>
      <c r="C15" s="344" t="s">
        <v>624</v>
      </c>
      <c r="D15" s="185">
        <f>AVERAGE(G6:G7)</f>
        <v>2.7068318090335648</v>
      </c>
      <c r="E15" s="301" t="s">
        <v>407</v>
      </c>
      <c r="F15" s="335"/>
      <c r="G15" s="335"/>
      <c r="H15" s="369"/>
      <c r="K15" s="37"/>
    </row>
    <row r="16" spans="2:16" ht="25" customHeight="1" x14ac:dyDescent="0.25">
      <c r="B16" s="775" t="s">
        <v>628</v>
      </c>
      <c r="C16" s="344" t="s">
        <v>3</v>
      </c>
      <c r="D16" s="186">
        <f>J8/E8</f>
        <v>0.87025746165976547</v>
      </c>
      <c r="E16" s="301" t="s">
        <v>388</v>
      </c>
      <c r="F16" s="335"/>
      <c r="G16" s="335"/>
      <c r="H16" s="369"/>
      <c r="K16" s="37"/>
    </row>
    <row r="17" spans="2:11" ht="29.5" customHeight="1" x14ac:dyDescent="0.25">
      <c r="B17" s="775"/>
      <c r="C17" s="344" t="s">
        <v>4</v>
      </c>
      <c r="D17" s="186">
        <f>L8/E8</f>
        <v>0.12936526055943942</v>
      </c>
      <c r="E17" s="301" t="s">
        <v>388</v>
      </c>
      <c r="F17" s="335"/>
      <c r="G17" s="335"/>
      <c r="H17" s="369"/>
      <c r="K17" s="37"/>
    </row>
    <row r="18" spans="2:11" ht="27" customHeight="1" x14ac:dyDescent="0.25">
      <c r="B18" s="775"/>
      <c r="C18" s="344" t="s">
        <v>627</v>
      </c>
      <c r="D18" s="186">
        <f>N8/E8</f>
        <v>3.7727778079529889E-4</v>
      </c>
      <c r="E18" s="301" t="s">
        <v>388</v>
      </c>
      <c r="F18" s="37"/>
      <c r="G18" s="37"/>
      <c r="H18" s="370"/>
      <c r="I18" s="370"/>
      <c r="J18" s="37"/>
      <c r="K18" s="37"/>
    </row>
    <row r="19" spans="2:11" ht="32.5" customHeight="1" x14ac:dyDescent="0.25">
      <c r="B19" s="775" t="s">
        <v>642</v>
      </c>
      <c r="C19" s="344" t="s">
        <v>3</v>
      </c>
      <c r="D19" s="185">
        <f>D15*D16</f>
        <v>2.355640579269461</v>
      </c>
      <c r="E19" s="301" t="s">
        <v>407</v>
      </c>
      <c r="F19" s="37"/>
      <c r="G19" s="37"/>
      <c r="H19" s="371"/>
      <c r="I19" s="371"/>
      <c r="J19" s="37"/>
      <c r="K19" s="37"/>
    </row>
    <row r="20" spans="2:11" ht="32.5" customHeight="1" x14ac:dyDescent="0.3">
      <c r="B20" s="775"/>
      <c r="C20" s="344" t="s">
        <v>4</v>
      </c>
      <c r="D20" s="185">
        <f>D15*D17</f>
        <v>0.35017000226620587</v>
      </c>
      <c r="E20" s="301" t="s">
        <v>407</v>
      </c>
      <c r="F20" s="33"/>
      <c r="G20" s="33"/>
      <c r="H20" s="372"/>
      <c r="I20" s="372"/>
      <c r="J20" s="37"/>
      <c r="K20" s="37"/>
    </row>
    <row r="21" spans="2:11" ht="32.5" customHeight="1" thickBot="1" x14ac:dyDescent="0.3">
      <c r="B21" s="808"/>
      <c r="C21" s="346" t="s">
        <v>627</v>
      </c>
      <c r="D21" s="187">
        <f>D15*D18</f>
        <v>1.0212274978983076E-3</v>
      </c>
      <c r="E21" s="303" t="s">
        <v>407</v>
      </c>
      <c r="F21" s="37"/>
      <c r="G21" s="37"/>
      <c r="H21" s="37"/>
      <c r="I21" s="37"/>
      <c r="J21" s="37"/>
      <c r="K21" s="37"/>
    </row>
    <row r="22" spans="2:11" ht="13" x14ac:dyDescent="0.25">
      <c r="B22" s="37"/>
      <c r="C22" s="35"/>
      <c r="D22" s="37"/>
      <c r="E22" s="37"/>
      <c r="F22" s="37"/>
      <c r="G22" s="37"/>
      <c r="H22" s="37"/>
      <c r="I22" s="37"/>
      <c r="J22" s="37"/>
      <c r="K22" s="37"/>
    </row>
    <row r="23" spans="2:11" ht="13" x14ac:dyDescent="0.25">
      <c r="B23" s="37"/>
      <c r="C23" s="35"/>
      <c r="D23" s="37"/>
      <c r="E23" s="37"/>
      <c r="F23" s="37"/>
      <c r="G23" s="37"/>
      <c r="H23" s="37"/>
      <c r="I23" s="37"/>
      <c r="J23" s="37"/>
      <c r="K23" s="37"/>
    </row>
    <row r="24" spans="2:11" ht="13" x14ac:dyDescent="0.25">
      <c r="B24" s="37"/>
      <c r="C24" s="35"/>
      <c r="D24" s="37"/>
      <c r="E24" s="37"/>
      <c r="F24" s="37"/>
      <c r="G24" s="37"/>
      <c r="H24" s="37"/>
      <c r="I24" s="37"/>
      <c r="J24" s="37"/>
      <c r="K24" s="37"/>
    </row>
    <row r="25" spans="2:11" ht="13" x14ac:dyDescent="0.25">
      <c r="B25" s="37"/>
      <c r="C25" s="35"/>
      <c r="D25" s="37"/>
      <c r="E25" s="37"/>
      <c r="F25" s="37"/>
      <c r="G25" s="37"/>
      <c r="H25" s="37"/>
      <c r="I25" s="37"/>
      <c r="J25" s="37"/>
      <c r="K25" s="37"/>
    </row>
    <row r="26" spans="2:11" ht="13" x14ac:dyDescent="0.25">
      <c r="B26" s="37"/>
      <c r="C26" s="35"/>
      <c r="D26" s="37"/>
      <c r="E26" s="37"/>
      <c r="F26" s="37"/>
      <c r="G26" s="37"/>
      <c r="H26" s="37"/>
      <c r="I26" s="37"/>
      <c r="J26" s="37"/>
      <c r="K26" s="37"/>
    </row>
    <row r="27" spans="2:11" ht="13" x14ac:dyDescent="0.25">
      <c r="B27" s="37"/>
      <c r="C27" s="35"/>
      <c r="D27" s="37"/>
      <c r="E27" s="37"/>
      <c r="F27" s="37"/>
      <c r="G27" s="37"/>
      <c r="H27" s="37"/>
      <c r="I27" s="37"/>
      <c r="J27" s="37"/>
      <c r="K27" s="37"/>
    </row>
    <row r="28" spans="2:11" ht="13" x14ac:dyDescent="0.25">
      <c r="B28" s="37"/>
      <c r="C28" s="35"/>
      <c r="D28" s="37"/>
      <c r="E28" s="37"/>
      <c r="F28" s="37"/>
      <c r="G28" s="37"/>
      <c r="H28" s="37"/>
      <c r="I28" s="37"/>
      <c r="J28" s="37"/>
      <c r="K28" s="37"/>
    </row>
    <row r="29" spans="2:11" ht="27" customHeight="1" x14ac:dyDescent="0.25">
      <c r="B29" s="35"/>
      <c r="C29" s="35"/>
      <c r="D29" s="35"/>
      <c r="E29" s="35"/>
      <c r="F29" s="35"/>
      <c r="G29" s="35"/>
      <c r="H29" s="35"/>
      <c r="I29" s="35"/>
      <c r="J29" s="37"/>
      <c r="K29" s="37"/>
    </row>
    <row r="30" spans="2:11" ht="13" x14ac:dyDescent="0.3">
      <c r="B30" s="770"/>
      <c r="C30" s="770"/>
      <c r="D30" s="770"/>
      <c r="E30" s="15"/>
      <c r="F30" s="15"/>
      <c r="G30" s="15"/>
      <c r="H30" s="14"/>
      <c r="I30" s="36"/>
      <c r="J30" s="37"/>
      <c r="K30" s="37"/>
    </row>
    <row r="31" spans="2:11" x14ac:dyDescent="0.25">
      <c r="B31" s="38"/>
      <c r="C31" s="38"/>
      <c r="D31" s="37"/>
      <c r="E31" s="37"/>
      <c r="F31" s="37"/>
      <c r="G31" s="37"/>
      <c r="H31" s="369"/>
      <c r="I31" s="369"/>
      <c r="J31" s="37"/>
      <c r="K31" s="37"/>
    </row>
    <row r="32" spans="2:11" x14ac:dyDescent="0.25">
      <c r="B32" s="38"/>
      <c r="C32" s="38"/>
      <c r="D32" s="37"/>
      <c r="E32" s="37"/>
      <c r="F32" s="37"/>
      <c r="G32" s="37"/>
      <c r="H32" s="369"/>
      <c r="I32" s="369"/>
      <c r="J32" s="37"/>
      <c r="K32" s="37"/>
    </row>
    <row r="33" spans="1:15" x14ac:dyDescent="0.25">
      <c r="B33" s="38"/>
      <c r="C33" s="38"/>
      <c r="D33" s="37"/>
      <c r="E33" s="37"/>
      <c r="F33" s="37"/>
      <c r="G33" s="37"/>
      <c r="H33" s="369"/>
      <c r="I33" s="369"/>
      <c r="J33" s="37"/>
      <c r="K33" s="37"/>
    </row>
    <row r="34" spans="1:15" ht="13" x14ac:dyDescent="0.3">
      <c r="B34" s="770"/>
      <c r="C34" s="770"/>
      <c r="D34" s="770"/>
      <c r="E34" s="15"/>
      <c r="F34" s="15"/>
      <c r="G34" s="15"/>
      <c r="H34" s="14"/>
      <c r="I34" s="36"/>
      <c r="J34" s="37"/>
      <c r="K34" s="37"/>
    </row>
    <row r="35" spans="1:15" x14ac:dyDescent="0.25">
      <c r="B35" s="38"/>
      <c r="C35" s="38"/>
      <c r="D35" s="37"/>
      <c r="E35" s="37"/>
      <c r="F35" s="37"/>
      <c r="G35" s="37"/>
      <c r="H35" s="370"/>
      <c r="I35" s="370"/>
      <c r="J35" s="37"/>
      <c r="K35" s="37"/>
    </row>
    <row r="36" spans="1:15" x14ac:dyDescent="0.25">
      <c r="B36" s="38"/>
      <c r="C36" s="38"/>
      <c r="D36" s="37"/>
      <c r="E36" s="37"/>
      <c r="F36" s="37"/>
      <c r="G36" s="37"/>
      <c r="H36" s="370"/>
      <c r="I36" s="370"/>
      <c r="J36" s="37"/>
      <c r="K36" s="37"/>
    </row>
    <row r="37" spans="1:15" x14ac:dyDescent="0.25">
      <c r="B37" s="38"/>
      <c r="C37" s="38"/>
      <c r="D37" s="37"/>
      <c r="E37" s="37"/>
      <c r="F37" s="37"/>
      <c r="G37" s="37"/>
      <c r="H37" s="370"/>
      <c r="I37" s="370"/>
      <c r="J37" s="37"/>
      <c r="K37" s="37"/>
    </row>
    <row r="38" spans="1:15" x14ac:dyDescent="0.25">
      <c r="B38" s="38"/>
      <c r="C38" s="38"/>
      <c r="D38" s="37"/>
      <c r="E38" s="37"/>
      <c r="F38" s="37"/>
      <c r="G38" s="37"/>
      <c r="H38" s="370"/>
      <c r="I38" s="370"/>
      <c r="J38" s="37"/>
      <c r="K38" s="37"/>
    </row>
    <row r="39" spans="1:15" x14ac:dyDescent="0.25">
      <c r="B39" s="38"/>
      <c r="C39" s="38"/>
      <c r="D39" s="37"/>
      <c r="E39" s="37"/>
      <c r="F39" s="37"/>
      <c r="G39" s="37"/>
      <c r="H39" s="370"/>
      <c r="I39" s="370"/>
      <c r="J39" s="37"/>
      <c r="K39" s="37"/>
    </row>
    <row r="40" spans="1:15" s="383" customFormat="1" ht="38.5" customHeight="1" x14ac:dyDescent="0.35">
      <c r="A40" s="382"/>
      <c r="B40" s="336" t="s">
        <v>403</v>
      </c>
      <c r="D40" s="384"/>
      <c r="E40" s="384"/>
      <c r="F40" s="384"/>
      <c r="G40" s="384"/>
      <c r="H40" s="384"/>
      <c r="I40" s="384"/>
      <c r="J40" s="384"/>
      <c r="K40" s="384"/>
      <c r="L40" s="384"/>
      <c r="M40" s="384"/>
      <c r="N40" s="384"/>
      <c r="O40" s="384"/>
    </row>
    <row r="41" spans="1:15" ht="13" thickBot="1" x14ac:dyDescent="0.3">
      <c r="B41" s="37"/>
      <c r="C41" s="37"/>
      <c r="D41" s="37"/>
      <c r="E41" s="37"/>
      <c r="F41" s="37"/>
      <c r="G41" s="37"/>
      <c r="H41" s="37"/>
      <c r="I41" s="37"/>
      <c r="J41" s="37"/>
      <c r="K41" s="37"/>
      <c r="L41" s="37"/>
      <c r="M41" s="37"/>
      <c r="N41" s="37"/>
      <c r="O41" s="37"/>
    </row>
    <row r="42" spans="1:15" ht="13" x14ac:dyDescent="0.25">
      <c r="B42" s="797" t="s">
        <v>348</v>
      </c>
      <c r="C42" s="795" t="s">
        <v>350</v>
      </c>
      <c r="D42" s="795"/>
      <c r="E42" s="809" t="s">
        <v>352</v>
      </c>
      <c r="F42" s="810"/>
      <c r="G42" s="37"/>
      <c r="H42" s="37"/>
      <c r="I42" s="37"/>
      <c r="J42" s="37"/>
      <c r="K42" s="37"/>
      <c r="L42" s="37"/>
      <c r="M42" s="37"/>
      <c r="N42" s="37"/>
      <c r="O42" s="37"/>
    </row>
    <row r="43" spans="1:15" ht="13" x14ac:dyDescent="0.25">
      <c r="B43" s="798"/>
      <c r="C43" s="375" t="s">
        <v>351</v>
      </c>
      <c r="D43" s="375" t="s">
        <v>349</v>
      </c>
      <c r="E43" s="375" t="s">
        <v>351</v>
      </c>
      <c r="F43" s="454" t="s">
        <v>349</v>
      </c>
      <c r="G43" s="37"/>
      <c r="H43" s="37"/>
      <c r="I43" s="37"/>
      <c r="J43" s="37"/>
      <c r="K43" s="37"/>
      <c r="L43" s="37"/>
      <c r="M43" s="37"/>
      <c r="N43" s="37"/>
      <c r="O43" s="37"/>
    </row>
    <row r="44" spans="1:15" ht="24" customHeight="1" x14ac:dyDescent="0.25">
      <c r="B44" s="455" t="s">
        <v>328</v>
      </c>
      <c r="C44" s="377">
        <f t="shared" ref="C44:C51" si="0">SUMIF($K$60:$K$91,B44,$I$60:$I$91)</f>
        <v>11.5212</v>
      </c>
      <c r="D44" s="378">
        <f>C44/$C$52</f>
        <v>3.1423954178173272E-2</v>
      </c>
      <c r="E44" s="377">
        <f t="shared" ref="E44:E51" si="1">SUMIF($K$60:$K$91,B44,$J$60:$J$91)</f>
        <v>0</v>
      </c>
      <c r="F44" s="456">
        <f t="shared" ref="F44:F51" si="2">E44/$E$52</f>
        <v>0</v>
      </c>
      <c r="G44" s="37"/>
      <c r="H44" s="37"/>
      <c r="I44" s="37"/>
      <c r="J44" s="37"/>
      <c r="K44" s="37"/>
      <c r="L44" s="37"/>
      <c r="M44" s="37"/>
      <c r="N44" s="37"/>
      <c r="O44" s="37"/>
    </row>
    <row r="45" spans="1:15" ht="24" customHeight="1" x14ac:dyDescent="0.25">
      <c r="B45" s="455" t="s">
        <v>329</v>
      </c>
      <c r="C45" s="377">
        <f t="shared" si="0"/>
        <v>0</v>
      </c>
      <c r="D45" s="378">
        <f t="shared" ref="D45:D51" si="3">C45/$C$52</f>
        <v>0</v>
      </c>
      <c r="E45" s="377">
        <f t="shared" si="1"/>
        <v>0</v>
      </c>
      <c r="F45" s="456">
        <f t="shared" si="2"/>
        <v>0</v>
      </c>
      <c r="G45" s="37"/>
      <c r="H45" s="37"/>
      <c r="I45" s="37"/>
      <c r="J45" s="37"/>
      <c r="K45" s="37"/>
      <c r="L45" s="37"/>
      <c r="M45" s="37"/>
      <c r="N45" s="37"/>
      <c r="O45" s="37"/>
    </row>
    <row r="46" spans="1:15" ht="24" customHeight="1" x14ac:dyDescent="0.25">
      <c r="B46" s="455" t="s">
        <v>330</v>
      </c>
      <c r="C46" s="377">
        <f t="shared" si="0"/>
        <v>44.121099999999998</v>
      </c>
      <c r="D46" s="378">
        <f t="shared" si="3"/>
        <v>0.1203398452149603</v>
      </c>
      <c r="E46" s="377">
        <f t="shared" si="1"/>
        <v>0</v>
      </c>
      <c r="F46" s="456">
        <f t="shared" si="2"/>
        <v>0</v>
      </c>
      <c r="G46" s="37"/>
      <c r="H46" s="37"/>
      <c r="I46" s="37"/>
      <c r="J46" s="37"/>
      <c r="K46" s="37"/>
      <c r="L46" s="37"/>
      <c r="M46" s="37"/>
      <c r="N46" s="37"/>
      <c r="O46" s="37"/>
    </row>
    <row r="47" spans="1:15" ht="24" customHeight="1" x14ac:dyDescent="0.25">
      <c r="B47" s="455" t="s">
        <v>338</v>
      </c>
      <c r="C47" s="377">
        <f t="shared" si="0"/>
        <v>307.65789999999998</v>
      </c>
      <c r="D47" s="378">
        <f t="shared" si="3"/>
        <v>0.83913374927551065</v>
      </c>
      <c r="E47" s="377">
        <f t="shared" si="1"/>
        <v>0</v>
      </c>
      <c r="F47" s="456">
        <f t="shared" si="2"/>
        <v>0</v>
      </c>
      <c r="G47" s="37"/>
      <c r="H47" s="37"/>
      <c r="I47" s="37"/>
      <c r="J47" s="37"/>
      <c r="K47" s="37"/>
      <c r="L47" s="37"/>
      <c r="M47" s="37"/>
      <c r="N47" s="37"/>
      <c r="O47" s="37"/>
    </row>
    <row r="48" spans="1:15" ht="24" customHeight="1" x14ac:dyDescent="0.25">
      <c r="B48" s="455" t="s">
        <v>337</v>
      </c>
      <c r="C48" s="377">
        <f t="shared" si="0"/>
        <v>1.9366999999999999</v>
      </c>
      <c r="D48" s="378">
        <f t="shared" si="3"/>
        <v>5.2823292761924254E-3</v>
      </c>
      <c r="E48" s="380">
        <f t="shared" si="1"/>
        <v>0.16739999999999999</v>
      </c>
      <c r="F48" s="456">
        <f t="shared" si="2"/>
        <v>1</v>
      </c>
      <c r="G48" s="37"/>
      <c r="H48" s="37"/>
      <c r="I48" s="37"/>
      <c r="J48" s="37"/>
      <c r="K48" s="37"/>
      <c r="L48" s="37"/>
      <c r="M48" s="37"/>
      <c r="N48" s="37"/>
      <c r="O48" s="37"/>
    </row>
    <row r="49" spans="1:15" ht="24" customHeight="1" x14ac:dyDescent="0.25">
      <c r="B49" s="455" t="s">
        <v>341</v>
      </c>
      <c r="C49" s="377">
        <f t="shared" si="0"/>
        <v>0</v>
      </c>
      <c r="D49" s="378">
        <f t="shared" si="3"/>
        <v>0</v>
      </c>
      <c r="E49" s="377">
        <f t="shared" si="1"/>
        <v>0</v>
      </c>
      <c r="F49" s="456">
        <f t="shared" si="2"/>
        <v>0</v>
      </c>
      <c r="G49" s="37"/>
      <c r="H49" s="37"/>
      <c r="I49" s="37"/>
      <c r="J49" s="37"/>
      <c r="K49" s="37"/>
      <c r="L49" s="37"/>
      <c r="M49" s="37"/>
      <c r="N49" s="37"/>
      <c r="O49" s="37"/>
    </row>
    <row r="50" spans="1:15" ht="24" customHeight="1" x14ac:dyDescent="0.25">
      <c r="B50" s="455" t="s">
        <v>340</v>
      </c>
      <c r="C50" s="377">
        <f t="shared" si="0"/>
        <v>0</v>
      </c>
      <c r="D50" s="378">
        <f t="shared" si="3"/>
        <v>0</v>
      </c>
      <c r="E50" s="377">
        <f t="shared" si="1"/>
        <v>0</v>
      </c>
      <c r="F50" s="456">
        <f t="shared" si="2"/>
        <v>0</v>
      </c>
      <c r="G50" s="37"/>
      <c r="H50" s="37"/>
      <c r="I50" s="37"/>
      <c r="J50" s="37"/>
      <c r="K50" s="37"/>
      <c r="L50" s="37"/>
      <c r="M50" s="37"/>
      <c r="N50" s="37"/>
      <c r="O50" s="37"/>
    </row>
    <row r="51" spans="1:15" ht="24" customHeight="1" x14ac:dyDescent="0.25">
      <c r="B51" s="455" t="s">
        <v>339</v>
      </c>
      <c r="C51" s="377">
        <f t="shared" si="0"/>
        <v>1.4006000000000001</v>
      </c>
      <c r="D51" s="378">
        <f t="shared" si="3"/>
        <v>3.8201220551634797E-3</v>
      </c>
      <c r="E51" s="377">
        <f t="shared" si="1"/>
        <v>0</v>
      </c>
      <c r="F51" s="456">
        <f t="shared" si="2"/>
        <v>0</v>
      </c>
      <c r="G51" s="37"/>
      <c r="H51" s="37"/>
      <c r="I51" s="37"/>
      <c r="J51" s="37"/>
      <c r="K51" s="37"/>
      <c r="L51" s="37"/>
      <c r="M51" s="37"/>
      <c r="N51" s="37"/>
      <c r="O51" s="37"/>
    </row>
    <row r="52" spans="1:15" ht="24" customHeight="1" thickBot="1" x14ac:dyDescent="0.35">
      <c r="B52" s="457" t="s">
        <v>344</v>
      </c>
      <c r="C52" s="458">
        <f>SUM(C44:C51)</f>
        <v>366.63749999999993</v>
      </c>
      <c r="D52" s="553">
        <f>SUM(D44:D51)</f>
        <v>1.0000000000000002</v>
      </c>
      <c r="E52" s="459">
        <f>SUM(E44:E51)</f>
        <v>0.16739999999999999</v>
      </c>
      <c r="F52" s="553">
        <f>SUM(F44:F51)</f>
        <v>1</v>
      </c>
      <c r="G52" s="37"/>
      <c r="H52" s="37"/>
      <c r="I52" s="37"/>
      <c r="J52" s="37"/>
      <c r="K52" s="37"/>
      <c r="L52" s="37"/>
      <c r="M52" s="37"/>
      <c r="N52" s="37"/>
      <c r="O52" s="37"/>
    </row>
    <row r="53" spans="1:15" x14ac:dyDescent="0.25">
      <c r="B53" s="37"/>
      <c r="C53" s="37"/>
      <c r="E53" s="37"/>
      <c r="F53" s="37"/>
      <c r="G53" s="37"/>
      <c r="H53" s="37"/>
      <c r="I53" s="37"/>
      <c r="J53" s="37"/>
      <c r="K53" s="37"/>
      <c r="L53" s="37"/>
      <c r="M53" s="37"/>
      <c r="N53" s="37"/>
      <c r="O53" s="37"/>
    </row>
    <row r="54" spans="1:15" x14ac:dyDescent="0.25">
      <c r="B54" s="38"/>
      <c r="C54" s="38"/>
      <c r="D54" s="37"/>
      <c r="E54" s="37"/>
      <c r="F54" s="37"/>
      <c r="G54" s="37"/>
      <c r="H54" s="37"/>
      <c r="I54" s="371"/>
      <c r="J54" s="37"/>
      <c r="K54" s="37"/>
    </row>
    <row r="55" spans="1:15" x14ac:dyDescent="0.25">
      <c r="B55" s="38"/>
      <c r="C55" s="38"/>
      <c r="D55" s="37"/>
      <c r="E55" s="37"/>
      <c r="F55" s="37"/>
      <c r="G55" s="37"/>
      <c r="H55" s="371"/>
      <c r="I55" s="371"/>
      <c r="J55" s="37"/>
      <c r="K55" s="37"/>
    </row>
    <row r="56" spans="1:15" s="383" customFormat="1" ht="27.65" customHeight="1" x14ac:dyDescent="0.35">
      <c r="A56" s="382"/>
      <c r="B56" s="306" t="s">
        <v>461</v>
      </c>
      <c r="D56" s="384"/>
      <c r="E56" s="384"/>
      <c r="F56" s="384"/>
      <c r="G56" s="384"/>
      <c r="H56" s="384"/>
      <c r="I56" s="384"/>
      <c r="J56" s="384"/>
      <c r="K56" s="384"/>
      <c r="L56" s="384"/>
      <c r="M56" s="384"/>
    </row>
    <row r="57" spans="1:15" s="404" customFormat="1" ht="19.5" customHeight="1" x14ac:dyDescent="0.35">
      <c r="A57" s="403"/>
      <c r="B57" s="386" t="s">
        <v>462</v>
      </c>
      <c r="D57" s="405"/>
      <c r="E57" s="405"/>
      <c r="F57" s="405"/>
      <c r="G57" s="405"/>
      <c r="H57" s="405"/>
      <c r="I57" s="405"/>
      <c r="J57" s="405"/>
      <c r="K57" s="405"/>
      <c r="L57" s="405"/>
      <c r="M57" s="405"/>
    </row>
    <row r="58" spans="1:15" ht="13" thickBot="1" x14ac:dyDescent="0.3">
      <c r="B58" s="37"/>
      <c r="C58" s="37"/>
      <c r="D58" s="37"/>
      <c r="E58" s="37"/>
      <c r="F58" s="37"/>
      <c r="G58" s="37"/>
      <c r="H58" s="37"/>
      <c r="I58" s="37"/>
      <c r="J58" s="37"/>
      <c r="K58" s="37"/>
      <c r="L58" s="37"/>
      <c r="M58" s="37"/>
    </row>
    <row r="59" spans="1:15" s="366" customFormat="1" ht="34" customHeight="1" x14ac:dyDescent="0.25">
      <c r="B59" s="493" t="s">
        <v>37</v>
      </c>
      <c r="C59" s="494" t="s">
        <v>320</v>
      </c>
      <c r="D59" s="494" t="s">
        <v>321</v>
      </c>
      <c r="E59" s="494" t="s">
        <v>322</v>
      </c>
      <c r="F59" s="494" t="s">
        <v>323</v>
      </c>
      <c r="G59" s="494" t="s">
        <v>10</v>
      </c>
      <c r="H59" s="494" t="s">
        <v>324</v>
      </c>
      <c r="I59" s="494" t="s">
        <v>325</v>
      </c>
      <c r="J59" s="494" t="s">
        <v>326</v>
      </c>
      <c r="K59" s="495" t="s">
        <v>327</v>
      </c>
      <c r="M59" s="37"/>
    </row>
    <row r="60" spans="1:15" ht="31" customHeight="1" x14ac:dyDescent="0.25">
      <c r="B60" s="812" t="s">
        <v>290</v>
      </c>
      <c r="C60" s="390" t="s">
        <v>148</v>
      </c>
      <c r="D60" s="390" t="s">
        <v>167</v>
      </c>
      <c r="E60" s="390" t="s">
        <v>168</v>
      </c>
      <c r="F60" s="390">
        <v>70</v>
      </c>
      <c r="G60" s="390" t="s">
        <v>25</v>
      </c>
      <c r="H60" s="391"/>
      <c r="I60" s="390">
        <v>0.72389999999999999</v>
      </c>
      <c r="J60" s="390"/>
      <c r="K60" s="496" t="s">
        <v>339</v>
      </c>
      <c r="M60" s="37"/>
    </row>
    <row r="61" spans="1:15" ht="25" x14ac:dyDescent="0.25">
      <c r="B61" s="813"/>
      <c r="C61" s="390" t="s">
        <v>149</v>
      </c>
      <c r="D61" s="390" t="s">
        <v>169</v>
      </c>
      <c r="E61" s="390" t="s">
        <v>170</v>
      </c>
      <c r="F61" s="390">
        <v>1477</v>
      </c>
      <c r="G61" s="390" t="s">
        <v>171</v>
      </c>
      <c r="H61" s="391"/>
      <c r="I61" s="390">
        <v>5.8342000000000001</v>
      </c>
      <c r="J61" s="390"/>
      <c r="K61" s="496" t="s">
        <v>328</v>
      </c>
      <c r="M61" s="37"/>
    </row>
    <row r="62" spans="1:15" ht="37.5" x14ac:dyDescent="0.25">
      <c r="B62" s="813"/>
      <c r="C62" s="390" t="s">
        <v>151</v>
      </c>
      <c r="D62" s="390" t="s">
        <v>189</v>
      </c>
      <c r="E62" s="390" t="s">
        <v>747</v>
      </c>
      <c r="F62" s="390">
        <v>243</v>
      </c>
      <c r="G62" s="390" t="s">
        <v>187</v>
      </c>
      <c r="H62" s="391"/>
      <c r="I62" s="390">
        <v>9.8299999999999998E-2</v>
      </c>
      <c r="J62" s="390"/>
      <c r="K62" s="496" t="s">
        <v>339</v>
      </c>
      <c r="M62" s="37"/>
    </row>
    <row r="63" spans="1:15" ht="25" x14ac:dyDescent="0.25">
      <c r="B63" s="813"/>
      <c r="C63" s="390" t="s">
        <v>157</v>
      </c>
      <c r="D63" s="390" t="s">
        <v>172</v>
      </c>
      <c r="E63" s="390" t="s">
        <v>173</v>
      </c>
      <c r="F63" s="390">
        <v>14</v>
      </c>
      <c r="G63" s="390" t="s">
        <v>171</v>
      </c>
      <c r="H63" s="391"/>
      <c r="I63" s="390">
        <v>3.5775000000000001</v>
      </c>
      <c r="J63" s="390"/>
      <c r="K63" s="496" t="s">
        <v>338</v>
      </c>
      <c r="M63" s="37"/>
    </row>
    <row r="64" spans="1:15" ht="25" x14ac:dyDescent="0.25">
      <c r="B64" s="813"/>
      <c r="C64" s="390" t="s">
        <v>157</v>
      </c>
      <c r="D64" s="390" t="s">
        <v>172</v>
      </c>
      <c r="E64" s="390" t="s">
        <v>174</v>
      </c>
      <c r="F64" s="390">
        <v>237</v>
      </c>
      <c r="G64" s="390" t="s">
        <v>171</v>
      </c>
      <c r="H64" s="391"/>
      <c r="I64" s="390">
        <v>62.341900000000003</v>
      </c>
      <c r="J64" s="390"/>
      <c r="K64" s="496" t="s">
        <v>338</v>
      </c>
      <c r="M64" s="37"/>
    </row>
    <row r="65" spans="2:13" ht="25" x14ac:dyDescent="0.25">
      <c r="B65" s="813"/>
      <c r="C65" s="390" t="s">
        <v>157</v>
      </c>
      <c r="D65" s="390" t="s">
        <v>172</v>
      </c>
      <c r="E65" s="390" t="s">
        <v>174</v>
      </c>
      <c r="F65" s="390">
        <v>4</v>
      </c>
      <c r="G65" s="390" t="s">
        <v>171</v>
      </c>
      <c r="H65" s="391"/>
      <c r="I65" s="390">
        <v>1.0522</v>
      </c>
      <c r="J65" s="390"/>
      <c r="K65" s="496" t="s">
        <v>338</v>
      </c>
      <c r="M65" s="37"/>
    </row>
    <row r="66" spans="2:13" ht="25" x14ac:dyDescent="0.25">
      <c r="B66" s="813"/>
      <c r="C66" s="390" t="s">
        <v>157</v>
      </c>
      <c r="D66" s="390" t="s">
        <v>172</v>
      </c>
      <c r="E66" s="390" t="s">
        <v>174</v>
      </c>
      <c r="F66" s="390">
        <v>32</v>
      </c>
      <c r="G66" s="390" t="s">
        <v>171</v>
      </c>
      <c r="H66" s="391"/>
      <c r="I66" s="390">
        <v>8.4175000000000004</v>
      </c>
      <c r="J66" s="390"/>
      <c r="K66" s="496" t="s">
        <v>338</v>
      </c>
      <c r="M66" s="37"/>
    </row>
    <row r="67" spans="2:13" ht="37.5" x14ac:dyDescent="0.25">
      <c r="B67" s="813"/>
      <c r="C67" s="390" t="s">
        <v>157</v>
      </c>
      <c r="D67" s="390" t="s">
        <v>176</v>
      </c>
      <c r="E67" s="390" t="s">
        <v>177</v>
      </c>
      <c r="F67" s="390">
        <v>44</v>
      </c>
      <c r="G67" s="390" t="s">
        <v>178</v>
      </c>
      <c r="H67" s="391"/>
      <c r="I67" s="390">
        <v>26.5441</v>
      </c>
      <c r="J67" s="390"/>
      <c r="K67" s="496" t="s">
        <v>330</v>
      </c>
      <c r="M67" s="37"/>
    </row>
    <row r="68" spans="2:13" ht="37.5" x14ac:dyDescent="0.25">
      <c r="B68" s="813"/>
      <c r="C68" s="390" t="s">
        <v>148</v>
      </c>
      <c r="D68" s="390" t="s">
        <v>180</v>
      </c>
      <c r="E68" s="390" t="s">
        <v>181</v>
      </c>
      <c r="F68" s="390">
        <v>4</v>
      </c>
      <c r="G68" s="390" t="s">
        <v>175</v>
      </c>
      <c r="H68" s="391"/>
      <c r="I68" s="390">
        <v>2.1627000000000001</v>
      </c>
      <c r="J68" s="390"/>
      <c r="K68" s="496" t="s">
        <v>338</v>
      </c>
      <c r="M68" s="37"/>
    </row>
    <row r="69" spans="2:13" ht="25" x14ac:dyDescent="0.25">
      <c r="B69" s="813"/>
      <c r="C69" s="390" t="s">
        <v>148</v>
      </c>
      <c r="D69" s="390" t="s">
        <v>180</v>
      </c>
      <c r="E69" s="390" t="s">
        <v>188</v>
      </c>
      <c r="F69" s="390">
        <v>4</v>
      </c>
      <c r="G69" s="390" t="s">
        <v>175</v>
      </c>
      <c r="H69" s="391"/>
      <c r="I69" s="390">
        <v>10.036099999999999</v>
      </c>
      <c r="J69" s="390"/>
      <c r="K69" s="496" t="s">
        <v>338</v>
      </c>
      <c r="M69" s="37"/>
    </row>
    <row r="70" spans="2:13" ht="37.5" x14ac:dyDescent="0.25">
      <c r="B70" s="813"/>
      <c r="C70" s="390" t="s">
        <v>152</v>
      </c>
      <c r="D70" s="390" t="s">
        <v>185</v>
      </c>
      <c r="E70" s="390" t="s">
        <v>186</v>
      </c>
      <c r="F70" s="390">
        <v>417</v>
      </c>
      <c r="G70" s="390" t="s">
        <v>187</v>
      </c>
      <c r="H70" s="391"/>
      <c r="I70" s="390">
        <v>0.21679999999999999</v>
      </c>
      <c r="J70" s="390"/>
      <c r="K70" s="496" t="s">
        <v>339</v>
      </c>
      <c r="M70" s="37"/>
    </row>
    <row r="71" spans="2:13" ht="37.5" x14ac:dyDescent="0.25">
      <c r="B71" s="813"/>
      <c r="C71" s="390" t="s">
        <v>152</v>
      </c>
      <c r="D71" s="390" t="s">
        <v>185</v>
      </c>
      <c r="E71" s="390" t="s">
        <v>186</v>
      </c>
      <c r="F71" s="390">
        <v>123</v>
      </c>
      <c r="G71" s="390" t="s">
        <v>187</v>
      </c>
      <c r="H71" s="391"/>
      <c r="I71" s="390">
        <v>6.4000000000000001E-2</v>
      </c>
      <c r="J71" s="390"/>
      <c r="K71" s="496" t="s">
        <v>339</v>
      </c>
      <c r="M71" s="37"/>
    </row>
    <row r="72" spans="2:13" ht="37.5" x14ac:dyDescent="0.25">
      <c r="B72" s="813"/>
      <c r="C72" s="390" t="s">
        <v>146</v>
      </c>
      <c r="D72" s="390" t="s">
        <v>195</v>
      </c>
      <c r="E72" s="390" t="s">
        <v>196</v>
      </c>
      <c r="F72" s="390">
        <v>30</v>
      </c>
      <c r="G72" s="390" t="s">
        <v>25</v>
      </c>
      <c r="H72" s="391"/>
      <c r="I72" s="390">
        <v>0.31630000000000003</v>
      </c>
      <c r="J72" s="390"/>
      <c r="K72" s="496" t="s">
        <v>330</v>
      </c>
      <c r="M72" s="37"/>
    </row>
    <row r="73" spans="2:13" ht="25" x14ac:dyDescent="0.25">
      <c r="B73" s="813"/>
      <c r="C73" s="390" t="s">
        <v>161</v>
      </c>
      <c r="D73" s="390" t="s">
        <v>190</v>
      </c>
      <c r="E73" s="390" t="s">
        <v>193</v>
      </c>
      <c r="F73" s="390">
        <v>1194</v>
      </c>
      <c r="G73" s="390" t="s">
        <v>192</v>
      </c>
      <c r="H73" s="391">
        <v>0.12</v>
      </c>
      <c r="I73" s="390">
        <v>0.81310000000000004</v>
      </c>
      <c r="J73" s="390">
        <v>9.7600000000000006E-2</v>
      </c>
      <c r="K73" s="496" t="s">
        <v>337</v>
      </c>
      <c r="M73" s="37"/>
    </row>
    <row r="74" spans="2:13" ht="25" x14ac:dyDescent="0.25">
      <c r="B74" s="813"/>
      <c r="C74" s="390" t="s">
        <v>161</v>
      </c>
      <c r="D74" s="390" t="s">
        <v>190</v>
      </c>
      <c r="E74" s="390" t="s">
        <v>191</v>
      </c>
      <c r="F74" s="390">
        <v>1238</v>
      </c>
      <c r="G74" s="390" t="s">
        <v>192</v>
      </c>
      <c r="H74" s="391"/>
      <c r="I74" s="390">
        <v>0.3256</v>
      </c>
      <c r="J74" s="390"/>
      <c r="K74" s="496" t="s">
        <v>337</v>
      </c>
      <c r="M74" s="37"/>
    </row>
    <row r="75" spans="2:13" ht="17.149999999999999" customHeight="1" x14ac:dyDescent="0.25">
      <c r="B75" s="507" t="s">
        <v>344</v>
      </c>
      <c r="C75" s="396"/>
      <c r="D75" s="396"/>
      <c r="E75" s="396"/>
      <c r="F75" s="396"/>
      <c r="G75" s="396"/>
      <c r="H75" s="397"/>
      <c r="I75" s="398">
        <f>SUM(I60:I74)</f>
        <v>122.52420000000001</v>
      </c>
      <c r="J75" s="400">
        <f>SUM(J60:J74)</f>
        <v>9.7600000000000006E-2</v>
      </c>
      <c r="K75" s="497" t="s">
        <v>90</v>
      </c>
    </row>
    <row r="76" spans="2:13" ht="37.5" x14ac:dyDescent="0.25">
      <c r="B76" s="812" t="s">
        <v>294</v>
      </c>
      <c r="C76" s="390" t="s">
        <v>148</v>
      </c>
      <c r="D76" s="390" t="s">
        <v>167</v>
      </c>
      <c r="E76" s="390" t="s">
        <v>168</v>
      </c>
      <c r="F76" s="390">
        <v>95</v>
      </c>
      <c r="G76" s="390" t="s">
        <v>25</v>
      </c>
      <c r="H76" s="391"/>
      <c r="I76" s="390">
        <v>0.98250000000000004</v>
      </c>
      <c r="J76" s="390"/>
      <c r="K76" s="496" t="s">
        <v>328</v>
      </c>
      <c r="M76" s="37"/>
    </row>
    <row r="77" spans="2:13" ht="25" x14ac:dyDescent="0.25">
      <c r="B77" s="813"/>
      <c r="C77" s="390" t="s">
        <v>149</v>
      </c>
      <c r="D77" s="390" t="s">
        <v>169</v>
      </c>
      <c r="E77" s="390" t="s">
        <v>170</v>
      </c>
      <c r="F77" s="390">
        <v>1191</v>
      </c>
      <c r="G77" s="390" t="s">
        <v>171</v>
      </c>
      <c r="H77" s="391"/>
      <c r="I77" s="390">
        <v>4.7045000000000003</v>
      </c>
      <c r="J77" s="390"/>
      <c r="K77" s="496" t="s">
        <v>328</v>
      </c>
      <c r="M77" s="37"/>
    </row>
    <row r="78" spans="2:13" ht="37.5" x14ac:dyDescent="0.25">
      <c r="B78" s="813"/>
      <c r="C78" s="390" t="s">
        <v>151</v>
      </c>
      <c r="D78" s="390" t="s">
        <v>189</v>
      </c>
      <c r="E78" s="390" t="s">
        <v>747</v>
      </c>
      <c r="F78" s="390">
        <v>210</v>
      </c>
      <c r="G78" s="390" t="s">
        <v>187</v>
      </c>
      <c r="H78" s="391"/>
      <c r="I78" s="390">
        <v>8.4900000000000003E-2</v>
      </c>
      <c r="J78" s="390"/>
      <c r="K78" s="496" t="s">
        <v>339</v>
      </c>
      <c r="M78" s="37"/>
    </row>
    <row r="79" spans="2:13" ht="25" x14ac:dyDescent="0.25">
      <c r="B79" s="813"/>
      <c r="C79" s="390" t="s">
        <v>157</v>
      </c>
      <c r="D79" s="390" t="s">
        <v>172</v>
      </c>
      <c r="E79" s="390" t="s">
        <v>173</v>
      </c>
      <c r="F79" s="390">
        <v>12</v>
      </c>
      <c r="G79" s="390" t="s">
        <v>171</v>
      </c>
      <c r="H79" s="391"/>
      <c r="I79" s="390">
        <v>3.0663999999999998</v>
      </c>
      <c r="J79" s="390"/>
      <c r="K79" s="496" t="s">
        <v>338</v>
      </c>
      <c r="M79" s="37"/>
    </row>
    <row r="80" spans="2:13" ht="25" x14ac:dyDescent="0.25">
      <c r="B80" s="813"/>
      <c r="C80" s="390" t="s">
        <v>157</v>
      </c>
      <c r="D80" s="390" t="s">
        <v>172</v>
      </c>
      <c r="E80" s="390" t="s">
        <v>174</v>
      </c>
      <c r="F80" s="390">
        <v>172</v>
      </c>
      <c r="G80" s="390" t="s">
        <v>171</v>
      </c>
      <c r="H80" s="391"/>
      <c r="I80" s="390">
        <v>45.243899999999996</v>
      </c>
      <c r="J80" s="390"/>
      <c r="K80" s="496" t="s">
        <v>338</v>
      </c>
      <c r="M80" s="37"/>
    </row>
    <row r="81" spans="2:13" ht="25" x14ac:dyDescent="0.25">
      <c r="B81" s="813"/>
      <c r="C81" s="390" t="s">
        <v>157</v>
      </c>
      <c r="D81" s="390" t="s">
        <v>172</v>
      </c>
      <c r="E81" s="390" t="s">
        <v>174</v>
      </c>
      <c r="F81" s="390">
        <v>4</v>
      </c>
      <c r="G81" s="390" t="s">
        <v>171</v>
      </c>
      <c r="H81" s="391"/>
      <c r="I81" s="390">
        <v>1.0522</v>
      </c>
      <c r="J81" s="390"/>
      <c r="K81" s="496" t="s">
        <v>338</v>
      </c>
      <c r="M81" s="37"/>
    </row>
    <row r="82" spans="2:13" ht="25" x14ac:dyDescent="0.25">
      <c r="B82" s="813"/>
      <c r="C82" s="390" t="s">
        <v>157</v>
      </c>
      <c r="D82" s="390" t="s">
        <v>172</v>
      </c>
      <c r="E82" s="390" t="s">
        <v>174</v>
      </c>
      <c r="F82" s="390">
        <v>25</v>
      </c>
      <c r="G82" s="390" t="s">
        <v>171</v>
      </c>
      <c r="H82" s="391"/>
      <c r="I82" s="390">
        <v>6.5762</v>
      </c>
      <c r="J82" s="390"/>
      <c r="K82" s="496" t="s">
        <v>338</v>
      </c>
      <c r="M82" s="37"/>
    </row>
    <row r="83" spans="2:13" ht="25" x14ac:dyDescent="0.25">
      <c r="B83" s="813"/>
      <c r="C83" s="390" t="s">
        <v>157</v>
      </c>
      <c r="D83" s="390" t="s">
        <v>172</v>
      </c>
      <c r="E83" s="390" t="s">
        <v>271</v>
      </c>
      <c r="F83" s="390">
        <v>44</v>
      </c>
      <c r="G83" s="390" t="s">
        <v>175</v>
      </c>
      <c r="H83" s="391"/>
      <c r="I83" s="390">
        <v>153.01390000000001</v>
      </c>
      <c r="J83" s="390"/>
      <c r="K83" s="496" t="s">
        <v>338</v>
      </c>
      <c r="M83" s="37"/>
    </row>
    <row r="84" spans="2:13" ht="37.5" x14ac:dyDescent="0.25">
      <c r="B84" s="813"/>
      <c r="C84" s="390" t="s">
        <v>157</v>
      </c>
      <c r="D84" s="390" t="s">
        <v>176</v>
      </c>
      <c r="E84" s="390" t="s">
        <v>177</v>
      </c>
      <c r="F84" s="390">
        <v>28</v>
      </c>
      <c r="G84" s="390" t="s">
        <v>178</v>
      </c>
      <c r="H84" s="391"/>
      <c r="I84" s="390">
        <v>16.8917</v>
      </c>
      <c r="J84" s="390"/>
      <c r="K84" s="496" t="s">
        <v>330</v>
      </c>
      <c r="M84" s="37"/>
    </row>
    <row r="85" spans="2:13" ht="37.5" x14ac:dyDescent="0.25">
      <c r="B85" s="813"/>
      <c r="C85" s="390" t="s">
        <v>148</v>
      </c>
      <c r="D85" s="390" t="s">
        <v>180</v>
      </c>
      <c r="E85" s="390" t="s">
        <v>181</v>
      </c>
      <c r="F85" s="390">
        <v>2</v>
      </c>
      <c r="G85" s="390" t="s">
        <v>175</v>
      </c>
      <c r="H85" s="391"/>
      <c r="I85" s="390">
        <v>1.0812999999999999</v>
      </c>
      <c r="J85" s="390"/>
      <c r="K85" s="496" t="s">
        <v>338</v>
      </c>
      <c r="M85" s="37"/>
    </row>
    <row r="86" spans="2:13" ht="25" x14ac:dyDescent="0.25">
      <c r="B86" s="813"/>
      <c r="C86" s="390" t="s">
        <v>148</v>
      </c>
      <c r="D86" s="390" t="s">
        <v>180</v>
      </c>
      <c r="E86" s="390" t="s">
        <v>188</v>
      </c>
      <c r="F86" s="390">
        <v>4</v>
      </c>
      <c r="G86" s="390" t="s">
        <v>175</v>
      </c>
      <c r="H86" s="391"/>
      <c r="I86" s="390">
        <v>10.036099999999999</v>
      </c>
      <c r="J86" s="390"/>
      <c r="K86" s="496" t="s">
        <v>338</v>
      </c>
      <c r="M86" s="37"/>
    </row>
    <row r="87" spans="2:13" ht="37.5" x14ac:dyDescent="0.25">
      <c r="B87" s="813"/>
      <c r="C87" s="390" t="s">
        <v>152</v>
      </c>
      <c r="D87" s="390" t="s">
        <v>185</v>
      </c>
      <c r="E87" s="390" t="s">
        <v>186</v>
      </c>
      <c r="F87" s="390">
        <v>319</v>
      </c>
      <c r="G87" s="390" t="s">
        <v>187</v>
      </c>
      <c r="H87" s="391"/>
      <c r="I87" s="390">
        <v>0.16589999999999999</v>
      </c>
      <c r="J87" s="390"/>
      <c r="K87" s="496" t="s">
        <v>339</v>
      </c>
      <c r="M87" s="37"/>
    </row>
    <row r="88" spans="2:13" ht="37.5" x14ac:dyDescent="0.25">
      <c r="B88" s="813"/>
      <c r="C88" s="390" t="s">
        <v>152</v>
      </c>
      <c r="D88" s="390" t="s">
        <v>185</v>
      </c>
      <c r="E88" s="390" t="s">
        <v>186</v>
      </c>
      <c r="F88" s="390">
        <v>90</v>
      </c>
      <c r="G88" s="390" t="s">
        <v>187</v>
      </c>
      <c r="H88" s="391"/>
      <c r="I88" s="390">
        <v>4.6800000000000001E-2</v>
      </c>
      <c r="J88" s="390"/>
      <c r="K88" s="496" t="s">
        <v>339</v>
      </c>
      <c r="M88" s="37"/>
    </row>
    <row r="89" spans="2:13" ht="37.5" x14ac:dyDescent="0.25">
      <c r="B89" s="813"/>
      <c r="C89" s="390" t="s">
        <v>146</v>
      </c>
      <c r="D89" s="390" t="s">
        <v>195</v>
      </c>
      <c r="E89" s="390" t="s">
        <v>196</v>
      </c>
      <c r="F89" s="390">
        <v>35</v>
      </c>
      <c r="G89" s="390" t="s">
        <v>25</v>
      </c>
      <c r="H89" s="391"/>
      <c r="I89" s="390">
        <v>0.36899999999999999</v>
      </c>
      <c r="J89" s="390"/>
      <c r="K89" s="496" t="s">
        <v>330</v>
      </c>
      <c r="M89" s="37"/>
    </row>
    <row r="90" spans="2:13" ht="25" x14ac:dyDescent="0.25">
      <c r="B90" s="813"/>
      <c r="C90" s="390" t="s">
        <v>161</v>
      </c>
      <c r="D90" s="390" t="s">
        <v>190</v>
      </c>
      <c r="E90" s="390" t="s">
        <v>193</v>
      </c>
      <c r="F90" s="390">
        <v>854</v>
      </c>
      <c r="G90" s="390" t="s">
        <v>192</v>
      </c>
      <c r="H90" s="391">
        <v>0.12</v>
      </c>
      <c r="I90" s="390">
        <v>0.58160000000000001</v>
      </c>
      <c r="J90" s="390">
        <v>6.9800000000000001E-2</v>
      </c>
      <c r="K90" s="496" t="s">
        <v>337</v>
      </c>
      <c r="M90" s="37"/>
    </row>
    <row r="91" spans="2:13" ht="25" x14ac:dyDescent="0.25">
      <c r="B91" s="813"/>
      <c r="C91" s="390" t="s">
        <v>161</v>
      </c>
      <c r="D91" s="390" t="s">
        <v>190</v>
      </c>
      <c r="E91" s="390" t="s">
        <v>191</v>
      </c>
      <c r="F91" s="390">
        <v>823</v>
      </c>
      <c r="G91" s="390" t="s">
        <v>192</v>
      </c>
      <c r="H91" s="391"/>
      <c r="I91" s="390">
        <v>0.21640000000000001</v>
      </c>
      <c r="J91" s="390"/>
      <c r="K91" s="496" t="s">
        <v>337</v>
      </c>
      <c r="M91" s="37"/>
    </row>
    <row r="92" spans="2:13" ht="12" customHeight="1" thickBot="1" x14ac:dyDescent="0.3">
      <c r="B92" s="508" t="s">
        <v>344</v>
      </c>
      <c r="C92" s="509"/>
      <c r="D92" s="509"/>
      <c r="E92" s="509"/>
      <c r="F92" s="509"/>
      <c r="G92" s="509"/>
      <c r="H92" s="510"/>
      <c r="I92" s="511">
        <f>SUM(I76:I91)</f>
        <v>244.11329999999998</v>
      </c>
      <c r="J92" s="512">
        <f>SUM(J76:J91)</f>
        <v>6.9800000000000001E-2</v>
      </c>
      <c r="K92" s="501" t="s">
        <v>90</v>
      </c>
    </row>
    <row r="93" spans="2:13" ht="13" x14ac:dyDescent="0.3">
      <c r="B93" s="770"/>
      <c r="C93" s="770"/>
      <c r="D93" s="770"/>
      <c r="E93" s="15"/>
      <c r="F93" s="15"/>
      <c r="G93" s="15"/>
      <c r="H93" s="14"/>
      <c r="I93" s="36"/>
      <c r="J93" s="37"/>
      <c r="K93" s="37"/>
    </row>
    <row r="94" spans="2:13" x14ac:dyDescent="0.25">
      <c r="B94" s="38"/>
      <c r="C94" s="38"/>
      <c r="D94" s="37"/>
      <c r="E94" s="37"/>
      <c r="F94" s="37"/>
      <c r="G94" s="37"/>
      <c r="H94" s="371"/>
      <c r="I94" s="371"/>
      <c r="J94" s="37"/>
      <c r="K94" s="37"/>
    </row>
    <row r="95" spans="2:13" x14ac:dyDescent="0.25">
      <c r="B95" s="38"/>
      <c r="C95" s="38"/>
      <c r="D95" s="37"/>
      <c r="E95" s="37"/>
      <c r="F95" s="37"/>
      <c r="G95" s="37"/>
      <c r="H95" s="371"/>
      <c r="I95" s="371"/>
      <c r="J95" s="37"/>
      <c r="K95" s="37"/>
    </row>
    <row r="96" spans="2:13" x14ac:dyDescent="0.25">
      <c r="B96" s="38"/>
      <c r="C96" s="38"/>
      <c r="D96" s="37"/>
      <c r="E96" s="37"/>
      <c r="F96" s="37"/>
      <c r="G96" s="37"/>
      <c r="H96" s="371"/>
      <c r="I96" s="371"/>
      <c r="J96" s="37"/>
      <c r="K96" s="37"/>
    </row>
    <row r="97" spans="2:11" x14ac:dyDescent="0.25">
      <c r="B97" s="37"/>
      <c r="C97" s="37"/>
      <c r="D97" s="37"/>
      <c r="E97" s="37"/>
      <c r="F97" s="37"/>
      <c r="G97" s="37"/>
      <c r="H97" s="369"/>
      <c r="I97" s="369"/>
      <c r="J97" s="37"/>
      <c r="K97" s="37"/>
    </row>
    <row r="98" spans="2:11" x14ac:dyDescent="0.25">
      <c r="B98" s="37"/>
      <c r="C98" s="37"/>
      <c r="D98" s="37"/>
      <c r="E98" s="37"/>
      <c r="F98" s="37"/>
      <c r="G98" s="37"/>
      <c r="H98" s="37"/>
      <c r="I98" s="37"/>
      <c r="J98" s="37"/>
      <c r="K98" s="37"/>
    </row>
    <row r="99" spans="2:11" ht="27" customHeight="1" x14ac:dyDescent="0.25">
      <c r="B99" s="769"/>
      <c r="C99" s="769"/>
      <c r="D99" s="769"/>
      <c r="E99" s="769"/>
      <c r="F99" s="769"/>
      <c r="G99" s="769"/>
      <c r="H99" s="769"/>
      <c r="I99" s="769"/>
      <c r="J99" s="37"/>
      <c r="K99" s="37"/>
    </row>
    <row r="100" spans="2:11" ht="13" x14ac:dyDescent="0.3">
      <c r="B100" s="15"/>
      <c r="C100" s="15"/>
      <c r="D100" s="15"/>
      <c r="E100" s="15"/>
      <c r="F100" s="15"/>
      <c r="G100" s="15"/>
      <c r="H100" s="14"/>
      <c r="I100" s="36"/>
      <c r="J100" s="37"/>
      <c r="K100" s="37"/>
    </row>
    <row r="101" spans="2:11" ht="13" x14ac:dyDescent="0.3">
      <c r="B101" s="735"/>
      <c r="C101" s="735"/>
      <c r="D101" s="735"/>
      <c r="E101" s="61"/>
      <c r="F101" s="61"/>
      <c r="G101" s="61"/>
      <c r="H101" s="31"/>
      <c r="I101" s="39"/>
      <c r="J101" s="37"/>
      <c r="K101" s="37"/>
    </row>
    <row r="102" spans="2:11" ht="13" x14ac:dyDescent="0.3">
      <c r="B102" s="735"/>
      <c r="C102" s="735"/>
      <c r="D102" s="735"/>
      <c r="E102" s="61"/>
      <c r="F102" s="61"/>
      <c r="G102" s="61"/>
      <c r="H102" s="33"/>
      <c r="I102" s="39"/>
      <c r="J102" s="37"/>
      <c r="K102" s="37"/>
    </row>
    <row r="103" spans="2:11" x14ac:dyDescent="0.25">
      <c r="B103" s="37"/>
      <c r="C103" s="37"/>
      <c r="D103" s="37"/>
      <c r="E103" s="37"/>
      <c r="F103" s="37"/>
      <c r="G103" s="37"/>
      <c r="H103" s="37"/>
      <c r="I103" s="37"/>
      <c r="J103" s="37"/>
      <c r="K103" s="37"/>
    </row>
    <row r="104" spans="2:11" x14ac:dyDescent="0.25">
      <c r="B104" s="37"/>
      <c r="C104" s="37"/>
      <c r="D104" s="37"/>
      <c r="E104" s="37"/>
      <c r="F104" s="37"/>
      <c r="G104" s="37"/>
      <c r="H104" s="37"/>
      <c r="I104" s="37"/>
      <c r="J104" s="37"/>
      <c r="K104" s="37"/>
    </row>
    <row r="105" spans="2:11" s="393" customFormat="1" ht="25" customHeight="1" x14ac:dyDescent="0.35">
      <c r="B105" s="769"/>
      <c r="C105" s="769"/>
      <c r="D105" s="769"/>
      <c r="E105" s="253"/>
      <c r="F105" s="253"/>
      <c r="G105" s="253"/>
      <c r="H105" s="335"/>
      <c r="I105" s="335"/>
      <c r="J105" s="335"/>
      <c r="K105" s="335"/>
    </row>
    <row r="106" spans="2:11" x14ac:dyDescent="0.25">
      <c r="B106" s="37"/>
      <c r="C106" s="37"/>
      <c r="D106" s="37"/>
      <c r="E106" s="37"/>
      <c r="F106" s="37"/>
      <c r="G106" s="37"/>
      <c r="H106" s="37"/>
      <c r="I106" s="37"/>
      <c r="J106" s="37"/>
      <c r="K106" s="37"/>
    </row>
    <row r="107" spans="2:11" x14ac:dyDescent="0.25">
      <c r="B107" s="37"/>
      <c r="C107" s="37"/>
      <c r="D107" s="37"/>
      <c r="E107" s="37"/>
      <c r="F107" s="37"/>
      <c r="G107" s="37"/>
      <c r="H107" s="37"/>
      <c r="I107" s="37"/>
      <c r="J107" s="37"/>
      <c r="K107" s="37"/>
    </row>
    <row r="108" spans="2:11" x14ac:dyDescent="0.25">
      <c r="B108" s="37"/>
      <c r="C108" s="37"/>
      <c r="D108" s="37"/>
      <c r="E108" s="37"/>
      <c r="F108" s="37"/>
      <c r="G108" s="37"/>
      <c r="H108" s="37"/>
      <c r="I108" s="37"/>
      <c r="J108" s="37"/>
      <c r="K108" s="37"/>
    </row>
    <row r="109" spans="2:11" x14ac:dyDescent="0.25">
      <c r="B109" s="37"/>
      <c r="C109" s="37"/>
      <c r="D109" s="37"/>
      <c r="E109" s="37"/>
      <c r="F109" s="37"/>
      <c r="G109" s="37"/>
      <c r="H109" s="37"/>
      <c r="I109" s="37"/>
      <c r="J109" s="37"/>
      <c r="K109" s="37"/>
    </row>
    <row r="110" spans="2:11" x14ac:dyDescent="0.25">
      <c r="B110" s="37"/>
      <c r="C110" s="37"/>
      <c r="D110" s="37"/>
      <c r="E110" s="37"/>
      <c r="F110" s="37"/>
      <c r="G110" s="37"/>
      <c r="H110" s="37"/>
      <c r="I110" s="37"/>
      <c r="J110" s="37"/>
      <c r="K110" s="37"/>
    </row>
    <row r="111" spans="2:11" x14ac:dyDescent="0.25">
      <c r="B111" s="37"/>
      <c r="C111" s="37"/>
      <c r="D111" s="37"/>
      <c r="E111" s="37"/>
      <c r="F111" s="37"/>
      <c r="G111" s="37"/>
      <c r="H111" s="37"/>
      <c r="I111" s="37"/>
      <c r="J111" s="37"/>
      <c r="K111" s="37"/>
    </row>
    <row r="112" spans="2:11" x14ac:dyDescent="0.25">
      <c r="B112" s="37"/>
      <c r="C112" s="37"/>
      <c r="D112" s="37"/>
      <c r="E112" s="37"/>
      <c r="F112" s="37"/>
      <c r="G112" s="37"/>
      <c r="H112" s="37"/>
      <c r="I112" s="37"/>
      <c r="J112" s="37"/>
      <c r="K112" s="37"/>
    </row>
  </sheetData>
  <mergeCells count="28">
    <mergeCell ref="O4:O5"/>
    <mergeCell ref="B30:D30"/>
    <mergeCell ref="B34:D34"/>
    <mergeCell ref="B93:D93"/>
    <mergeCell ref="B4:B5"/>
    <mergeCell ref="C4:C5"/>
    <mergeCell ref="D4:D5"/>
    <mergeCell ref="E4:E5"/>
    <mergeCell ref="I4:J4"/>
    <mergeCell ref="K4:L4"/>
    <mergeCell ref="B42:B43"/>
    <mergeCell ref="C42:D42"/>
    <mergeCell ref="M4:N4"/>
    <mergeCell ref="B99:I99"/>
    <mergeCell ref="B101:D101"/>
    <mergeCell ref="B102:D102"/>
    <mergeCell ref="B105:D105"/>
    <mergeCell ref="F4:F5"/>
    <mergeCell ref="G4:G5"/>
    <mergeCell ref="B12:B13"/>
    <mergeCell ref="B14:B15"/>
    <mergeCell ref="B16:B18"/>
    <mergeCell ref="B19:B21"/>
    <mergeCell ref="B11:C11"/>
    <mergeCell ref="B10:C10"/>
    <mergeCell ref="E42:F42"/>
    <mergeCell ref="B60:B74"/>
    <mergeCell ref="B76:B9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A79CBF2-EA15-40D2-AB8C-60378C6C4513}">
          <x14:formula1>
            <xm:f>'Task 3 - Material summary'!$B$7:$B$14</xm:f>
          </x14:formula1>
          <xm:sqref>K60:K92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00CD-73FB-4161-9545-681CF8A1DE56}">
  <sheetPr>
    <tabColor rgb="FF00353E"/>
  </sheetPr>
  <dimension ref="A1:M79"/>
  <sheetViews>
    <sheetView showGridLines="0" workbookViewId="0"/>
  </sheetViews>
  <sheetFormatPr defaultColWidth="8.7265625" defaultRowHeight="12.5" x14ac:dyDescent="0.25"/>
  <cols>
    <col min="1" max="1" width="4.1796875" style="300" customWidth="1"/>
    <col min="2" max="2" width="41.453125" style="366" customWidth="1"/>
    <col min="3" max="3" width="21.1796875" style="366" customWidth="1"/>
    <col min="4" max="4" width="21.453125" style="366" customWidth="1"/>
    <col min="5" max="6" width="15" style="366" customWidth="1"/>
    <col min="7" max="8" width="22.7265625" style="366" customWidth="1"/>
    <col min="9" max="9" width="17.453125" style="366" customWidth="1"/>
    <col min="10" max="10" width="24" style="300" customWidth="1"/>
    <col min="11" max="11" width="31.453125" style="300" customWidth="1"/>
    <col min="12" max="12" width="28.81640625" style="300" customWidth="1"/>
    <col min="13" max="13" width="18.81640625" style="300" customWidth="1"/>
    <col min="14" max="16384" width="8.7265625" style="300"/>
  </cols>
  <sheetData>
    <row r="1" spans="2:13" s="363" customFormat="1" ht="25" customHeight="1" x14ac:dyDescent="0.35">
      <c r="B1" s="306" t="s">
        <v>476</v>
      </c>
      <c r="D1" s="364"/>
      <c r="E1" s="364"/>
      <c r="F1" s="364"/>
      <c r="G1" s="364"/>
      <c r="H1" s="364"/>
      <c r="I1" s="364"/>
    </row>
    <row r="2" spans="2:13" s="363" customFormat="1" ht="18" customHeight="1" x14ac:dyDescent="0.35">
      <c r="B2" s="363" t="s">
        <v>652</v>
      </c>
      <c r="G2" s="364"/>
      <c r="H2" s="364"/>
    </row>
    <row r="3" spans="2:13" ht="39.65" customHeight="1" thickBot="1" x14ac:dyDescent="0.35">
      <c r="B3" s="365" t="s">
        <v>443</v>
      </c>
      <c r="G3" s="367" t="s">
        <v>444</v>
      </c>
      <c r="J3" s="366"/>
      <c r="K3" s="366"/>
    </row>
    <row r="4" spans="2:13" ht="31.5" customHeight="1" x14ac:dyDescent="0.25">
      <c r="B4" s="771" t="s">
        <v>37</v>
      </c>
      <c r="C4" s="773" t="s">
        <v>85</v>
      </c>
      <c r="D4" s="773" t="s">
        <v>381</v>
      </c>
      <c r="E4" s="791" t="s">
        <v>629</v>
      </c>
      <c r="G4" s="786" t="s">
        <v>69</v>
      </c>
      <c r="H4" s="787"/>
      <c r="I4" s="794" t="s">
        <v>70</v>
      </c>
      <c r="J4" s="787"/>
      <c r="K4" s="794" t="s">
        <v>342</v>
      </c>
      <c r="L4" s="794"/>
      <c r="M4" s="791" t="s">
        <v>382</v>
      </c>
    </row>
    <row r="5" spans="2:13" ht="24.75" customHeight="1" x14ac:dyDescent="0.25">
      <c r="B5" s="772"/>
      <c r="C5" s="774"/>
      <c r="D5" s="774"/>
      <c r="E5" s="792"/>
      <c r="G5" s="64" t="s">
        <v>71</v>
      </c>
      <c r="H5" s="65" t="s">
        <v>72</v>
      </c>
      <c r="I5" s="66" t="s">
        <v>73</v>
      </c>
      <c r="J5" s="67" t="s">
        <v>74</v>
      </c>
      <c r="K5" s="155" t="s">
        <v>636</v>
      </c>
      <c r="L5" s="155" t="s">
        <v>689</v>
      </c>
      <c r="M5" s="814"/>
    </row>
    <row r="6" spans="2:13" ht="15" customHeight="1" thickBot="1" x14ac:dyDescent="0.3">
      <c r="B6" s="207" t="s">
        <v>32</v>
      </c>
      <c r="C6" s="69">
        <f>'Structure dimensions'!C76</f>
        <v>3760</v>
      </c>
      <c r="D6" s="348">
        <f>SUM(G6:J6)</f>
        <v>1605.4286999999999</v>
      </c>
      <c r="E6" s="41">
        <f>M6</f>
        <v>2362.8717999999999</v>
      </c>
      <c r="G6" s="70">
        <f>H79</f>
        <v>526.12869999999998</v>
      </c>
      <c r="H6" s="71">
        <v>68.3</v>
      </c>
      <c r="I6" s="74">
        <v>886.2</v>
      </c>
      <c r="J6" s="71">
        <v>124.8</v>
      </c>
      <c r="K6" s="74">
        <f>I79</f>
        <v>757.44310000000007</v>
      </c>
      <c r="L6" s="74">
        <v>0</v>
      </c>
      <c r="M6" s="200">
        <f>SUM(G6:L6)</f>
        <v>2362.8717999999999</v>
      </c>
    </row>
    <row r="7" spans="2:13" ht="35.25" customHeight="1" thickTop="1" thickBot="1" x14ac:dyDescent="0.3">
      <c r="B7" s="417" t="s">
        <v>2</v>
      </c>
      <c r="C7" s="425"/>
      <c r="D7" s="426">
        <f>D6</f>
        <v>1605.4286999999999</v>
      </c>
      <c r="E7" s="206">
        <f>E6</f>
        <v>2362.8717999999999</v>
      </c>
      <c r="G7" s="192" t="s">
        <v>81</v>
      </c>
      <c r="H7" s="72">
        <f>SUM(G6:H6)</f>
        <v>594.42869999999994</v>
      </c>
      <c r="I7" s="193" t="s">
        <v>81</v>
      </c>
      <c r="J7" s="72">
        <f>SUM(I6:J6)</f>
        <v>1011</v>
      </c>
      <c r="K7" s="193" t="s">
        <v>346</v>
      </c>
      <c r="L7" s="196">
        <f>SUM(K6:L6)</f>
        <v>757.44310000000007</v>
      </c>
      <c r="M7" s="427">
        <f>SUM(M6)</f>
        <v>2362.8717999999999</v>
      </c>
    </row>
    <row r="8" spans="2:13" ht="13" x14ac:dyDescent="0.25">
      <c r="B8" s="770"/>
      <c r="C8" s="770"/>
      <c r="D8" s="770"/>
      <c r="E8" s="14"/>
      <c r="F8" s="14"/>
      <c r="G8" s="300" t="s">
        <v>490</v>
      </c>
      <c r="H8" s="37"/>
      <c r="I8" s="37"/>
    </row>
    <row r="9" spans="2:13" ht="13.5" thickBot="1" x14ac:dyDescent="0.35">
      <c r="B9" s="33"/>
      <c r="C9" s="33"/>
      <c r="D9" s="33"/>
      <c r="E9" s="372"/>
      <c r="F9" s="372"/>
      <c r="G9" s="372"/>
      <c r="H9" s="37"/>
      <c r="I9" s="37"/>
    </row>
    <row r="10" spans="2:13" ht="13" x14ac:dyDescent="0.3">
      <c r="B10" s="799" t="s">
        <v>383</v>
      </c>
      <c r="C10" s="800"/>
      <c r="D10" s="342" t="s">
        <v>384</v>
      </c>
      <c r="E10" s="343" t="s">
        <v>10</v>
      </c>
      <c r="F10" s="372"/>
      <c r="G10" s="372"/>
      <c r="H10" s="37"/>
      <c r="I10" s="37"/>
    </row>
    <row r="11" spans="2:13" ht="25" customHeight="1" x14ac:dyDescent="0.3">
      <c r="B11" s="804" t="s">
        <v>86</v>
      </c>
      <c r="C11" s="805"/>
      <c r="D11" s="205">
        <v>3760</v>
      </c>
      <c r="E11" s="301" t="s">
        <v>25</v>
      </c>
      <c r="F11" s="372"/>
      <c r="G11" s="372"/>
      <c r="H11" s="37"/>
      <c r="I11" s="37"/>
    </row>
    <row r="12" spans="2:13" ht="42.65" customHeight="1" x14ac:dyDescent="0.3">
      <c r="B12" s="775" t="s">
        <v>641</v>
      </c>
      <c r="C12" s="344" t="s">
        <v>623</v>
      </c>
      <c r="D12" s="81">
        <f>D6/C6</f>
        <v>0.42697571808510637</v>
      </c>
      <c r="E12" s="301" t="s">
        <v>412</v>
      </c>
      <c r="F12" s="335"/>
      <c r="G12" s="372"/>
      <c r="H12" s="37"/>
      <c r="I12" s="37"/>
    </row>
    <row r="13" spans="2:13" ht="42.65" customHeight="1" x14ac:dyDescent="0.3">
      <c r="B13" s="775"/>
      <c r="C13" s="344" t="s">
        <v>624</v>
      </c>
      <c r="D13" s="81">
        <f>E6/C6</f>
        <v>0.62842335106382974</v>
      </c>
      <c r="E13" s="301" t="s">
        <v>412</v>
      </c>
      <c r="F13" s="335"/>
      <c r="G13" s="372"/>
      <c r="H13" s="37"/>
      <c r="I13" s="37"/>
    </row>
    <row r="14" spans="2:13" ht="32.5" customHeight="1" x14ac:dyDescent="0.3">
      <c r="B14" s="775" t="s">
        <v>628</v>
      </c>
      <c r="C14" s="344" t="s">
        <v>3</v>
      </c>
      <c r="D14" s="186">
        <f>H7/E7</f>
        <v>0.25157044068154688</v>
      </c>
      <c r="E14" s="301" t="s">
        <v>388</v>
      </c>
      <c r="F14" s="335"/>
      <c r="G14" s="372"/>
      <c r="H14" s="37"/>
      <c r="I14" s="37"/>
    </row>
    <row r="15" spans="2:13" ht="32.5" customHeight="1" x14ac:dyDescent="0.3">
      <c r="B15" s="775"/>
      <c r="C15" s="344" t="s">
        <v>4</v>
      </c>
      <c r="D15" s="186">
        <f>J7/E7</f>
        <v>0.42786917174262268</v>
      </c>
      <c r="E15" s="301" t="s">
        <v>388</v>
      </c>
      <c r="F15" s="335"/>
      <c r="G15" s="372"/>
      <c r="H15" s="37"/>
      <c r="I15" s="37"/>
    </row>
    <row r="16" spans="2:13" ht="32.5" customHeight="1" x14ac:dyDescent="0.3">
      <c r="B16" s="775"/>
      <c r="C16" s="344" t="s">
        <v>627</v>
      </c>
      <c r="D16" s="186">
        <f>L7/E7</f>
        <v>0.32056038757583044</v>
      </c>
      <c r="E16" s="301" t="s">
        <v>388</v>
      </c>
      <c r="F16" s="335"/>
      <c r="G16" s="372"/>
      <c r="H16" s="37"/>
      <c r="I16" s="37"/>
    </row>
    <row r="17" spans="2:9" ht="32.5" customHeight="1" x14ac:dyDescent="0.3">
      <c r="B17" s="775" t="s">
        <v>642</v>
      </c>
      <c r="C17" s="344" t="s">
        <v>3</v>
      </c>
      <c r="D17" s="185">
        <f>D13*D14</f>
        <v>0.15809273936170209</v>
      </c>
      <c r="E17" s="301" t="s">
        <v>394</v>
      </c>
      <c r="F17" s="335"/>
      <c r="G17" s="372"/>
      <c r="H17" s="37"/>
      <c r="I17" s="37"/>
    </row>
    <row r="18" spans="2:9" ht="32.5" customHeight="1" x14ac:dyDescent="0.3">
      <c r="B18" s="775"/>
      <c r="C18" s="344" t="s">
        <v>4</v>
      </c>
      <c r="D18" s="185">
        <f>D13*D15</f>
        <v>0.26888297872340422</v>
      </c>
      <c r="E18" s="301" t="s">
        <v>394</v>
      </c>
      <c r="F18" s="335"/>
      <c r="G18" s="372"/>
      <c r="H18" s="37"/>
      <c r="I18" s="37"/>
    </row>
    <row r="19" spans="2:9" ht="32.5" customHeight="1" thickBot="1" x14ac:dyDescent="0.35">
      <c r="B19" s="808"/>
      <c r="C19" s="346" t="s">
        <v>627</v>
      </c>
      <c r="D19" s="187">
        <f>D13*D16</f>
        <v>0.20144763297872342</v>
      </c>
      <c r="E19" s="303" t="s">
        <v>394</v>
      </c>
      <c r="F19" s="335"/>
      <c r="G19" s="372"/>
      <c r="H19" s="37"/>
      <c r="I19" s="37"/>
    </row>
    <row r="20" spans="2:9" ht="23.15" customHeight="1" x14ac:dyDescent="0.25">
      <c r="B20" s="769"/>
      <c r="C20" s="769"/>
      <c r="D20" s="769"/>
      <c r="E20" s="769"/>
      <c r="F20" s="769"/>
      <c r="G20" s="769"/>
      <c r="H20" s="37"/>
      <c r="I20" s="37"/>
    </row>
    <row r="21" spans="2:9" ht="23.15" customHeight="1" x14ac:dyDescent="0.3">
      <c r="B21" s="770"/>
      <c r="C21" s="770"/>
      <c r="D21" s="770"/>
      <c r="E21" s="14"/>
      <c r="F21" s="14"/>
      <c r="G21" s="36"/>
      <c r="H21" s="37"/>
      <c r="I21" s="37"/>
    </row>
    <row r="22" spans="2:9" ht="23.15" customHeight="1" x14ac:dyDescent="0.25">
      <c r="B22" s="38"/>
      <c r="C22" s="38"/>
      <c r="D22" s="37"/>
      <c r="E22" s="369"/>
      <c r="F22" s="369"/>
      <c r="G22" s="369"/>
      <c r="H22" s="37"/>
      <c r="I22" s="37"/>
    </row>
    <row r="23" spans="2:9" ht="23.15" customHeight="1" x14ac:dyDescent="0.25">
      <c r="B23" s="38"/>
      <c r="C23" s="38"/>
      <c r="D23" s="37"/>
      <c r="E23" s="369"/>
      <c r="F23" s="369"/>
      <c r="G23" s="369"/>
      <c r="H23" s="37"/>
      <c r="I23" s="37"/>
    </row>
    <row r="24" spans="2:9" ht="23.15" customHeight="1" x14ac:dyDescent="0.25">
      <c r="B24" s="38"/>
      <c r="C24" s="38"/>
      <c r="D24" s="37"/>
      <c r="E24" s="369"/>
      <c r="F24" s="369"/>
      <c r="G24" s="369"/>
      <c r="H24" s="37"/>
      <c r="I24" s="37"/>
    </row>
    <row r="25" spans="2:9" ht="23.15" customHeight="1" x14ac:dyDescent="0.3">
      <c r="B25" s="770"/>
      <c r="C25" s="770"/>
      <c r="D25" s="770"/>
      <c r="E25" s="14"/>
      <c r="F25" s="14"/>
      <c r="G25" s="36"/>
      <c r="H25" s="37"/>
      <c r="I25" s="37"/>
    </row>
    <row r="26" spans="2:9" ht="23.15" customHeight="1" x14ac:dyDescent="0.25">
      <c r="B26" s="38"/>
      <c r="C26" s="38"/>
      <c r="D26" s="37"/>
      <c r="E26" s="370"/>
      <c r="F26" s="370"/>
      <c r="G26" s="370"/>
      <c r="H26" s="37"/>
      <c r="I26" s="37"/>
    </row>
    <row r="27" spans="2:9" ht="23.15" customHeight="1" x14ac:dyDescent="0.25">
      <c r="B27" s="38"/>
      <c r="C27" s="38"/>
      <c r="D27" s="37"/>
      <c r="E27" s="370"/>
      <c r="F27" s="370"/>
      <c r="G27" s="370"/>
      <c r="H27" s="37"/>
      <c r="I27" s="37"/>
    </row>
    <row r="28" spans="2:9" ht="23.15" customHeight="1" x14ac:dyDescent="0.25">
      <c r="B28" s="38"/>
      <c r="C28" s="38"/>
      <c r="D28" s="37"/>
      <c r="E28" s="370"/>
      <c r="F28" s="370"/>
      <c r="G28" s="370"/>
      <c r="H28" s="37"/>
      <c r="I28" s="37"/>
    </row>
    <row r="29" spans="2:9" ht="23.15" customHeight="1" x14ac:dyDescent="0.25">
      <c r="B29" s="38"/>
      <c r="C29" s="38"/>
      <c r="D29" s="37"/>
      <c r="E29" s="370"/>
      <c r="F29" s="370"/>
      <c r="G29" s="370"/>
      <c r="H29" s="37"/>
      <c r="I29" s="37"/>
    </row>
    <row r="30" spans="2:9" ht="23.15" customHeight="1" x14ac:dyDescent="0.25">
      <c r="B30" s="38"/>
      <c r="C30" s="38"/>
      <c r="D30" s="37"/>
      <c r="E30" s="370"/>
      <c r="F30" s="370"/>
      <c r="G30" s="370"/>
      <c r="H30" s="37"/>
      <c r="I30" s="37"/>
    </row>
    <row r="31" spans="2:9" ht="23.15" customHeight="1" x14ac:dyDescent="0.3">
      <c r="E31" s="14"/>
      <c r="F31" s="14"/>
      <c r="G31" s="36"/>
      <c r="H31" s="37"/>
      <c r="I31" s="37"/>
    </row>
    <row r="32" spans="2:9" ht="27" customHeight="1" x14ac:dyDescent="0.25">
      <c r="B32" s="38"/>
      <c r="C32" s="38"/>
      <c r="D32" s="37"/>
      <c r="E32" s="371"/>
      <c r="F32" s="371"/>
      <c r="G32" s="371"/>
      <c r="H32" s="37"/>
      <c r="I32" s="37"/>
    </row>
    <row r="33" spans="2:12" s="363" customFormat="1" ht="27.65" customHeight="1" x14ac:dyDescent="0.35">
      <c r="B33" s="306" t="s">
        <v>403</v>
      </c>
      <c r="D33" s="364"/>
      <c r="E33" s="364"/>
      <c r="F33" s="364"/>
      <c r="G33" s="364"/>
      <c r="H33" s="364"/>
      <c r="I33" s="364"/>
      <c r="J33" s="364"/>
      <c r="K33" s="364"/>
      <c r="L33" s="364"/>
    </row>
    <row r="34" spans="2:12" ht="13" thickBot="1" x14ac:dyDescent="0.3">
      <c r="B34" s="37"/>
      <c r="C34" s="37"/>
      <c r="D34" s="37"/>
      <c r="E34" s="37"/>
      <c r="F34" s="37"/>
      <c r="G34" s="37"/>
      <c r="H34" s="37"/>
      <c r="I34" s="37"/>
      <c r="J34" s="37"/>
      <c r="K34" s="37"/>
      <c r="L34" s="37"/>
    </row>
    <row r="35" spans="2:12" ht="23.15" customHeight="1" x14ac:dyDescent="0.25">
      <c r="B35" s="797" t="s">
        <v>348</v>
      </c>
      <c r="C35" s="795" t="s">
        <v>350</v>
      </c>
      <c r="D35" s="795"/>
      <c r="E35" s="809" t="s">
        <v>352</v>
      </c>
      <c r="F35" s="810"/>
      <c r="G35" s="37"/>
      <c r="H35" s="37"/>
      <c r="I35" s="37"/>
      <c r="J35" s="37"/>
      <c r="K35" s="37"/>
      <c r="L35" s="37"/>
    </row>
    <row r="36" spans="2:12" ht="26" x14ac:dyDescent="0.25">
      <c r="B36" s="798"/>
      <c r="C36" s="375" t="s">
        <v>351</v>
      </c>
      <c r="D36" s="375" t="s">
        <v>349</v>
      </c>
      <c r="E36" s="375" t="s">
        <v>351</v>
      </c>
      <c r="F36" s="454" t="s">
        <v>349</v>
      </c>
      <c r="G36" s="37"/>
      <c r="H36" s="37"/>
      <c r="I36" s="37"/>
      <c r="J36" s="37"/>
      <c r="K36" s="37"/>
      <c r="L36" s="37"/>
    </row>
    <row r="37" spans="2:12" x14ac:dyDescent="0.25">
      <c r="B37" s="455" t="s">
        <v>328</v>
      </c>
      <c r="C37" s="377">
        <f t="shared" ref="C37:C44" si="0">SUMIF($J$56:$J$78,B37,$H$56:$H$78)</f>
        <v>62.980699999999999</v>
      </c>
      <c r="D37" s="378">
        <f>C37/$C$45</f>
        <v>0.11970588184982116</v>
      </c>
      <c r="E37" s="377">
        <f>SUMIF($J$56:$J$78,B37,$I$56:$I$78)</f>
        <v>0</v>
      </c>
      <c r="F37" s="456">
        <f t="shared" ref="F37:F44" si="1">E37/$E$45</f>
        <v>0</v>
      </c>
      <c r="G37" s="37"/>
      <c r="H37" s="37"/>
      <c r="I37" s="37"/>
      <c r="J37" s="37"/>
      <c r="K37" s="37"/>
      <c r="L37" s="37"/>
    </row>
    <row r="38" spans="2:12" x14ac:dyDescent="0.25">
      <c r="B38" s="455" t="s">
        <v>329</v>
      </c>
      <c r="C38" s="377">
        <f t="shared" si="0"/>
        <v>338.2201</v>
      </c>
      <c r="D38" s="378">
        <f t="shared" ref="D38:D44" si="2">C38/$C$45</f>
        <v>0.64284670271741495</v>
      </c>
      <c r="E38" s="377">
        <f t="shared" ref="E38:E44" si="3">SUMIF($J$56:$J$78,B38,$I$56:$I$78)</f>
        <v>746.75420000000008</v>
      </c>
      <c r="F38" s="456">
        <f t="shared" si="1"/>
        <v>0.98588818090758235</v>
      </c>
      <c r="G38" s="37"/>
      <c r="H38" s="37"/>
      <c r="I38" s="37"/>
      <c r="J38" s="37"/>
      <c r="K38" s="37"/>
      <c r="L38" s="37"/>
    </row>
    <row r="39" spans="2:12" x14ac:dyDescent="0.25">
      <c r="B39" s="455" t="s">
        <v>330</v>
      </c>
      <c r="C39" s="377">
        <f t="shared" si="0"/>
        <v>0</v>
      </c>
      <c r="D39" s="378">
        <f t="shared" si="2"/>
        <v>0</v>
      </c>
      <c r="E39" s="377">
        <f t="shared" si="3"/>
        <v>0</v>
      </c>
      <c r="F39" s="456">
        <f t="shared" si="1"/>
        <v>0</v>
      </c>
      <c r="G39" s="300"/>
      <c r="H39" s="37"/>
      <c r="I39" s="37"/>
      <c r="J39" s="37"/>
      <c r="K39" s="37"/>
      <c r="L39" s="37"/>
    </row>
    <row r="40" spans="2:12" x14ac:dyDescent="0.25">
      <c r="B40" s="455" t="s">
        <v>338</v>
      </c>
      <c r="C40" s="377">
        <f t="shared" si="0"/>
        <v>57.788599999999995</v>
      </c>
      <c r="D40" s="378">
        <f t="shared" si="2"/>
        <v>0.10983738389485311</v>
      </c>
      <c r="E40" s="377">
        <f t="shared" si="3"/>
        <v>0</v>
      </c>
      <c r="F40" s="456">
        <f t="shared" si="1"/>
        <v>0</v>
      </c>
      <c r="G40" s="300"/>
      <c r="H40" s="37"/>
      <c r="I40" s="37"/>
      <c r="J40" s="37"/>
      <c r="K40" s="37"/>
      <c r="L40" s="37"/>
    </row>
    <row r="41" spans="2:12" x14ac:dyDescent="0.25">
      <c r="B41" s="455" t="s">
        <v>337</v>
      </c>
      <c r="C41" s="377">
        <f t="shared" si="0"/>
        <v>0</v>
      </c>
      <c r="D41" s="378">
        <f t="shared" si="2"/>
        <v>0</v>
      </c>
      <c r="E41" s="377">
        <f t="shared" si="3"/>
        <v>0</v>
      </c>
      <c r="F41" s="456">
        <f t="shared" si="1"/>
        <v>0</v>
      </c>
      <c r="G41" s="300"/>
      <c r="H41" s="37"/>
      <c r="I41" s="37"/>
      <c r="J41" s="37"/>
      <c r="K41" s="37"/>
      <c r="L41" s="37"/>
    </row>
    <row r="42" spans="2:12" x14ac:dyDescent="0.25">
      <c r="B42" s="455" t="s">
        <v>341</v>
      </c>
      <c r="C42" s="377">
        <f t="shared" si="0"/>
        <v>0</v>
      </c>
      <c r="D42" s="378">
        <f t="shared" si="2"/>
        <v>0</v>
      </c>
      <c r="E42" s="377">
        <f t="shared" si="3"/>
        <v>0</v>
      </c>
      <c r="F42" s="456">
        <f t="shared" si="1"/>
        <v>0</v>
      </c>
      <c r="G42" s="300"/>
      <c r="H42" s="37"/>
      <c r="I42" s="37"/>
      <c r="J42" s="37"/>
      <c r="K42" s="37"/>
      <c r="L42" s="37"/>
    </row>
    <row r="43" spans="2:12" x14ac:dyDescent="0.25">
      <c r="B43" s="455" t="s">
        <v>340</v>
      </c>
      <c r="C43" s="377">
        <f t="shared" si="0"/>
        <v>14.195399999999999</v>
      </c>
      <c r="D43" s="378">
        <f t="shared" si="2"/>
        <v>2.6980850883063401E-2</v>
      </c>
      <c r="E43" s="377">
        <f t="shared" si="3"/>
        <v>0</v>
      </c>
      <c r="F43" s="456">
        <f t="shared" si="1"/>
        <v>0</v>
      </c>
      <c r="G43" s="300"/>
      <c r="H43" s="37"/>
      <c r="I43" s="37"/>
      <c r="J43" s="37"/>
      <c r="K43" s="37"/>
      <c r="L43" s="37"/>
    </row>
    <row r="44" spans="2:12" x14ac:dyDescent="0.25">
      <c r="B44" s="455" t="s">
        <v>339</v>
      </c>
      <c r="C44" s="377">
        <f t="shared" si="0"/>
        <v>52.943899999999999</v>
      </c>
      <c r="D44" s="378">
        <f t="shared" si="2"/>
        <v>0.10062918065484738</v>
      </c>
      <c r="E44" s="377">
        <f t="shared" si="3"/>
        <v>10.6889</v>
      </c>
      <c r="F44" s="456">
        <f t="shared" si="1"/>
        <v>1.4111819092417634E-2</v>
      </c>
      <c r="G44" s="300"/>
      <c r="H44" s="37"/>
      <c r="I44" s="37"/>
      <c r="J44" s="37"/>
      <c r="K44" s="37"/>
      <c r="L44" s="37"/>
    </row>
    <row r="45" spans="2:12" ht="13.5" thickBot="1" x14ac:dyDescent="0.35">
      <c r="B45" s="457" t="s">
        <v>344</v>
      </c>
      <c r="C45" s="458">
        <f>SUM(C37:C44)</f>
        <v>526.12869999999998</v>
      </c>
      <c r="D45" s="553">
        <f>SUM(D37:D44)</f>
        <v>1</v>
      </c>
      <c r="E45" s="458">
        <f>SUM(E37:E44)</f>
        <v>757.44310000000007</v>
      </c>
      <c r="F45" s="554">
        <f>SUM(F37:F44)</f>
        <v>1</v>
      </c>
      <c r="G45" s="300"/>
      <c r="H45" s="37"/>
      <c r="I45" s="37"/>
      <c r="J45" s="37"/>
      <c r="K45" s="37"/>
      <c r="L45" s="37"/>
    </row>
    <row r="46" spans="2:12" x14ac:dyDescent="0.25">
      <c r="B46" s="37"/>
      <c r="C46" s="37"/>
      <c r="E46" s="37"/>
      <c r="F46" s="37"/>
      <c r="G46" s="37"/>
      <c r="H46" s="37"/>
      <c r="I46" s="37"/>
      <c r="J46" s="37"/>
      <c r="K46" s="37"/>
      <c r="L46" s="37"/>
    </row>
    <row r="47" spans="2:12" x14ac:dyDescent="0.25">
      <c r="B47" s="37"/>
      <c r="C47" s="37"/>
      <c r="D47" s="37"/>
      <c r="E47" s="37"/>
      <c r="F47" s="37"/>
      <c r="G47" s="37"/>
      <c r="H47" s="37"/>
      <c r="I47" s="37"/>
      <c r="J47" s="37"/>
      <c r="K47" s="37"/>
      <c r="L47" s="37"/>
    </row>
    <row r="48" spans="2:12" x14ac:dyDescent="0.25">
      <c r="B48" s="37"/>
      <c r="C48" s="37"/>
      <c r="D48" s="37"/>
      <c r="E48" s="37"/>
      <c r="F48" s="37"/>
      <c r="G48" s="37"/>
      <c r="H48" s="37"/>
      <c r="I48" s="37"/>
      <c r="J48" s="37"/>
      <c r="K48" s="37"/>
      <c r="L48" s="37"/>
    </row>
    <row r="49" spans="1:12" x14ac:dyDescent="0.25">
      <c r="B49" s="37"/>
      <c r="C49" s="37"/>
      <c r="D49" s="37"/>
      <c r="E49" s="555"/>
      <c r="F49" s="37"/>
      <c r="G49" s="37"/>
      <c r="H49" s="37"/>
      <c r="I49" s="37"/>
      <c r="J49" s="37"/>
      <c r="K49" s="37"/>
      <c r="L49" s="37"/>
    </row>
    <row r="50" spans="1:12" x14ac:dyDescent="0.25">
      <c r="B50" s="37"/>
      <c r="C50" s="37"/>
      <c r="D50" s="37"/>
      <c r="E50" s="37"/>
      <c r="F50" s="37"/>
      <c r="G50" s="37"/>
      <c r="H50" s="37"/>
      <c r="I50" s="37"/>
      <c r="J50" s="37"/>
      <c r="K50" s="37"/>
      <c r="L50" s="37"/>
    </row>
    <row r="51" spans="1:12" x14ac:dyDescent="0.25">
      <c r="B51" s="37"/>
      <c r="C51" s="37"/>
      <c r="D51" s="37"/>
      <c r="E51" s="369"/>
      <c r="F51" s="369"/>
      <c r="G51" s="369"/>
      <c r="H51" s="37"/>
      <c r="I51" s="37"/>
    </row>
    <row r="52" spans="1:12" s="383" customFormat="1" ht="27.65" customHeight="1" x14ac:dyDescent="0.35">
      <c r="A52" s="382"/>
      <c r="B52" s="306" t="s">
        <v>461</v>
      </c>
      <c r="D52" s="384"/>
      <c r="E52" s="384"/>
      <c r="F52" s="384"/>
      <c r="G52" s="384"/>
      <c r="H52" s="384"/>
      <c r="I52" s="384"/>
      <c r="J52" s="384"/>
      <c r="K52" s="384"/>
      <c r="L52" s="384"/>
    </row>
    <row r="53" spans="1:12" s="404" customFormat="1" ht="19.5" customHeight="1" x14ac:dyDescent="0.35">
      <c r="A53" s="403"/>
      <c r="B53" s="386" t="s">
        <v>462</v>
      </c>
      <c r="D53" s="405"/>
      <c r="E53" s="405"/>
      <c r="F53" s="405"/>
      <c r="G53" s="405"/>
      <c r="H53" s="405"/>
      <c r="I53" s="405"/>
      <c r="J53" s="405"/>
      <c r="K53" s="405"/>
      <c r="L53" s="405"/>
    </row>
    <row r="54" spans="1:12" ht="13" thickBot="1" x14ac:dyDescent="0.3">
      <c r="B54" s="37"/>
      <c r="C54" s="37"/>
      <c r="D54" s="37"/>
      <c r="E54" s="37"/>
      <c r="F54" s="37"/>
      <c r="G54" s="37"/>
      <c r="H54" s="37"/>
      <c r="I54" s="37"/>
      <c r="J54" s="37"/>
      <c r="K54" s="37"/>
      <c r="L54" s="37"/>
    </row>
    <row r="55" spans="1:12" s="366" customFormat="1" ht="34" customHeight="1" x14ac:dyDescent="0.25">
      <c r="B55" s="493" t="s">
        <v>320</v>
      </c>
      <c r="C55" s="494" t="s">
        <v>321</v>
      </c>
      <c r="D55" s="494" t="s">
        <v>322</v>
      </c>
      <c r="E55" s="494" t="s">
        <v>323</v>
      </c>
      <c r="F55" s="494" t="s">
        <v>10</v>
      </c>
      <c r="G55" s="494" t="s">
        <v>324</v>
      </c>
      <c r="H55" s="494" t="s">
        <v>325</v>
      </c>
      <c r="I55" s="494" t="s">
        <v>326</v>
      </c>
      <c r="J55" s="495" t="s">
        <v>327</v>
      </c>
      <c r="L55" s="37"/>
    </row>
    <row r="56" spans="1:12" x14ac:dyDescent="0.25">
      <c r="B56" s="455" t="s">
        <v>148</v>
      </c>
      <c r="C56" s="376" t="s">
        <v>167</v>
      </c>
      <c r="D56" s="376" t="s">
        <v>215</v>
      </c>
      <c r="E56" s="376">
        <v>1607</v>
      </c>
      <c r="F56" s="376" t="s">
        <v>25</v>
      </c>
      <c r="G56" s="424"/>
      <c r="H56" s="376">
        <v>9.5640000000000001</v>
      </c>
      <c r="I56" s="376"/>
      <c r="J56" s="496" t="s">
        <v>339</v>
      </c>
      <c r="L56" s="37"/>
    </row>
    <row r="57" spans="1:12" x14ac:dyDescent="0.25">
      <c r="B57" s="455" t="s">
        <v>148</v>
      </c>
      <c r="C57" s="376" t="s">
        <v>167</v>
      </c>
      <c r="D57" s="376" t="s">
        <v>216</v>
      </c>
      <c r="E57" s="376">
        <v>1456</v>
      </c>
      <c r="F57" s="376" t="s">
        <v>25</v>
      </c>
      <c r="G57" s="424"/>
      <c r="H57" s="376">
        <v>15.497</v>
      </c>
      <c r="I57" s="376"/>
      <c r="J57" s="496" t="s">
        <v>339</v>
      </c>
      <c r="L57" s="37"/>
    </row>
    <row r="58" spans="1:12" x14ac:dyDescent="0.25">
      <c r="B58" s="455" t="s">
        <v>148</v>
      </c>
      <c r="C58" s="376" t="s">
        <v>167</v>
      </c>
      <c r="D58" s="376" t="s">
        <v>217</v>
      </c>
      <c r="E58" s="376">
        <v>457</v>
      </c>
      <c r="F58" s="376" t="s">
        <v>25</v>
      </c>
      <c r="G58" s="424"/>
      <c r="H58" s="376">
        <v>8.6472999999999995</v>
      </c>
      <c r="I58" s="376"/>
      <c r="J58" s="496" t="s">
        <v>339</v>
      </c>
      <c r="L58" s="37"/>
    </row>
    <row r="59" spans="1:12" x14ac:dyDescent="0.25">
      <c r="B59" s="455" t="s">
        <v>148</v>
      </c>
      <c r="C59" s="376" t="s">
        <v>167</v>
      </c>
      <c r="D59" s="376" t="s">
        <v>218</v>
      </c>
      <c r="E59" s="376">
        <v>290</v>
      </c>
      <c r="F59" s="376" t="s">
        <v>25</v>
      </c>
      <c r="G59" s="424"/>
      <c r="H59" s="376">
        <v>8.1597000000000008</v>
      </c>
      <c r="I59" s="376"/>
      <c r="J59" s="496" t="s">
        <v>339</v>
      </c>
      <c r="L59" s="37"/>
    </row>
    <row r="60" spans="1:12" x14ac:dyDescent="0.25">
      <c r="B60" s="455" t="s">
        <v>148</v>
      </c>
      <c r="C60" s="376" t="s">
        <v>167</v>
      </c>
      <c r="D60" s="376" t="s">
        <v>258</v>
      </c>
      <c r="E60" s="376">
        <v>93</v>
      </c>
      <c r="F60" s="376" t="s">
        <v>25</v>
      </c>
      <c r="G60" s="424"/>
      <c r="H60" s="376">
        <v>4.8</v>
      </c>
      <c r="I60" s="376"/>
      <c r="J60" s="496" t="s">
        <v>339</v>
      </c>
      <c r="L60" s="37"/>
    </row>
    <row r="61" spans="1:12" s="393" customFormat="1" ht="25" customHeight="1" x14ac:dyDescent="0.25">
      <c r="B61" s="455" t="s">
        <v>149</v>
      </c>
      <c r="C61" s="376" t="s">
        <v>169</v>
      </c>
      <c r="D61" s="376" t="s">
        <v>254</v>
      </c>
      <c r="E61" s="376">
        <v>1014</v>
      </c>
      <c r="F61" s="376" t="s">
        <v>171</v>
      </c>
      <c r="G61" s="424"/>
      <c r="H61" s="376">
        <v>3.8384999999999998</v>
      </c>
      <c r="I61" s="376"/>
      <c r="J61" s="496" t="s">
        <v>328</v>
      </c>
      <c r="L61" s="335"/>
    </row>
    <row r="62" spans="1:12" x14ac:dyDescent="0.25">
      <c r="B62" s="455" t="s">
        <v>149</v>
      </c>
      <c r="C62" s="376" t="s">
        <v>169</v>
      </c>
      <c r="D62" s="376" t="s">
        <v>254</v>
      </c>
      <c r="E62" s="376">
        <v>507</v>
      </c>
      <c r="F62" s="376" t="s">
        <v>171</v>
      </c>
      <c r="G62" s="424"/>
      <c r="H62" s="376">
        <v>1.9192</v>
      </c>
      <c r="I62" s="376"/>
      <c r="J62" s="496" t="s">
        <v>328</v>
      </c>
      <c r="L62" s="37"/>
    </row>
    <row r="63" spans="1:12" x14ac:dyDescent="0.25">
      <c r="B63" s="455" t="s">
        <v>151</v>
      </c>
      <c r="C63" s="376" t="s">
        <v>189</v>
      </c>
      <c r="D63" s="376" t="s">
        <v>747</v>
      </c>
      <c r="E63" s="376">
        <v>4100</v>
      </c>
      <c r="F63" s="376" t="s">
        <v>187</v>
      </c>
      <c r="G63" s="424"/>
      <c r="H63" s="376">
        <v>1.6584000000000001</v>
      </c>
      <c r="I63" s="376"/>
      <c r="J63" s="496" t="s">
        <v>339</v>
      </c>
      <c r="L63" s="37"/>
    </row>
    <row r="64" spans="1:12" x14ac:dyDescent="0.25">
      <c r="B64" s="455" t="s">
        <v>148</v>
      </c>
      <c r="C64" s="376" t="s">
        <v>180</v>
      </c>
      <c r="D64" s="376" t="s">
        <v>219</v>
      </c>
      <c r="E64" s="376">
        <v>25</v>
      </c>
      <c r="F64" s="376" t="s">
        <v>175</v>
      </c>
      <c r="G64" s="424"/>
      <c r="H64" s="376">
        <v>15.986499999999999</v>
      </c>
      <c r="I64" s="376"/>
      <c r="J64" s="496" t="s">
        <v>338</v>
      </c>
      <c r="L64" s="37"/>
    </row>
    <row r="65" spans="2:12" x14ac:dyDescent="0.25">
      <c r="B65" s="455" t="s">
        <v>148</v>
      </c>
      <c r="C65" s="376" t="s">
        <v>180</v>
      </c>
      <c r="D65" s="376" t="s">
        <v>220</v>
      </c>
      <c r="E65" s="376">
        <v>14</v>
      </c>
      <c r="F65" s="376" t="s">
        <v>175</v>
      </c>
      <c r="G65" s="424"/>
      <c r="H65" s="376">
        <v>14.260400000000001</v>
      </c>
      <c r="I65" s="376"/>
      <c r="J65" s="496" t="s">
        <v>338</v>
      </c>
      <c r="L65" s="37"/>
    </row>
    <row r="66" spans="2:12" ht="37.5" x14ac:dyDescent="0.25">
      <c r="B66" s="420" t="s">
        <v>148</v>
      </c>
      <c r="C66" s="392" t="s">
        <v>225</v>
      </c>
      <c r="D66" s="392" t="s">
        <v>226</v>
      </c>
      <c r="E66" s="392">
        <v>24</v>
      </c>
      <c r="F66" s="392" t="s">
        <v>175</v>
      </c>
      <c r="G66" s="395"/>
      <c r="H66" s="392">
        <v>2.1034000000000002</v>
      </c>
      <c r="I66" s="376"/>
      <c r="J66" s="496" t="s">
        <v>338</v>
      </c>
    </row>
    <row r="67" spans="2:12" ht="25" x14ac:dyDescent="0.25">
      <c r="B67" s="420" t="s">
        <v>148</v>
      </c>
      <c r="C67" s="392" t="s">
        <v>227</v>
      </c>
      <c r="D67" s="392" t="s">
        <v>228</v>
      </c>
      <c r="E67" s="392">
        <v>9</v>
      </c>
      <c r="F67" s="392" t="s">
        <v>175</v>
      </c>
      <c r="G67" s="395"/>
      <c r="H67" s="392">
        <v>4.7999999999999996E-3</v>
      </c>
      <c r="I67" s="376"/>
      <c r="J67" s="496" t="s">
        <v>340</v>
      </c>
    </row>
    <row r="68" spans="2:12" ht="25" x14ac:dyDescent="0.25">
      <c r="B68" s="514" t="s">
        <v>150</v>
      </c>
      <c r="C68" s="407" t="s">
        <v>231</v>
      </c>
      <c r="D68" s="407" t="s">
        <v>232</v>
      </c>
      <c r="E68" s="407">
        <v>23820</v>
      </c>
      <c r="F68" s="407" t="s">
        <v>187</v>
      </c>
      <c r="G68" s="378"/>
      <c r="H68" s="407">
        <v>57.215600000000002</v>
      </c>
      <c r="I68" s="376"/>
      <c r="J68" s="496" t="s">
        <v>328</v>
      </c>
    </row>
    <row r="69" spans="2:12" ht="37.5" x14ac:dyDescent="0.25">
      <c r="B69" s="514" t="s">
        <v>151</v>
      </c>
      <c r="C69" s="407" t="s">
        <v>235</v>
      </c>
      <c r="D69" s="407" t="s">
        <v>236</v>
      </c>
      <c r="E69" s="407">
        <v>23820</v>
      </c>
      <c r="F69" s="407" t="s">
        <v>187</v>
      </c>
      <c r="G69" s="378">
        <v>2.04</v>
      </c>
      <c r="H69" s="407">
        <v>162.5</v>
      </c>
      <c r="I69" s="376">
        <v>331.50009999999997</v>
      </c>
      <c r="J69" s="496" t="s">
        <v>329</v>
      </c>
    </row>
    <row r="70" spans="2:12" ht="37.5" x14ac:dyDescent="0.25">
      <c r="B70" s="514" t="s">
        <v>151</v>
      </c>
      <c r="C70" s="407" t="s">
        <v>235</v>
      </c>
      <c r="D70" s="407" t="s">
        <v>262</v>
      </c>
      <c r="E70" s="407">
        <v>23820</v>
      </c>
      <c r="F70" s="407" t="s">
        <v>187</v>
      </c>
      <c r="G70" s="378">
        <v>2.04</v>
      </c>
      <c r="H70" s="407">
        <v>126.19840000000001</v>
      </c>
      <c r="I70" s="376">
        <v>257.44470000000001</v>
      </c>
      <c r="J70" s="496" t="s">
        <v>329</v>
      </c>
    </row>
    <row r="71" spans="2:12" ht="37.5" x14ac:dyDescent="0.25">
      <c r="B71" s="514" t="s">
        <v>151</v>
      </c>
      <c r="C71" s="407" t="s">
        <v>235</v>
      </c>
      <c r="D71" s="407" t="s">
        <v>259</v>
      </c>
      <c r="E71" s="407">
        <v>23820</v>
      </c>
      <c r="F71" s="407" t="s">
        <v>187</v>
      </c>
      <c r="G71" s="378">
        <v>2.04</v>
      </c>
      <c r="H71" s="407">
        <v>35.182099999999998</v>
      </c>
      <c r="I71" s="376">
        <v>71.771600000000007</v>
      </c>
      <c r="J71" s="496" t="s">
        <v>329</v>
      </c>
    </row>
    <row r="72" spans="2:12" ht="25" x14ac:dyDescent="0.25">
      <c r="B72" s="514" t="s">
        <v>151</v>
      </c>
      <c r="C72" s="407" t="s">
        <v>238</v>
      </c>
      <c r="D72" s="407" t="s">
        <v>239</v>
      </c>
      <c r="E72" s="407">
        <v>47640</v>
      </c>
      <c r="F72" s="407" t="s">
        <v>187</v>
      </c>
      <c r="G72" s="378">
        <v>6</v>
      </c>
      <c r="H72" s="407">
        <v>14.339600000000001</v>
      </c>
      <c r="I72" s="376">
        <v>86.037800000000004</v>
      </c>
      <c r="J72" s="496" t="s">
        <v>329</v>
      </c>
    </row>
    <row r="73" spans="2:12" ht="25" x14ac:dyDescent="0.25">
      <c r="B73" s="514" t="s">
        <v>154</v>
      </c>
      <c r="C73" s="407" t="s">
        <v>242</v>
      </c>
      <c r="D73" s="407" t="s">
        <v>244</v>
      </c>
      <c r="E73" s="407">
        <v>2665</v>
      </c>
      <c r="F73" s="407" t="s">
        <v>25</v>
      </c>
      <c r="G73" s="378">
        <v>5</v>
      </c>
      <c r="H73" s="407">
        <v>2.1377999999999999</v>
      </c>
      <c r="I73" s="376">
        <v>10.6889</v>
      </c>
      <c r="J73" s="496" t="s">
        <v>339</v>
      </c>
    </row>
    <row r="74" spans="2:12" ht="25" x14ac:dyDescent="0.25">
      <c r="B74" s="514" t="s">
        <v>155</v>
      </c>
      <c r="C74" s="407" t="s">
        <v>179</v>
      </c>
      <c r="D74" s="407" t="s">
        <v>253</v>
      </c>
      <c r="E74" s="407">
        <v>410</v>
      </c>
      <c r="F74" s="407" t="s">
        <v>25</v>
      </c>
      <c r="G74" s="378"/>
      <c r="H74" s="407">
        <v>2.4796999999999998</v>
      </c>
      <c r="I74" s="376"/>
      <c r="J74" s="496" t="s">
        <v>339</v>
      </c>
    </row>
    <row r="75" spans="2:12" ht="37.5" x14ac:dyDescent="0.25">
      <c r="B75" s="514" t="s">
        <v>157</v>
      </c>
      <c r="C75" s="407" t="s">
        <v>255</v>
      </c>
      <c r="D75" s="407" t="s">
        <v>256</v>
      </c>
      <c r="E75" s="407">
        <v>1</v>
      </c>
      <c r="F75" s="407" t="s">
        <v>178</v>
      </c>
      <c r="G75" s="378"/>
      <c r="H75" s="407">
        <v>7.4000000000000003E-3</v>
      </c>
      <c r="I75" s="376"/>
      <c r="J75" s="496" t="s">
        <v>328</v>
      </c>
    </row>
    <row r="76" spans="2:12" ht="25" x14ac:dyDescent="0.25">
      <c r="B76" s="514" t="s">
        <v>157</v>
      </c>
      <c r="C76" s="407" t="s">
        <v>172</v>
      </c>
      <c r="D76" s="407" t="s">
        <v>173</v>
      </c>
      <c r="E76" s="407">
        <v>21</v>
      </c>
      <c r="F76" s="407" t="s">
        <v>171</v>
      </c>
      <c r="G76" s="378"/>
      <c r="H76" s="407">
        <v>5.3662000000000001</v>
      </c>
      <c r="I76" s="376"/>
      <c r="J76" s="496" t="s">
        <v>338</v>
      </c>
    </row>
    <row r="77" spans="2:12" ht="25" x14ac:dyDescent="0.25">
      <c r="B77" s="514" t="s">
        <v>148</v>
      </c>
      <c r="C77" s="407" t="s">
        <v>180</v>
      </c>
      <c r="D77" s="407" t="s">
        <v>188</v>
      </c>
      <c r="E77" s="407">
        <v>8</v>
      </c>
      <c r="F77" s="407" t="s">
        <v>175</v>
      </c>
      <c r="G77" s="378"/>
      <c r="H77" s="407">
        <v>20.072099999999999</v>
      </c>
      <c r="I77" s="376"/>
      <c r="J77" s="496" t="s">
        <v>338</v>
      </c>
    </row>
    <row r="78" spans="2:12" ht="39" customHeight="1" x14ac:dyDescent="0.25">
      <c r="B78" s="514" t="s">
        <v>159</v>
      </c>
      <c r="C78" s="407" t="s">
        <v>260</v>
      </c>
      <c r="D78" s="407" t="s">
        <v>261</v>
      </c>
      <c r="E78" s="407">
        <v>369</v>
      </c>
      <c r="F78" s="407" t="s">
        <v>187</v>
      </c>
      <c r="G78" s="378"/>
      <c r="H78" s="407">
        <v>14.1906</v>
      </c>
      <c r="I78" s="376"/>
      <c r="J78" s="496" t="s">
        <v>340</v>
      </c>
    </row>
    <row r="79" spans="2:12" ht="23.15" customHeight="1" thickBot="1" x14ac:dyDescent="0.3">
      <c r="B79" s="508" t="s">
        <v>344</v>
      </c>
      <c r="C79" s="509"/>
      <c r="D79" s="509"/>
      <c r="E79" s="509"/>
      <c r="F79" s="509"/>
      <c r="G79" s="515"/>
      <c r="H79" s="516">
        <f>SUM(H56:H78)</f>
        <v>526.12869999999998</v>
      </c>
      <c r="I79" s="516">
        <f>SUM(I56:I78)</f>
        <v>757.44310000000007</v>
      </c>
      <c r="J79" s="517" t="s">
        <v>90</v>
      </c>
      <c r="L79" s="366"/>
    </row>
  </sheetData>
  <mergeCells count="20">
    <mergeCell ref="B35:B36"/>
    <mergeCell ref="C35:D35"/>
    <mergeCell ref="B8:D8"/>
    <mergeCell ref="B20:G20"/>
    <mergeCell ref="B21:D21"/>
    <mergeCell ref="B25:D25"/>
    <mergeCell ref="B12:B13"/>
    <mergeCell ref="E35:F35"/>
    <mergeCell ref="B14:B16"/>
    <mergeCell ref="B17:B19"/>
    <mergeCell ref="B11:C11"/>
    <mergeCell ref="B10:C10"/>
    <mergeCell ref="M4:M5"/>
    <mergeCell ref="K4:L4"/>
    <mergeCell ref="B4:B5"/>
    <mergeCell ref="C4:C5"/>
    <mergeCell ref="D4:D5"/>
    <mergeCell ref="G4:H4"/>
    <mergeCell ref="I4:J4"/>
    <mergeCell ref="E4:E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CE43F83-1363-419B-A04E-778DA4922D86}">
          <x14:formula1>
            <xm:f>'Task 3 - Material summary'!$B$7:$B$14</xm:f>
          </x14:formula1>
          <xm:sqref>J56:J78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F808-9FB6-4DFE-89D5-C23BF8B4E64D}">
  <sheetPr>
    <tabColor rgb="FF00353E"/>
  </sheetPr>
  <dimension ref="A1:T167"/>
  <sheetViews>
    <sheetView showGridLines="0" zoomScale="70" zoomScaleNormal="70" workbookViewId="0">
      <selection activeCell="B6" sqref="B6:B9"/>
    </sheetView>
  </sheetViews>
  <sheetFormatPr defaultColWidth="8.7265625" defaultRowHeight="12.5" x14ac:dyDescent="0.25"/>
  <cols>
    <col min="1" max="1" width="9.453125" style="300" customWidth="1"/>
    <col min="2" max="2" width="41.453125" style="366" customWidth="1"/>
    <col min="3" max="3" width="21.1796875" style="366" customWidth="1"/>
    <col min="4" max="4" width="21.453125" style="366" customWidth="1"/>
    <col min="5" max="5" width="25.1796875" style="366" customWidth="1"/>
    <col min="6" max="8" width="18.453125" style="366" customWidth="1"/>
    <col min="9" max="9" width="18.1796875" style="366" customWidth="1"/>
    <col min="10" max="10" width="22.7265625" style="366" customWidth="1"/>
    <col min="11" max="11" width="19.26953125" style="366" customWidth="1"/>
    <col min="12" max="12" width="25.54296875" style="300" customWidth="1"/>
    <col min="13" max="14" width="29" style="300" customWidth="1"/>
    <col min="15" max="15" width="20.1796875" style="300" customWidth="1"/>
    <col min="16" max="20" width="8.7265625" style="300"/>
    <col min="21" max="21" width="18.54296875" style="300" customWidth="1"/>
    <col min="22" max="16384" width="8.7265625" style="300"/>
  </cols>
  <sheetData>
    <row r="1" spans="2:20" s="363" customFormat="1" ht="25" customHeight="1" x14ac:dyDescent="0.35">
      <c r="B1" s="306" t="s">
        <v>471</v>
      </c>
      <c r="D1" s="364"/>
      <c r="E1" s="364"/>
      <c r="F1" s="364"/>
      <c r="G1" s="364"/>
      <c r="H1" s="364"/>
      <c r="I1" s="364"/>
      <c r="J1" s="364"/>
      <c r="K1" s="364"/>
    </row>
    <row r="2" spans="2:20" s="363" customFormat="1" ht="18" customHeight="1" x14ac:dyDescent="0.35">
      <c r="B2" s="363" t="s">
        <v>655</v>
      </c>
      <c r="F2" s="364"/>
      <c r="G2" s="364"/>
      <c r="H2" s="364"/>
      <c r="I2" s="364"/>
    </row>
    <row r="3" spans="2:20" ht="39.65" customHeight="1" thickBot="1" x14ac:dyDescent="0.35">
      <c r="B3" s="365" t="s">
        <v>443</v>
      </c>
      <c r="I3" s="367" t="s">
        <v>444</v>
      </c>
      <c r="L3" s="366"/>
    </row>
    <row r="4" spans="2:20" ht="33.65" customHeight="1" x14ac:dyDescent="0.25">
      <c r="B4" s="771" t="s">
        <v>37</v>
      </c>
      <c r="C4" s="773" t="s">
        <v>75</v>
      </c>
      <c r="D4" s="773" t="s">
        <v>381</v>
      </c>
      <c r="E4" s="773" t="s">
        <v>629</v>
      </c>
      <c r="F4" s="773" t="s">
        <v>630</v>
      </c>
      <c r="G4" s="791" t="s">
        <v>631</v>
      </c>
      <c r="I4" s="786" t="s">
        <v>69</v>
      </c>
      <c r="J4" s="787"/>
      <c r="K4" s="788" t="s">
        <v>70</v>
      </c>
      <c r="L4" s="787"/>
      <c r="M4" s="794" t="s">
        <v>342</v>
      </c>
      <c r="N4" s="794"/>
      <c r="O4" s="791" t="s">
        <v>382</v>
      </c>
    </row>
    <row r="5" spans="2:20" ht="24.75" customHeight="1" x14ac:dyDescent="0.25">
      <c r="B5" s="772"/>
      <c r="C5" s="774"/>
      <c r="D5" s="774"/>
      <c r="E5" s="774"/>
      <c r="F5" s="774"/>
      <c r="G5" s="792"/>
      <c r="I5" s="64" t="s">
        <v>71</v>
      </c>
      <c r="J5" s="65" t="s">
        <v>72</v>
      </c>
      <c r="K5" s="66" t="s">
        <v>73</v>
      </c>
      <c r="L5" s="67" t="s">
        <v>74</v>
      </c>
      <c r="M5" s="155" t="s">
        <v>636</v>
      </c>
      <c r="N5" s="155" t="s">
        <v>689</v>
      </c>
      <c r="O5" s="792"/>
    </row>
    <row r="6" spans="2:20" ht="15" customHeight="1" x14ac:dyDescent="0.25">
      <c r="B6" s="49" t="s">
        <v>52</v>
      </c>
      <c r="C6" s="174">
        <f>'Structure dimensions'!L6</f>
        <v>2480.5</v>
      </c>
      <c r="D6" s="175">
        <f>SUM(I6:L6)</f>
        <v>5049.2831000000006</v>
      </c>
      <c r="E6" s="175">
        <f>O6</f>
        <v>5049.4901000000009</v>
      </c>
      <c r="F6" s="408">
        <f>D6/C6</f>
        <v>2.03559084861923</v>
      </c>
      <c r="G6" s="410">
        <f>E6/C6</f>
        <v>2.0356742995363843</v>
      </c>
      <c r="H6" s="368"/>
      <c r="I6" s="178">
        <f>I89</f>
        <v>4404.6831000000002</v>
      </c>
      <c r="J6" s="179">
        <v>290.2</v>
      </c>
      <c r="K6" s="180">
        <v>263.3</v>
      </c>
      <c r="L6" s="179">
        <v>91.1</v>
      </c>
      <c r="M6" s="182">
        <f>J89</f>
        <v>0.20699999999999999</v>
      </c>
      <c r="N6" s="179">
        <v>0</v>
      </c>
      <c r="O6" s="183">
        <f>SUM(I6:N6)</f>
        <v>5049.4901000000009</v>
      </c>
    </row>
    <row r="7" spans="2:20" ht="15" customHeight="1" x14ac:dyDescent="0.25">
      <c r="B7" s="49" t="s">
        <v>53</v>
      </c>
      <c r="C7" s="174">
        <f>'Structure dimensions'!L7</f>
        <v>881.5</v>
      </c>
      <c r="D7" s="175">
        <f t="shared" ref="D7" si="0">SUM(I7:L7)</f>
        <v>3047.0236999999993</v>
      </c>
      <c r="E7" s="175">
        <f t="shared" ref="E7:E9" si="1">O7</f>
        <v>3047.2847999999994</v>
      </c>
      <c r="F7" s="408">
        <f>D7/C7</f>
        <v>3.4566349404424268</v>
      </c>
      <c r="G7" s="410">
        <f t="shared" ref="G7:G9" si="2">E7/C7</f>
        <v>3.4569311401020979</v>
      </c>
      <c r="H7" s="368"/>
      <c r="I7" s="178">
        <f>I112</f>
        <v>2885.3236999999995</v>
      </c>
      <c r="J7" s="179">
        <v>44</v>
      </c>
      <c r="K7" s="180">
        <v>77.599999999999994</v>
      </c>
      <c r="L7" s="179">
        <v>40.1</v>
      </c>
      <c r="M7" s="182">
        <f>J112</f>
        <v>0.2611</v>
      </c>
      <c r="N7" s="179">
        <v>0</v>
      </c>
      <c r="O7" s="183">
        <f>SUM(I7:N7)</f>
        <v>3047.2847999999994</v>
      </c>
    </row>
    <row r="8" spans="2:20" ht="15" customHeight="1" x14ac:dyDescent="0.25">
      <c r="B8" s="49" t="s">
        <v>54</v>
      </c>
      <c r="C8" s="174">
        <f>'Structure dimensions'!L8</f>
        <v>1004.5</v>
      </c>
      <c r="D8" s="175">
        <f>SUM(I8:L8)</f>
        <v>3714.6770999999994</v>
      </c>
      <c r="E8" s="175">
        <f t="shared" si="1"/>
        <v>3715.0084999999995</v>
      </c>
      <c r="F8" s="433">
        <f>D8/C8</f>
        <v>3.6980359382777497</v>
      </c>
      <c r="G8" s="410">
        <f t="shared" si="2"/>
        <v>3.6983658536585362</v>
      </c>
      <c r="H8" s="431"/>
      <c r="I8" s="178">
        <f>I138</f>
        <v>3531.4770999999996</v>
      </c>
      <c r="J8" s="179">
        <v>38.1</v>
      </c>
      <c r="K8" s="180">
        <v>104.4</v>
      </c>
      <c r="L8" s="181">
        <v>40.700000000000003</v>
      </c>
      <c r="M8" s="182">
        <f>J138</f>
        <v>0.33139999999999997</v>
      </c>
      <c r="N8" s="179">
        <v>0</v>
      </c>
      <c r="O8" s="183">
        <f>SUM(I8:N8)</f>
        <v>3715.0084999999995</v>
      </c>
    </row>
    <row r="9" spans="2:20" ht="15" customHeight="1" thickBot="1" x14ac:dyDescent="0.3">
      <c r="B9" s="334" t="s">
        <v>55</v>
      </c>
      <c r="C9" s="176">
        <f>'Structure dimensions'!L9</f>
        <v>2009</v>
      </c>
      <c r="D9" s="177">
        <f>SUM(I9:L9)</f>
        <v>7434.3638999999994</v>
      </c>
      <c r="E9" s="177">
        <f t="shared" si="1"/>
        <v>7434.5236999999997</v>
      </c>
      <c r="F9" s="409">
        <f>D9/C9</f>
        <v>3.7005295669487306</v>
      </c>
      <c r="G9" s="412">
        <f t="shared" si="2"/>
        <v>3.7006091090094575</v>
      </c>
      <c r="H9" s="368"/>
      <c r="I9" s="197">
        <f>I167</f>
        <v>7161.2638999999999</v>
      </c>
      <c r="J9" s="198">
        <v>59</v>
      </c>
      <c r="K9" s="199">
        <v>150.19999999999999</v>
      </c>
      <c r="L9" s="201">
        <v>63.9</v>
      </c>
      <c r="M9" s="203">
        <f>J167</f>
        <v>0.1598</v>
      </c>
      <c r="N9" s="198">
        <v>0</v>
      </c>
      <c r="O9" s="202">
        <f>SUM(I9:N9)</f>
        <v>7434.5236999999997</v>
      </c>
    </row>
    <row r="10" spans="2:20" ht="14" thickTop="1" thickBot="1" x14ac:dyDescent="0.3">
      <c r="B10" s="417" t="s">
        <v>2</v>
      </c>
      <c r="C10" s="328"/>
      <c r="D10" s="172">
        <f>SUM(D6:D9)</f>
        <v>19245.3478</v>
      </c>
      <c r="E10" s="172">
        <f>SUM(E6:E9)</f>
        <v>19246.307099999998</v>
      </c>
      <c r="F10" s="434"/>
      <c r="G10" s="435"/>
      <c r="I10" s="194" t="s">
        <v>81</v>
      </c>
      <c r="J10" s="72">
        <f>SUM(I6:J9)</f>
        <v>18414.0478</v>
      </c>
      <c r="K10" s="195" t="s">
        <v>81</v>
      </c>
      <c r="L10" s="72">
        <f>SUM(K6:L9)</f>
        <v>831.30000000000007</v>
      </c>
      <c r="M10" s="184" t="s">
        <v>346</v>
      </c>
      <c r="N10" s="196">
        <f>SUM(M6:N9)</f>
        <v>0.95929999999999982</v>
      </c>
      <c r="O10" s="79">
        <f>SUM(O6:O9)</f>
        <v>19246.307099999998</v>
      </c>
    </row>
    <row r="11" spans="2:20" ht="13.5" thickBot="1" x14ac:dyDescent="0.3">
      <c r="B11" s="770"/>
      <c r="C11" s="770"/>
      <c r="D11" s="770"/>
      <c r="E11" s="15"/>
      <c r="F11" s="14"/>
      <c r="G11" s="14"/>
      <c r="H11" s="14"/>
      <c r="I11" s="300" t="s">
        <v>490</v>
      </c>
      <c r="J11" s="37"/>
      <c r="K11" s="37"/>
    </row>
    <row r="12" spans="2:20" ht="13" x14ac:dyDescent="0.3">
      <c r="B12" s="733" t="s">
        <v>383</v>
      </c>
      <c r="C12" s="734"/>
      <c r="D12" s="342" t="s">
        <v>384</v>
      </c>
      <c r="E12" s="343" t="s">
        <v>10</v>
      </c>
      <c r="F12" s="369"/>
      <c r="G12" s="369"/>
      <c r="H12" s="369"/>
      <c r="K12" s="37"/>
    </row>
    <row r="13" spans="2:20" ht="34" customHeight="1" x14ac:dyDescent="0.25">
      <c r="B13" s="775" t="s">
        <v>9</v>
      </c>
      <c r="C13" s="776"/>
      <c r="D13" s="174">
        <v>4</v>
      </c>
      <c r="E13" s="301" t="s">
        <v>385</v>
      </c>
      <c r="F13" s="369"/>
      <c r="G13" s="369"/>
      <c r="H13" s="369"/>
      <c r="K13" s="37"/>
    </row>
    <row r="14" spans="2:20" ht="34" customHeight="1" x14ac:dyDescent="0.25">
      <c r="B14" s="775" t="s">
        <v>653</v>
      </c>
      <c r="C14" s="344" t="s">
        <v>623</v>
      </c>
      <c r="D14" s="174">
        <f>D10/D13</f>
        <v>4811.3369499999999</v>
      </c>
      <c r="E14" s="301" t="s">
        <v>409</v>
      </c>
      <c r="F14" s="369"/>
      <c r="G14" s="103"/>
      <c r="H14" s="103"/>
      <c r="I14" s="103"/>
      <c r="J14" s="103"/>
      <c r="K14" s="103"/>
      <c r="L14" s="103"/>
      <c r="M14" s="103"/>
      <c r="N14" s="103"/>
    </row>
    <row r="15" spans="2:20" ht="34" customHeight="1" x14ac:dyDescent="0.25">
      <c r="B15" s="775"/>
      <c r="C15" s="344" t="s">
        <v>624</v>
      </c>
      <c r="D15" s="174">
        <f>E10/D13</f>
        <v>4811.5767749999995</v>
      </c>
      <c r="E15" s="301" t="s">
        <v>409</v>
      </c>
      <c r="F15" s="369"/>
      <c r="G15" s="369"/>
      <c r="H15" s="369"/>
      <c r="K15" s="37"/>
      <c r="O15" s="103"/>
      <c r="P15" s="103"/>
      <c r="Q15" s="103"/>
      <c r="R15" s="103"/>
      <c r="S15" s="103"/>
      <c r="T15" s="103"/>
    </row>
    <row r="16" spans="2:20" ht="34" customHeight="1" x14ac:dyDescent="0.25">
      <c r="B16" s="775" t="s">
        <v>654</v>
      </c>
      <c r="C16" s="344" t="s">
        <v>623</v>
      </c>
      <c r="D16" s="185">
        <f>AVERAGE(F6:F9)</f>
        <v>3.2226978235720343</v>
      </c>
      <c r="E16" s="301" t="s">
        <v>410</v>
      </c>
      <c r="F16" s="369"/>
      <c r="G16" s="369"/>
      <c r="H16" s="369"/>
      <c r="K16" s="37"/>
      <c r="O16" s="103"/>
      <c r="P16" s="103"/>
      <c r="Q16" s="103"/>
      <c r="R16" s="103"/>
      <c r="S16" s="103"/>
      <c r="T16" s="103"/>
    </row>
    <row r="17" spans="2:20" ht="34" customHeight="1" x14ac:dyDescent="0.25">
      <c r="B17" s="775"/>
      <c r="C17" s="344" t="s">
        <v>624</v>
      </c>
      <c r="D17" s="185">
        <f>AVERAGE(G6:G9)</f>
        <v>3.2228951005766189</v>
      </c>
      <c r="E17" s="301" t="s">
        <v>410</v>
      </c>
      <c r="F17" s="369"/>
      <c r="G17" s="369"/>
      <c r="H17" s="369"/>
      <c r="K17" s="37"/>
      <c r="O17" s="103"/>
      <c r="P17" s="103"/>
      <c r="Q17" s="103"/>
      <c r="R17" s="103"/>
      <c r="S17" s="103"/>
      <c r="T17" s="103"/>
    </row>
    <row r="18" spans="2:20" ht="34" customHeight="1" x14ac:dyDescent="0.25">
      <c r="B18" s="775" t="s">
        <v>628</v>
      </c>
      <c r="C18" s="344" t="s">
        <v>3</v>
      </c>
      <c r="D18" s="347">
        <f>J10/E10</f>
        <v>0.95675745504445375</v>
      </c>
      <c r="E18" s="301" t="s">
        <v>388</v>
      </c>
      <c r="F18" s="369"/>
      <c r="G18" s="369"/>
      <c r="H18" s="369"/>
      <c r="K18" s="37"/>
      <c r="O18" s="103"/>
      <c r="P18" s="103"/>
      <c r="Q18" s="103"/>
      <c r="R18" s="103"/>
      <c r="S18" s="103"/>
      <c r="T18" s="103"/>
    </row>
    <row r="19" spans="2:20" ht="34" customHeight="1" x14ac:dyDescent="0.25">
      <c r="B19" s="775"/>
      <c r="C19" s="344" t="s">
        <v>4</v>
      </c>
      <c r="D19" s="347">
        <f>L10/E10</f>
        <v>4.3192701627420262E-2</v>
      </c>
      <c r="E19" s="301" t="s">
        <v>388</v>
      </c>
      <c r="F19" s="369"/>
      <c r="G19" s="369"/>
      <c r="H19" s="369"/>
      <c r="K19" s="37"/>
      <c r="O19" s="103"/>
      <c r="P19" s="103"/>
      <c r="Q19" s="103"/>
      <c r="R19" s="103"/>
      <c r="S19" s="103"/>
      <c r="T19" s="103"/>
    </row>
    <row r="20" spans="2:20" ht="14.5" x14ac:dyDescent="0.25">
      <c r="B20" s="775"/>
      <c r="C20" s="344" t="s">
        <v>627</v>
      </c>
      <c r="D20" s="347">
        <f>N10/E10</f>
        <v>4.9843328126048654E-5</v>
      </c>
      <c r="E20" s="301" t="s">
        <v>388</v>
      </c>
      <c r="F20" s="370"/>
      <c r="G20" s="370"/>
      <c r="H20" s="370"/>
      <c r="I20" s="370"/>
      <c r="J20" s="37"/>
      <c r="K20" s="37"/>
      <c r="O20" s="103"/>
      <c r="P20" s="103"/>
      <c r="Q20" s="103"/>
      <c r="R20" s="103"/>
      <c r="S20" s="103"/>
      <c r="T20" s="103"/>
    </row>
    <row r="21" spans="2:20" ht="14.5" x14ac:dyDescent="0.25">
      <c r="B21" s="775" t="s">
        <v>654</v>
      </c>
      <c r="C21" s="344" t="s">
        <v>3</v>
      </c>
      <c r="D21" s="185">
        <f>D17*D18</f>
        <v>3.0835289143029248</v>
      </c>
      <c r="E21" s="301" t="s">
        <v>410</v>
      </c>
      <c r="F21" s="370"/>
      <c r="G21" s="370"/>
      <c r="H21" s="370"/>
      <c r="I21" s="370"/>
      <c r="J21" s="37"/>
      <c r="K21" s="37"/>
      <c r="O21" s="103"/>
      <c r="P21" s="103"/>
      <c r="Q21" s="103"/>
      <c r="R21" s="103"/>
      <c r="S21" s="103"/>
      <c r="T21" s="103"/>
    </row>
    <row r="22" spans="2:20" ht="14.5" x14ac:dyDescent="0.25">
      <c r="B22" s="775"/>
      <c r="C22" s="344" t="s">
        <v>4</v>
      </c>
      <c r="D22" s="185">
        <f>D17*D19</f>
        <v>0.13920554645568051</v>
      </c>
      <c r="E22" s="301" t="s">
        <v>410</v>
      </c>
      <c r="F22" s="370"/>
      <c r="G22" s="370"/>
      <c r="H22" s="370"/>
      <c r="I22" s="370"/>
      <c r="J22" s="37"/>
      <c r="K22" s="37"/>
      <c r="O22" s="103"/>
      <c r="P22" s="103"/>
      <c r="Q22" s="103"/>
      <c r="R22" s="103"/>
      <c r="S22" s="103"/>
      <c r="T22" s="103"/>
    </row>
    <row r="23" spans="2:20" ht="15" thickBot="1" x14ac:dyDescent="0.3">
      <c r="B23" s="808"/>
      <c r="C23" s="346" t="s">
        <v>627</v>
      </c>
      <c r="D23" s="637">
        <f>D17*D20</f>
        <v>1.60639818013875E-4</v>
      </c>
      <c r="E23" s="303" t="s">
        <v>410</v>
      </c>
      <c r="F23" s="370"/>
      <c r="G23" s="370"/>
      <c r="H23" s="370"/>
      <c r="I23" s="370"/>
      <c r="J23" s="37"/>
      <c r="K23" s="37"/>
      <c r="O23" s="103"/>
      <c r="P23" s="103"/>
      <c r="Q23" s="103"/>
      <c r="R23" s="103"/>
      <c r="S23" s="103"/>
      <c r="T23" s="103"/>
    </row>
    <row r="24" spans="2:20" ht="14.5" x14ac:dyDescent="0.25">
      <c r="B24" s="37"/>
      <c r="C24" s="37"/>
      <c r="D24" s="37"/>
      <c r="E24" s="37"/>
      <c r="F24" s="370"/>
      <c r="G24" s="370"/>
      <c r="H24" s="370"/>
      <c r="I24" s="370"/>
      <c r="J24" s="37"/>
      <c r="K24" s="37"/>
      <c r="O24" s="103"/>
      <c r="P24" s="103"/>
      <c r="Q24" s="103"/>
      <c r="R24" s="103"/>
      <c r="S24" s="103"/>
      <c r="T24" s="103"/>
    </row>
    <row r="25" spans="2:20" ht="23.5" customHeight="1" x14ac:dyDescent="0.25">
      <c r="B25" s="37"/>
      <c r="C25" s="37"/>
      <c r="D25" s="37"/>
      <c r="E25" s="37"/>
      <c r="F25" s="371"/>
      <c r="G25" s="371"/>
      <c r="H25" s="371"/>
      <c r="I25" s="371"/>
      <c r="J25" s="37"/>
      <c r="K25" s="37"/>
      <c r="O25" s="103"/>
      <c r="P25" s="103"/>
      <c r="Q25" s="103"/>
      <c r="R25" s="103"/>
      <c r="S25" s="103"/>
      <c r="T25" s="103"/>
    </row>
    <row r="26" spans="2:20" ht="25" customHeight="1" x14ac:dyDescent="0.3">
      <c r="B26" s="33"/>
      <c r="C26" s="33"/>
      <c r="D26" s="33"/>
      <c r="E26" s="33"/>
      <c r="F26" s="372"/>
      <c r="G26" s="372"/>
      <c r="H26" s="372"/>
      <c r="I26" s="372"/>
      <c r="J26" s="37"/>
      <c r="K26" s="37"/>
      <c r="O26" s="103"/>
      <c r="P26" s="103"/>
      <c r="Q26" s="103"/>
      <c r="R26" s="103"/>
      <c r="S26" s="103"/>
      <c r="T26" s="103"/>
    </row>
    <row r="27" spans="2:20" ht="26.5" customHeight="1" x14ac:dyDescent="0.25">
      <c r="B27" s="37"/>
      <c r="C27" s="37"/>
      <c r="D27" s="37"/>
      <c r="E27" s="37"/>
      <c r="F27" s="37"/>
      <c r="G27" s="37"/>
      <c r="H27" s="37"/>
      <c r="I27" s="37"/>
      <c r="J27" s="37"/>
      <c r="K27" s="37"/>
      <c r="O27" s="103"/>
      <c r="P27" s="103"/>
      <c r="Q27" s="103"/>
      <c r="R27" s="103"/>
      <c r="S27" s="103"/>
      <c r="T27" s="103"/>
    </row>
    <row r="28" spans="2:20" ht="27" customHeight="1" x14ac:dyDescent="0.25">
      <c r="B28" s="769"/>
      <c r="C28" s="769"/>
      <c r="D28" s="769"/>
      <c r="E28" s="769"/>
      <c r="F28" s="769"/>
      <c r="G28" s="769"/>
      <c r="H28" s="769"/>
      <c r="I28" s="769"/>
      <c r="J28" s="37"/>
      <c r="K28" s="37"/>
      <c r="O28" s="103"/>
      <c r="P28" s="103"/>
      <c r="Q28" s="103"/>
      <c r="R28" s="103"/>
      <c r="S28" s="103"/>
      <c r="T28" s="103"/>
    </row>
    <row r="29" spans="2:20" ht="14.5" x14ac:dyDescent="0.3">
      <c r="B29" s="770"/>
      <c r="C29" s="770"/>
      <c r="D29" s="770"/>
      <c r="E29" s="15"/>
      <c r="F29" s="14"/>
      <c r="G29" s="14"/>
      <c r="H29" s="14"/>
      <c r="I29" s="36"/>
      <c r="J29" s="37"/>
      <c r="K29" s="37"/>
      <c r="O29" s="103"/>
      <c r="P29" s="103"/>
      <c r="Q29" s="103"/>
      <c r="R29" s="103"/>
      <c r="S29" s="103"/>
      <c r="T29" s="103"/>
    </row>
    <row r="30" spans="2:20" ht="14.5" x14ac:dyDescent="0.25">
      <c r="B30" s="38"/>
      <c r="C30" s="38"/>
      <c r="D30" s="37"/>
      <c r="E30" s="37"/>
      <c r="F30" s="369"/>
      <c r="G30" s="369"/>
      <c r="H30" s="369"/>
      <c r="I30" s="369"/>
      <c r="J30" s="37"/>
      <c r="K30" s="37"/>
      <c r="O30" s="103"/>
      <c r="P30" s="103"/>
      <c r="Q30" s="103"/>
      <c r="R30" s="103"/>
      <c r="S30" s="103"/>
      <c r="T30" s="103"/>
    </row>
    <row r="31" spans="2:20" ht="14.5" x14ac:dyDescent="0.25">
      <c r="B31" s="38"/>
      <c r="C31" s="38"/>
      <c r="D31" s="37"/>
      <c r="E31" s="37"/>
      <c r="F31" s="369"/>
      <c r="G31" s="369"/>
      <c r="H31" s="369"/>
      <c r="I31" s="369"/>
      <c r="J31" s="37"/>
      <c r="K31" s="37"/>
      <c r="O31" s="103"/>
      <c r="P31" s="103"/>
      <c r="Q31" s="103"/>
      <c r="R31" s="103"/>
      <c r="S31" s="103"/>
      <c r="T31" s="103"/>
    </row>
    <row r="32" spans="2:20" ht="14.5" x14ac:dyDescent="0.25">
      <c r="B32" s="38"/>
      <c r="C32" s="38"/>
      <c r="D32" s="37"/>
      <c r="E32" s="37"/>
      <c r="F32" s="369"/>
      <c r="G32" s="369"/>
      <c r="H32" s="369"/>
      <c r="I32" s="369"/>
      <c r="J32" s="37"/>
      <c r="K32" s="37"/>
      <c r="O32" s="103"/>
      <c r="P32" s="103"/>
      <c r="Q32" s="103"/>
      <c r="R32" s="103"/>
      <c r="S32" s="103"/>
      <c r="T32" s="103"/>
    </row>
    <row r="33" spans="1:20" ht="14.5" x14ac:dyDescent="0.3">
      <c r="B33" s="770"/>
      <c r="C33" s="770"/>
      <c r="D33" s="770"/>
      <c r="E33" s="15"/>
      <c r="F33" s="14"/>
      <c r="G33" s="14"/>
      <c r="H33" s="14"/>
      <c r="I33" s="36"/>
      <c r="J33" s="37"/>
      <c r="K33" s="37"/>
      <c r="O33" s="103"/>
      <c r="P33" s="103"/>
      <c r="Q33" s="103"/>
      <c r="R33" s="103"/>
      <c r="S33" s="103"/>
      <c r="T33" s="103"/>
    </row>
    <row r="34" spans="1:20" ht="14.5" x14ac:dyDescent="0.25">
      <c r="B34" s="38"/>
      <c r="C34" s="38"/>
      <c r="D34" s="37"/>
      <c r="E34" s="37"/>
      <c r="F34" s="370"/>
      <c r="G34" s="370"/>
      <c r="H34" s="370"/>
      <c r="I34" s="370"/>
      <c r="J34" s="37"/>
      <c r="K34" s="37"/>
      <c r="O34" s="103"/>
      <c r="P34" s="103"/>
      <c r="Q34" s="103"/>
      <c r="R34" s="103"/>
      <c r="S34" s="103"/>
      <c r="T34" s="103"/>
    </row>
    <row r="35" spans="1:20" ht="14.5" x14ac:dyDescent="0.25">
      <c r="B35" s="38"/>
      <c r="C35" s="38"/>
      <c r="D35" s="37"/>
      <c r="E35" s="37"/>
      <c r="F35" s="370"/>
      <c r="G35" s="370"/>
      <c r="H35" s="370"/>
      <c r="I35" s="370"/>
      <c r="J35" s="370"/>
      <c r="K35" s="37"/>
      <c r="O35" s="103"/>
      <c r="P35" s="103"/>
      <c r="Q35" s="103"/>
      <c r="R35" s="103"/>
      <c r="S35" s="103"/>
      <c r="T35" s="103"/>
    </row>
    <row r="36" spans="1:20" ht="14.5" x14ac:dyDescent="0.25">
      <c r="B36" s="38"/>
      <c r="C36" s="38"/>
      <c r="D36" s="37"/>
      <c r="E36" s="37"/>
      <c r="F36" s="370"/>
      <c r="G36" s="370"/>
      <c r="H36" s="370"/>
      <c r="J36" s="370"/>
      <c r="K36" s="37"/>
      <c r="O36" s="103"/>
      <c r="P36" s="103"/>
      <c r="Q36" s="103"/>
      <c r="R36" s="103"/>
      <c r="S36" s="103"/>
      <c r="T36" s="103"/>
    </row>
    <row r="37" spans="1:20" ht="14.5" x14ac:dyDescent="0.25">
      <c r="B37" s="38"/>
      <c r="C37" s="38"/>
      <c r="D37" s="37"/>
      <c r="E37" s="37"/>
      <c r="F37" s="370"/>
      <c r="G37" s="370"/>
      <c r="H37" s="370"/>
      <c r="J37" s="37"/>
      <c r="K37" s="37"/>
      <c r="O37" s="103"/>
      <c r="P37" s="103"/>
      <c r="Q37" s="103"/>
      <c r="R37" s="103"/>
      <c r="S37" s="103"/>
      <c r="T37" s="103"/>
    </row>
    <row r="38" spans="1:20" x14ac:dyDescent="0.25">
      <c r="B38" s="38"/>
      <c r="C38" s="38"/>
      <c r="D38" s="37"/>
      <c r="E38" s="37"/>
      <c r="F38" s="370"/>
      <c r="G38" s="370"/>
      <c r="H38" s="370"/>
      <c r="I38" s="370"/>
      <c r="J38" s="37"/>
      <c r="K38" s="37"/>
    </row>
    <row r="39" spans="1:20" ht="13" x14ac:dyDescent="0.3">
      <c r="B39" s="770"/>
      <c r="C39" s="770"/>
      <c r="D39" s="770"/>
      <c r="E39" s="15"/>
      <c r="F39" s="14"/>
      <c r="G39" s="14"/>
      <c r="H39" s="14"/>
      <c r="I39" s="36"/>
      <c r="J39" s="37"/>
      <c r="K39" s="37"/>
    </row>
    <row r="40" spans="1:20" ht="13" x14ac:dyDescent="0.3">
      <c r="B40" s="15"/>
      <c r="C40" s="15"/>
      <c r="D40" s="15"/>
      <c r="E40" s="15"/>
      <c r="F40" s="14"/>
      <c r="G40" s="14"/>
      <c r="H40" s="14"/>
      <c r="I40" s="36"/>
      <c r="J40" s="37"/>
      <c r="K40" s="37"/>
    </row>
    <row r="41" spans="1:20" s="383" customFormat="1" ht="31.5" customHeight="1" x14ac:dyDescent="0.35">
      <c r="A41" s="382"/>
      <c r="B41" s="306" t="s">
        <v>403</v>
      </c>
      <c r="D41" s="384"/>
      <c r="E41" s="384"/>
      <c r="F41" s="384"/>
      <c r="G41" s="384"/>
      <c r="H41" s="384"/>
      <c r="I41" s="384"/>
      <c r="J41" s="384"/>
      <c r="K41" s="384"/>
      <c r="L41" s="384"/>
      <c r="M41" s="384"/>
      <c r="N41" s="384"/>
    </row>
    <row r="42" spans="1:20" ht="13" thickBot="1" x14ac:dyDescent="0.3">
      <c r="B42" s="37"/>
      <c r="C42" s="37"/>
      <c r="D42" s="37"/>
      <c r="E42" s="37"/>
      <c r="F42" s="37"/>
      <c r="G42" s="37"/>
      <c r="H42" s="37"/>
      <c r="I42" s="37"/>
      <c r="J42" s="37"/>
      <c r="K42" s="37"/>
      <c r="L42" s="37"/>
      <c r="M42" s="37"/>
      <c r="N42" s="37"/>
    </row>
    <row r="43" spans="1:20" ht="13" x14ac:dyDescent="0.25">
      <c r="B43" s="797" t="s">
        <v>348</v>
      </c>
      <c r="C43" s="795" t="s">
        <v>350</v>
      </c>
      <c r="D43" s="795"/>
      <c r="E43" s="795" t="s">
        <v>352</v>
      </c>
      <c r="F43" s="796"/>
      <c r="G43" s="37"/>
      <c r="H43" s="37"/>
      <c r="I43" s="37"/>
      <c r="J43" s="37"/>
      <c r="K43" s="37"/>
      <c r="L43" s="37"/>
      <c r="M43" s="37"/>
      <c r="N43" s="37"/>
      <c r="O43" s="37"/>
    </row>
    <row r="44" spans="1:20" ht="13" x14ac:dyDescent="0.25">
      <c r="B44" s="798"/>
      <c r="C44" s="375" t="s">
        <v>351</v>
      </c>
      <c r="D44" s="375" t="s">
        <v>349</v>
      </c>
      <c r="E44" s="375" t="s">
        <v>351</v>
      </c>
      <c r="F44" s="454" t="s">
        <v>349</v>
      </c>
      <c r="G44" s="37"/>
      <c r="H44" s="37"/>
      <c r="I44" s="37"/>
      <c r="J44" s="37"/>
      <c r="K44" s="37"/>
      <c r="L44" s="37"/>
      <c r="M44" s="37"/>
      <c r="N44" s="37"/>
      <c r="O44" s="37"/>
    </row>
    <row r="45" spans="1:20" ht="24" customHeight="1" x14ac:dyDescent="0.25">
      <c r="B45" s="455" t="s">
        <v>328</v>
      </c>
      <c r="C45" s="377">
        <f t="shared" ref="C45:C52" si="3">SUMIF($K$61:$K$166,B45,$I$61:$I$166)</f>
        <v>604.75200000000007</v>
      </c>
      <c r="D45" s="378">
        <f>C45/$C$53</f>
        <v>3.3629565777483682E-2</v>
      </c>
      <c r="E45" s="377">
        <f t="shared" ref="E45:E52" si="4">SUMIF($K$61:$K$167,B45,$J$61:$J$167)</f>
        <v>0</v>
      </c>
      <c r="F45" s="456">
        <f>E45/$E$53</f>
        <v>0</v>
      </c>
      <c r="G45" s="37"/>
      <c r="H45" s="37"/>
      <c r="I45" s="37"/>
      <c r="J45" s="37"/>
      <c r="K45" s="37"/>
      <c r="L45" s="37"/>
      <c r="M45" s="37"/>
      <c r="N45" s="37"/>
      <c r="O45" s="37"/>
    </row>
    <row r="46" spans="1:20" ht="24" customHeight="1" x14ac:dyDescent="0.25">
      <c r="B46" s="455" t="s">
        <v>329</v>
      </c>
      <c r="C46" s="377">
        <f t="shared" si="3"/>
        <v>0</v>
      </c>
      <c r="D46" s="378">
        <f t="shared" ref="D46:D52" si="5">C46/$C$53</f>
        <v>0</v>
      </c>
      <c r="E46" s="377">
        <f t="shared" si="4"/>
        <v>0</v>
      </c>
      <c r="F46" s="456">
        <f t="shared" ref="F46:F52" si="6">E46/$E$53</f>
        <v>0</v>
      </c>
      <c r="G46" s="37"/>
      <c r="H46" s="37"/>
      <c r="I46" s="37"/>
      <c r="J46" s="37"/>
      <c r="K46" s="37"/>
      <c r="L46" s="37"/>
      <c r="M46" s="37"/>
      <c r="N46" s="37"/>
      <c r="O46" s="37"/>
    </row>
    <row r="47" spans="1:20" ht="24" customHeight="1" x14ac:dyDescent="0.25">
      <c r="B47" s="455" t="s">
        <v>330</v>
      </c>
      <c r="C47" s="377">
        <f t="shared" si="3"/>
        <v>2168.578</v>
      </c>
      <c r="D47" s="378">
        <f t="shared" si="5"/>
        <v>0.12059213775994787</v>
      </c>
      <c r="E47" s="377">
        <f t="shared" si="4"/>
        <v>0</v>
      </c>
      <c r="F47" s="456">
        <f t="shared" si="6"/>
        <v>0</v>
      </c>
      <c r="G47" s="379"/>
      <c r="H47" s="379"/>
      <c r="I47" s="37"/>
      <c r="J47" s="37"/>
      <c r="K47" s="37"/>
      <c r="L47" s="37"/>
      <c r="M47" s="37"/>
      <c r="N47" s="37"/>
      <c r="O47" s="37"/>
    </row>
    <row r="48" spans="1:20" ht="24" customHeight="1" x14ac:dyDescent="0.25">
      <c r="B48" s="455" t="s">
        <v>338</v>
      </c>
      <c r="C48" s="377">
        <f t="shared" si="3"/>
        <v>15139.521700000007</v>
      </c>
      <c r="D48" s="378">
        <f t="shared" si="5"/>
        <v>0.84189145443056279</v>
      </c>
      <c r="E48" s="377">
        <f t="shared" si="4"/>
        <v>0</v>
      </c>
      <c r="F48" s="456">
        <f t="shared" si="6"/>
        <v>0</v>
      </c>
      <c r="G48" s="379"/>
      <c r="H48" s="379"/>
      <c r="I48" s="37"/>
      <c r="J48" s="37"/>
      <c r="K48" s="37"/>
      <c r="L48" s="37"/>
      <c r="M48" s="37"/>
      <c r="N48" s="37"/>
      <c r="O48" s="37"/>
    </row>
    <row r="49" spans="1:15" ht="24" customHeight="1" x14ac:dyDescent="0.25">
      <c r="B49" s="455" t="s">
        <v>337</v>
      </c>
      <c r="C49" s="377">
        <f t="shared" si="3"/>
        <v>10.968500000000002</v>
      </c>
      <c r="D49" s="378">
        <f>C49/$C$53</f>
        <v>6.099457169721303E-4</v>
      </c>
      <c r="E49" s="377">
        <f t="shared" si="4"/>
        <v>0.95929999999999982</v>
      </c>
      <c r="F49" s="456">
        <f t="shared" si="6"/>
        <v>1</v>
      </c>
      <c r="G49" s="379"/>
      <c r="H49" s="379"/>
      <c r="I49" s="37"/>
      <c r="J49" s="37"/>
      <c r="K49" s="37"/>
      <c r="L49" s="37"/>
      <c r="M49" s="37"/>
      <c r="N49" s="37"/>
      <c r="O49" s="37"/>
    </row>
    <row r="50" spans="1:15" ht="24" customHeight="1" x14ac:dyDescent="0.25">
      <c r="B50" s="455" t="s">
        <v>341</v>
      </c>
      <c r="C50" s="377">
        <f t="shared" si="3"/>
        <v>0</v>
      </c>
      <c r="D50" s="378">
        <f t="shared" si="5"/>
        <v>0</v>
      </c>
      <c r="E50" s="377">
        <f t="shared" si="4"/>
        <v>0</v>
      </c>
      <c r="F50" s="456">
        <f t="shared" si="6"/>
        <v>0</v>
      </c>
      <c r="G50" s="379"/>
      <c r="H50" s="379"/>
      <c r="I50" s="37"/>
      <c r="J50" s="37"/>
      <c r="K50" s="37"/>
      <c r="L50" s="37"/>
      <c r="M50" s="37"/>
      <c r="N50" s="37"/>
      <c r="O50" s="37"/>
    </row>
    <row r="51" spans="1:15" ht="24" customHeight="1" x14ac:dyDescent="0.25">
      <c r="B51" s="455" t="s">
        <v>340</v>
      </c>
      <c r="C51" s="377">
        <f t="shared" si="3"/>
        <v>0</v>
      </c>
      <c r="D51" s="378">
        <f t="shared" si="5"/>
        <v>0</v>
      </c>
      <c r="E51" s="377">
        <f t="shared" si="4"/>
        <v>0</v>
      </c>
      <c r="F51" s="456">
        <f t="shared" si="6"/>
        <v>0</v>
      </c>
      <c r="G51" s="379"/>
      <c r="H51" s="379"/>
      <c r="I51" s="37"/>
      <c r="J51" s="37"/>
      <c r="K51" s="37"/>
      <c r="L51" s="37"/>
      <c r="M51" s="37"/>
      <c r="N51" s="37"/>
      <c r="O51" s="37"/>
    </row>
    <row r="52" spans="1:15" ht="24" customHeight="1" x14ac:dyDescent="0.25">
      <c r="B52" s="455" t="s">
        <v>339</v>
      </c>
      <c r="C52" s="377">
        <f t="shared" si="3"/>
        <v>58.927599999999998</v>
      </c>
      <c r="D52" s="378">
        <f t="shared" si="5"/>
        <v>3.276896315033678E-3</v>
      </c>
      <c r="E52" s="377">
        <f t="shared" si="4"/>
        <v>0</v>
      </c>
      <c r="F52" s="456">
        <f t="shared" si="6"/>
        <v>0</v>
      </c>
      <c r="G52" s="379"/>
      <c r="H52" s="379"/>
      <c r="I52" s="37"/>
      <c r="J52" s="37"/>
      <c r="K52" s="37"/>
      <c r="L52" s="37"/>
      <c r="M52" s="37"/>
      <c r="N52" s="37"/>
      <c r="O52" s="37"/>
    </row>
    <row r="53" spans="1:15" ht="24" customHeight="1" thickBot="1" x14ac:dyDescent="0.35">
      <c r="B53" s="457" t="s">
        <v>344</v>
      </c>
      <c r="C53" s="458">
        <f>SUM(C45:C52)</f>
        <v>17982.747800000005</v>
      </c>
      <c r="D53" s="553">
        <f>SUM(D45:D52)</f>
        <v>1.0000000000000002</v>
      </c>
      <c r="E53" s="459">
        <f>SUM(E45:E52)</f>
        <v>0.95929999999999982</v>
      </c>
      <c r="F53" s="554">
        <f>SUM(F45:F52)</f>
        <v>1</v>
      </c>
      <c r="G53" s="432"/>
      <c r="H53" s="432"/>
      <c r="I53" s="37"/>
      <c r="J53" s="37"/>
      <c r="K53" s="37"/>
      <c r="L53" s="37"/>
      <c r="M53" s="37"/>
      <c r="N53" s="37"/>
      <c r="O53" s="37"/>
    </row>
    <row r="54" spans="1:15" x14ac:dyDescent="0.25">
      <c r="B54" s="37"/>
      <c r="C54" s="37"/>
      <c r="E54" s="37"/>
      <c r="F54" s="37"/>
      <c r="G54" s="37"/>
      <c r="H54" s="37"/>
      <c r="I54" s="37"/>
      <c r="J54" s="37"/>
      <c r="K54" s="37"/>
      <c r="L54" s="37"/>
      <c r="M54" s="37"/>
      <c r="N54" s="37"/>
      <c r="O54" s="37"/>
    </row>
    <row r="55" spans="1:15" x14ac:dyDescent="0.25">
      <c r="B55" s="38"/>
      <c r="C55" s="38"/>
      <c r="D55" s="37"/>
      <c r="E55" s="37"/>
      <c r="F55" s="371"/>
      <c r="G55" s="371"/>
      <c r="H55" s="371"/>
      <c r="I55" s="371"/>
      <c r="J55" s="37"/>
      <c r="K55" s="37"/>
    </row>
    <row r="56" spans="1:15" x14ac:dyDescent="0.25">
      <c r="B56" s="38"/>
      <c r="C56" s="38"/>
      <c r="D56" s="37"/>
      <c r="E56" s="37"/>
      <c r="F56" s="371"/>
      <c r="G56" s="371"/>
      <c r="H56" s="371"/>
      <c r="I56" s="371"/>
      <c r="J56" s="37"/>
      <c r="K56" s="37"/>
    </row>
    <row r="57" spans="1:15" s="383" customFormat="1" ht="27.65" customHeight="1" x14ac:dyDescent="0.35">
      <c r="A57" s="382"/>
      <c r="B57" s="306" t="s">
        <v>461</v>
      </c>
      <c r="D57" s="384"/>
      <c r="E57" s="384"/>
      <c r="F57" s="384"/>
      <c r="G57" s="384"/>
      <c r="H57" s="384"/>
      <c r="I57" s="384"/>
      <c r="J57" s="384"/>
      <c r="K57" s="384"/>
      <c r="L57" s="384"/>
      <c r="M57" s="384"/>
    </row>
    <row r="58" spans="1:15" s="404" customFormat="1" ht="19.5" customHeight="1" x14ac:dyDescent="0.35">
      <c r="A58" s="403"/>
      <c r="B58" s="386" t="s">
        <v>462</v>
      </c>
      <c r="D58" s="405"/>
      <c r="E58" s="405"/>
      <c r="F58" s="405"/>
      <c r="G58" s="405"/>
      <c r="H58" s="405"/>
      <c r="I58" s="405"/>
      <c r="J58" s="405"/>
      <c r="K58" s="405"/>
      <c r="L58" s="405"/>
      <c r="M58" s="405"/>
    </row>
    <row r="59" spans="1:15" ht="13" thickBot="1" x14ac:dyDescent="0.3">
      <c r="B59" s="37"/>
      <c r="C59" s="37"/>
      <c r="D59" s="37"/>
      <c r="E59" s="37"/>
      <c r="F59" s="37"/>
      <c r="G59" s="37"/>
      <c r="H59" s="37"/>
      <c r="I59" s="37"/>
      <c r="J59" s="37"/>
      <c r="K59" s="37"/>
      <c r="L59" s="37"/>
      <c r="M59" s="37"/>
    </row>
    <row r="60" spans="1:15" s="366" customFormat="1" ht="34" customHeight="1" x14ac:dyDescent="0.25">
      <c r="B60" s="493" t="s">
        <v>137</v>
      </c>
      <c r="C60" s="494" t="s">
        <v>320</v>
      </c>
      <c r="D60" s="494" t="s">
        <v>321</v>
      </c>
      <c r="E60" s="494" t="s">
        <v>322</v>
      </c>
      <c r="F60" s="494" t="s">
        <v>323</v>
      </c>
      <c r="G60" s="494" t="s">
        <v>10</v>
      </c>
      <c r="H60" s="494" t="s">
        <v>324</v>
      </c>
      <c r="I60" s="494" t="s">
        <v>325</v>
      </c>
      <c r="J60" s="494" t="s">
        <v>326</v>
      </c>
      <c r="K60" s="495" t="s">
        <v>327</v>
      </c>
      <c r="M60" s="37"/>
    </row>
    <row r="61" spans="1:15" ht="37.5" x14ac:dyDescent="0.25">
      <c r="B61" s="806" t="s">
        <v>291</v>
      </c>
      <c r="C61" s="390" t="s">
        <v>148</v>
      </c>
      <c r="D61" s="390" t="s">
        <v>167</v>
      </c>
      <c r="E61" s="390" t="s">
        <v>168</v>
      </c>
      <c r="F61" s="390">
        <v>143</v>
      </c>
      <c r="G61" s="390" t="s">
        <v>25</v>
      </c>
      <c r="H61" s="391"/>
      <c r="I61" s="390">
        <v>1.4789000000000001</v>
      </c>
      <c r="J61" s="390"/>
      <c r="K61" s="496" t="s">
        <v>328</v>
      </c>
      <c r="M61" s="37"/>
    </row>
    <row r="62" spans="1:15" ht="25" x14ac:dyDescent="0.25">
      <c r="B62" s="806"/>
      <c r="C62" s="390" t="s">
        <v>149</v>
      </c>
      <c r="D62" s="390" t="s">
        <v>169</v>
      </c>
      <c r="E62" s="390" t="s">
        <v>170</v>
      </c>
      <c r="F62" s="390">
        <v>23756</v>
      </c>
      <c r="G62" s="390" t="s">
        <v>171</v>
      </c>
      <c r="H62" s="391"/>
      <c r="I62" s="390">
        <v>93.837400000000002</v>
      </c>
      <c r="J62" s="390"/>
      <c r="K62" s="496" t="s">
        <v>328</v>
      </c>
      <c r="M62" s="37"/>
    </row>
    <row r="63" spans="1:15" ht="25" x14ac:dyDescent="0.25">
      <c r="B63" s="806"/>
      <c r="C63" s="390" t="s">
        <v>157</v>
      </c>
      <c r="D63" s="390" t="s">
        <v>172</v>
      </c>
      <c r="E63" s="390" t="s">
        <v>173</v>
      </c>
      <c r="F63" s="390">
        <v>39</v>
      </c>
      <c r="G63" s="390" t="s">
        <v>171</v>
      </c>
      <c r="H63" s="391"/>
      <c r="I63" s="390">
        <v>9.9657999999999998</v>
      </c>
      <c r="J63" s="390"/>
      <c r="K63" s="496" t="s">
        <v>338</v>
      </c>
      <c r="M63" s="37"/>
    </row>
    <row r="64" spans="1:15" ht="25" x14ac:dyDescent="0.25">
      <c r="B64" s="806"/>
      <c r="C64" s="390" t="s">
        <v>157</v>
      </c>
      <c r="D64" s="390" t="s">
        <v>172</v>
      </c>
      <c r="E64" s="390" t="s">
        <v>174</v>
      </c>
      <c r="F64" s="390">
        <v>395</v>
      </c>
      <c r="G64" s="390" t="s">
        <v>171</v>
      </c>
      <c r="H64" s="391"/>
      <c r="I64" s="390">
        <v>103.9032</v>
      </c>
      <c r="J64" s="390"/>
      <c r="K64" s="496" t="s">
        <v>338</v>
      </c>
      <c r="M64" s="37"/>
    </row>
    <row r="65" spans="2:13" ht="25" x14ac:dyDescent="0.25">
      <c r="B65" s="806"/>
      <c r="C65" s="390" t="s">
        <v>157</v>
      </c>
      <c r="D65" s="390" t="s">
        <v>172</v>
      </c>
      <c r="E65" s="390" t="s">
        <v>174</v>
      </c>
      <c r="F65" s="390">
        <v>787</v>
      </c>
      <c r="G65" s="390" t="s">
        <v>171</v>
      </c>
      <c r="H65" s="391"/>
      <c r="I65" s="390">
        <v>207.01740000000001</v>
      </c>
      <c r="J65" s="390"/>
      <c r="K65" s="496" t="s">
        <v>338</v>
      </c>
      <c r="M65" s="37"/>
    </row>
    <row r="66" spans="2:13" ht="25" x14ac:dyDescent="0.25">
      <c r="B66" s="806"/>
      <c r="C66" s="390" t="s">
        <v>157</v>
      </c>
      <c r="D66" s="390" t="s">
        <v>172</v>
      </c>
      <c r="E66" s="390" t="s">
        <v>174</v>
      </c>
      <c r="F66" s="390">
        <v>545</v>
      </c>
      <c r="G66" s="390" t="s">
        <v>171</v>
      </c>
      <c r="H66" s="391"/>
      <c r="I66" s="390">
        <v>143.36019999999999</v>
      </c>
      <c r="J66" s="390"/>
      <c r="K66" s="496" t="s">
        <v>338</v>
      </c>
      <c r="M66" s="37"/>
    </row>
    <row r="67" spans="2:13" ht="25" x14ac:dyDescent="0.25">
      <c r="B67" s="806"/>
      <c r="C67" s="390" t="s">
        <v>157</v>
      </c>
      <c r="D67" s="390" t="s">
        <v>172</v>
      </c>
      <c r="E67" s="390" t="s">
        <v>174</v>
      </c>
      <c r="F67" s="390">
        <v>86</v>
      </c>
      <c r="G67" s="390" t="s">
        <v>171</v>
      </c>
      <c r="H67" s="391"/>
      <c r="I67" s="390">
        <v>22.622</v>
      </c>
      <c r="J67" s="390"/>
      <c r="K67" s="496" t="s">
        <v>338</v>
      </c>
      <c r="M67" s="37"/>
    </row>
    <row r="68" spans="2:13" ht="25" x14ac:dyDescent="0.25">
      <c r="B68" s="806"/>
      <c r="C68" s="390" t="s">
        <v>157</v>
      </c>
      <c r="D68" s="390" t="s">
        <v>172</v>
      </c>
      <c r="E68" s="390" t="s">
        <v>372</v>
      </c>
      <c r="F68" s="390">
        <v>14</v>
      </c>
      <c r="G68" s="390" t="s">
        <v>175</v>
      </c>
      <c r="H68" s="391"/>
      <c r="I68" s="390">
        <v>34.0974</v>
      </c>
      <c r="J68" s="390"/>
      <c r="K68" s="496" t="s">
        <v>338</v>
      </c>
      <c r="M68" s="37"/>
    </row>
    <row r="69" spans="2:13" ht="25" x14ac:dyDescent="0.25">
      <c r="B69" s="806"/>
      <c r="C69" s="390" t="s">
        <v>157</v>
      </c>
      <c r="D69" s="390" t="s">
        <v>176</v>
      </c>
      <c r="E69" s="390" t="s">
        <v>177</v>
      </c>
      <c r="F69" s="390">
        <v>279</v>
      </c>
      <c r="G69" s="390" t="s">
        <v>178</v>
      </c>
      <c r="H69" s="391"/>
      <c r="I69" s="390">
        <v>168.31399999999999</v>
      </c>
      <c r="J69" s="390"/>
      <c r="K69" s="496" t="s">
        <v>330</v>
      </c>
      <c r="M69" s="37"/>
    </row>
    <row r="70" spans="2:13" ht="37.5" x14ac:dyDescent="0.25">
      <c r="B70" s="806"/>
      <c r="C70" s="390" t="s">
        <v>152</v>
      </c>
      <c r="D70" s="390" t="s">
        <v>265</v>
      </c>
      <c r="E70" s="390" t="s">
        <v>266</v>
      </c>
      <c r="F70" s="390">
        <v>40</v>
      </c>
      <c r="G70" s="390" t="s">
        <v>25</v>
      </c>
      <c r="H70" s="391"/>
      <c r="I70" s="390">
        <v>0.29389999999999999</v>
      </c>
      <c r="J70" s="390"/>
      <c r="K70" s="496" t="s">
        <v>330</v>
      </c>
      <c r="M70" s="37"/>
    </row>
    <row r="71" spans="2:13" ht="37.5" x14ac:dyDescent="0.25">
      <c r="B71" s="806"/>
      <c r="C71" s="390" t="s">
        <v>155</v>
      </c>
      <c r="D71" s="390" t="s">
        <v>179</v>
      </c>
      <c r="E71" s="390" t="s">
        <v>253</v>
      </c>
      <c r="F71" s="390">
        <v>2842</v>
      </c>
      <c r="G71" s="390" t="s">
        <v>25</v>
      </c>
      <c r="H71" s="391"/>
      <c r="I71" s="390">
        <v>17.188400000000001</v>
      </c>
      <c r="J71" s="390"/>
      <c r="K71" s="496" t="s">
        <v>339</v>
      </c>
      <c r="M71" s="37"/>
    </row>
    <row r="72" spans="2:13" ht="25" x14ac:dyDescent="0.25">
      <c r="B72" s="806"/>
      <c r="C72" s="390" t="s">
        <v>148</v>
      </c>
      <c r="D72" s="390" t="s">
        <v>167</v>
      </c>
      <c r="E72" s="390" t="s">
        <v>267</v>
      </c>
      <c r="F72" s="390">
        <v>240</v>
      </c>
      <c r="G72" s="390" t="s">
        <v>25</v>
      </c>
      <c r="H72" s="391"/>
      <c r="I72" s="390">
        <v>2.4535999999999998</v>
      </c>
      <c r="J72" s="390"/>
      <c r="K72" s="496" t="s">
        <v>339</v>
      </c>
      <c r="M72" s="37"/>
    </row>
    <row r="73" spans="2:13" ht="37.5" x14ac:dyDescent="0.25">
      <c r="B73" s="806"/>
      <c r="C73" s="390" t="s">
        <v>148</v>
      </c>
      <c r="D73" s="390" t="s">
        <v>180</v>
      </c>
      <c r="E73" s="390" t="s">
        <v>181</v>
      </c>
      <c r="F73" s="390">
        <v>4</v>
      </c>
      <c r="G73" s="390" t="s">
        <v>175</v>
      </c>
      <c r="H73" s="391"/>
      <c r="I73" s="390">
        <v>2.1627000000000001</v>
      </c>
      <c r="J73" s="390"/>
      <c r="K73" s="496" t="s">
        <v>338</v>
      </c>
      <c r="M73" s="37"/>
    </row>
    <row r="74" spans="2:13" ht="37.5" x14ac:dyDescent="0.25">
      <c r="B74" s="806"/>
      <c r="C74" s="390" t="s">
        <v>148</v>
      </c>
      <c r="D74" s="390" t="s">
        <v>182</v>
      </c>
      <c r="E74" s="390" t="s">
        <v>268</v>
      </c>
      <c r="F74" s="390">
        <v>338</v>
      </c>
      <c r="G74" s="390" t="s">
        <v>25</v>
      </c>
      <c r="H74" s="391"/>
      <c r="I74" s="390">
        <v>15.2844</v>
      </c>
      <c r="J74" s="390"/>
      <c r="K74" s="496" t="s">
        <v>338</v>
      </c>
      <c r="M74" s="37"/>
    </row>
    <row r="75" spans="2:13" ht="25" x14ac:dyDescent="0.25">
      <c r="B75" s="806"/>
      <c r="C75" s="390" t="s">
        <v>147</v>
      </c>
      <c r="D75" s="390" t="s">
        <v>183</v>
      </c>
      <c r="E75" s="390" t="s">
        <v>184</v>
      </c>
      <c r="F75" s="390">
        <v>240</v>
      </c>
      <c r="G75" s="390" t="s">
        <v>25</v>
      </c>
      <c r="H75" s="391"/>
      <c r="I75" s="390">
        <v>14.764900000000001</v>
      </c>
      <c r="J75" s="390"/>
      <c r="K75" s="496" t="s">
        <v>330</v>
      </c>
      <c r="M75" s="37"/>
    </row>
    <row r="76" spans="2:13" ht="25" x14ac:dyDescent="0.25">
      <c r="B76" s="806"/>
      <c r="C76" s="390" t="s">
        <v>147</v>
      </c>
      <c r="D76" s="390" t="s">
        <v>183</v>
      </c>
      <c r="E76" s="390" t="s">
        <v>240</v>
      </c>
      <c r="F76" s="390">
        <v>120</v>
      </c>
      <c r="G76" s="390" t="s">
        <v>25</v>
      </c>
      <c r="H76" s="391"/>
      <c r="I76" s="390">
        <v>11.770799999999999</v>
      </c>
      <c r="J76" s="390"/>
      <c r="K76" s="496" t="s">
        <v>330</v>
      </c>
      <c r="M76" s="37"/>
    </row>
    <row r="77" spans="2:13" ht="37.5" x14ac:dyDescent="0.25">
      <c r="B77" s="806"/>
      <c r="C77" s="390" t="s">
        <v>152</v>
      </c>
      <c r="D77" s="390" t="s">
        <v>185</v>
      </c>
      <c r="E77" s="390" t="s">
        <v>186</v>
      </c>
      <c r="F77" s="390">
        <v>2719</v>
      </c>
      <c r="G77" s="390" t="s">
        <v>187</v>
      </c>
      <c r="H77" s="391"/>
      <c r="I77" s="390">
        <v>1.4138999999999999</v>
      </c>
      <c r="J77" s="390"/>
      <c r="K77" s="496" t="s">
        <v>339</v>
      </c>
      <c r="M77" s="37"/>
    </row>
    <row r="78" spans="2:13" ht="37.5" x14ac:dyDescent="0.25">
      <c r="B78" s="806"/>
      <c r="C78" s="390" t="s">
        <v>152</v>
      </c>
      <c r="D78" s="390" t="s">
        <v>185</v>
      </c>
      <c r="E78" s="390" t="s">
        <v>186</v>
      </c>
      <c r="F78" s="390">
        <v>1056</v>
      </c>
      <c r="G78" s="390" t="s">
        <v>187</v>
      </c>
      <c r="H78" s="391"/>
      <c r="I78" s="390">
        <v>0.54910000000000003</v>
      </c>
      <c r="J78" s="390"/>
      <c r="K78" s="496" t="s">
        <v>339</v>
      </c>
      <c r="M78" s="37"/>
    </row>
    <row r="79" spans="2:13" ht="37.5" x14ac:dyDescent="0.25">
      <c r="B79" s="806"/>
      <c r="C79" s="390" t="s">
        <v>146</v>
      </c>
      <c r="D79" s="390" t="s">
        <v>195</v>
      </c>
      <c r="E79" s="390" t="s">
        <v>196</v>
      </c>
      <c r="F79" s="390">
        <v>58</v>
      </c>
      <c r="G79" s="390" t="s">
        <v>25</v>
      </c>
      <c r="H79" s="391"/>
      <c r="I79" s="390">
        <v>0.61150000000000004</v>
      </c>
      <c r="J79" s="390"/>
      <c r="K79" s="496" t="s">
        <v>330</v>
      </c>
      <c r="M79" s="37"/>
    </row>
    <row r="80" spans="2:13" ht="25" x14ac:dyDescent="0.25">
      <c r="B80" s="806"/>
      <c r="C80" s="390" t="s">
        <v>158</v>
      </c>
      <c r="D80" s="390" t="s">
        <v>373</v>
      </c>
      <c r="E80" s="390" t="s">
        <v>374</v>
      </c>
      <c r="F80" s="390">
        <v>750</v>
      </c>
      <c r="G80" s="390" t="s">
        <v>178</v>
      </c>
      <c r="H80" s="391"/>
      <c r="I80" s="390">
        <v>1049.2394999999999</v>
      </c>
      <c r="J80" s="390"/>
      <c r="K80" s="496" t="s">
        <v>330</v>
      </c>
      <c r="M80" s="37"/>
    </row>
    <row r="81" spans="2:13" s="393" customFormat="1" ht="25" customHeight="1" x14ac:dyDescent="0.25">
      <c r="B81" s="806"/>
      <c r="C81" s="390" t="s">
        <v>157</v>
      </c>
      <c r="D81" s="390" t="s">
        <v>172</v>
      </c>
      <c r="E81" s="390" t="s">
        <v>271</v>
      </c>
      <c r="F81" s="390">
        <v>240</v>
      </c>
      <c r="G81" s="390" t="s">
        <v>175</v>
      </c>
      <c r="H81" s="391"/>
      <c r="I81" s="390">
        <v>834.62099999999998</v>
      </c>
      <c r="J81" s="390"/>
      <c r="K81" s="496" t="s">
        <v>338</v>
      </c>
      <c r="M81" s="335"/>
    </row>
    <row r="82" spans="2:13" ht="25" x14ac:dyDescent="0.25">
      <c r="B82" s="806"/>
      <c r="C82" s="390" t="s">
        <v>157</v>
      </c>
      <c r="D82" s="390" t="s">
        <v>172</v>
      </c>
      <c r="E82" s="390" t="s">
        <v>360</v>
      </c>
      <c r="F82" s="390">
        <v>87</v>
      </c>
      <c r="G82" s="390" t="s">
        <v>175</v>
      </c>
      <c r="H82" s="391"/>
      <c r="I82" s="390">
        <v>119.3831</v>
      </c>
      <c r="J82" s="390"/>
      <c r="K82" s="496" t="s">
        <v>338</v>
      </c>
    </row>
    <row r="83" spans="2:13" ht="25" x14ac:dyDescent="0.25">
      <c r="B83" s="806"/>
      <c r="C83" s="390" t="s">
        <v>157</v>
      </c>
      <c r="D83" s="390" t="s">
        <v>172</v>
      </c>
      <c r="E83" s="390" t="s">
        <v>271</v>
      </c>
      <c r="F83" s="390">
        <v>345</v>
      </c>
      <c r="G83" s="390" t="s">
        <v>175</v>
      </c>
      <c r="H83" s="391"/>
      <c r="I83" s="390">
        <v>1199.7677000000001</v>
      </c>
      <c r="J83" s="390"/>
      <c r="K83" s="496" t="s">
        <v>338</v>
      </c>
      <c r="M83" s="37"/>
    </row>
    <row r="84" spans="2:13" ht="12" customHeight="1" x14ac:dyDescent="0.25">
      <c r="B84" s="806"/>
      <c r="C84" s="390" t="s">
        <v>151</v>
      </c>
      <c r="D84" s="390" t="s">
        <v>189</v>
      </c>
      <c r="E84" s="390" t="s">
        <v>370</v>
      </c>
      <c r="F84" s="390">
        <v>2285</v>
      </c>
      <c r="G84" s="390" t="s">
        <v>187</v>
      </c>
      <c r="H84" s="391"/>
      <c r="I84" s="390">
        <v>1.3252999999999999</v>
      </c>
      <c r="J84" s="390"/>
      <c r="K84" s="496" t="s">
        <v>339</v>
      </c>
    </row>
    <row r="85" spans="2:13" ht="25" x14ac:dyDescent="0.25">
      <c r="B85" s="806"/>
      <c r="C85" s="390" t="s">
        <v>148</v>
      </c>
      <c r="D85" s="390" t="s">
        <v>180</v>
      </c>
      <c r="E85" s="390" t="s">
        <v>188</v>
      </c>
      <c r="F85" s="390">
        <v>4</v>
      </c>
      <c r="G85" s="390" t="s">
        <v>175</v>
      </c>
      <c r="H85" s="391"/>
      <c r="I85" s="390">
        <v>10.036099999999999</v>
      </c>
      <c r="J85" s="390"/>
      <c r="K85" s="496" t="s">
        <v>338</v>
      </c>
      <c r="M85" s="37"/>
    </row>
    <row r="86" spans="2:13" ht="37.5" x14ac:dyDescent="0.25">
      <c r="B86" s="806"/>
      <c r="C86" s="390" t="s">
        <v>159</v>
      </c>
      <c r="D86" s="390" t="s">
        <v>260</v>
      </c>
      <c r="E86" s="390" t="s">
        <v>375</v>
      </c>
      <c r="F86" s="390">
        <v>4264</v>
      </c>
      <c r="G86" s="390" t="s">
        <v>376</v>
      </c>
      <c r="H86" s="391"/>
      <c r="I86" s="390">
        <v>336.85599999999999</v>
      </c>
      <c r="J86" s="390"/>
      <c r="K86" s="496" t="s">
        <v>328</v>
      </c>
      <c r="M86" s="37"/>
    </row>
    <row r="87" spans="2:13" ht="25" x14ac:dyDescent="0.25">
      <c r="B87" s="806"/>
      <c r="C87" s="390" t="s">
        <v>161</v>
      </c>
      <c r="D87" s="390" t="s">
        <v>190</v>
      </c>
      <c r="E87" s="390" t="s">
        <v>191</v>
      </c>
      <c r="F87" s="390">
        <v>2433</v>
      </c>
      <c r="G87" s="390" t="s">
        <v>192</v>
      </c>
      <c r="H87" s="391"/>
      <c r="I87" s="390">
        <v>0.63990000000000002</v>
      </c>
      <c r="J87" s="390"/>
      <c r="K87" s="496" t="s">
        <v>337</v>
      </c>
      <c r="M87" s="37"/>
    </row>
    <row r="88" spans="2:13" ht="25" x14ac:dyDescent="0.25">
      <c r="B88" s="806"/>
      <c r="C88" s="390" t="s">
        <v>161</v>
      </c>
      <c r="D88" s="390" t="s">
        <v>190</v>
      </c>
      <c r="E88" s="390" t="s">
        <v>193</v>
      </c>
      <c r="F88" s="390">
        <v>2533</v>
      </c>
      <c r="G88" s="390" t="s">
        <v>192</v>
      </c>
      <c r="H88" s="391">
        <v>0.12</v>
      </c>
      <c r="I88" s="390">
        <v>1.7250000000000001</v>
      </c>
      <c r="J88" s="390">
        <v>0.20699999999999999</v>
      </c>
      <c r="K88" s="496" t="s">
        <v>337</v>
      </c>
      <c r="M88" s="37"/>
    </row>
    <row r="89" spans="2:13" ht="12" customHeight="1" x14ac:dyDescent="0.25">
      <c r="B89" s="502" t="s">
        <v>344</v>
      </c>
      <c r="C89" s="428"/>
      <c r="D89" s="428"/>
      <c r="E89" s="428"/>
      <c r="F89" s="428"/>
      <c r="G89" s="428"/>
      <c r="H89" s="490"/>
      <c r="I89" s="491">
        <f>SUM(I61:I88)</f>
        <v>4404.6831000000002</v>
      </c>
      <c r="J89" s="492">
        <f>SUM(J61:J88)</f>
        <v>0.20699999999999999</v>
      </c>
      <c r="K89" s="497" t="s">
        <v>90</v>
      </c>
    </row>
    <row r="90" spans="2:13" ht="37.5" x14ac:dyDescent="0.25">
      <c r="B90" s="806" t="s">
        <v>292</v>
      </c>
      <c r="C90" s="390" t="s">
        <v>148</v>
      </c>
      <c r="D90" s="390" t="s">
        <v>167</v>
      </c>
      <c r="E90" s="390" t="s">
        <v>168</v>
      </c>
      <c r="F90" s="390">
        <v>103</v>
      </c>
      <c r="G90" s="390" t="s">
        <v>25</v>
      </c>
      <c r="H90" s="391"/>
      <c r="I90" s="390">
        <v>1.0651999999999999</v>
      </c>
      <c r="J90" s="390"/>
      <c r="K90" s="496" t="s">
        <v>339</v>
      </c>
      <c r="M90" s="37"/>
    </row>
    <row r="91" spans="2:13" ht="25" x14ac:dyDescent="0.25">
      <c r="B91" s="806"/>
      <c r="C91" s="390" t="s">
        <v>149</v>
      </c>
      <c r="D91" s="390" t="s">
        <v>169</v>
      </c>
      <c r="E91" s="390" t="s">
        <v>170</v>
      </c>
      <c r="F91" s="390">
        <v>1317</v>
      </c>
      <c r="G91" s="390" t="s">
        <v>171</v>
      </c>
      <c r="H91" s="391"/>
      <c r="I91" s="390">
        <v>5.2022000000000004</v>
      </c>
      <c r="J91" s="390"/>
      <c r="K91" s="496" t="s">
        <v>328</v>
      </c>
      <c r="M91" s="37"/>
    </row>
    <row r="92" spans="2:13" ht="37.5" x14ac:dyDescent="0.25">
      <c r="B92" s="806"/>
      <c r="C92" s="390" t="s">
        <v>151</v>
      </c>
      <c r="D92" s="390" t="s">
        <v>189</v>
      </c>
      <c r="E92" s="390" t="s">
        <v>747</v>
      </c>
      <c r="F92" s="390">
        <v>699</v>
      </c>
      <c r="G92" s="390" t="s">
        <v>187</v>
      </c>
      <c r="H92" s="391"/>
      <c r="I92" s="390">
        <v>0.28270000000000001</v>
      </c>
      <c r="J92" s="390"/>
      <c r="K92" s="496" t="s">
        <v>339</v>
      </c>
      <c r="M92" s="37"/>
    </row>
    <row r="93" spans="2:13" ht="25" x14ac:dyDescent="0.25">
      <c r="B93" s="806"/>
      <c r="C93" s="390" t="s">
        <v>157</v>
      </c>
      <c r="D93" s="390" t="s">
        <v>172</v>
      </c>
      <c r="E93" s="390" t="s">
        <v>173</v>
      </c>
      <c r="F93" s="390">
        <v>19</v>
      </c>
      <c r="G93" s="390" t="s">
        <v>171</v>
      </c>
      <c r="H93" s="391"/>
      <c r="I93" s="390">
        <v>4.8551000000000002</v>
      </c>
      <c r="J93" s="390"/>
      <c r="K93" s="496" t="s">
        <v>338</v>
      </c>
      <c r="M93" s="37"/>
    </row>
    <row r="94" spans="2:13" ht="25" x14ac:dyDescent="0.25">
      <c r="B94" s="806"/>
      <c r="C94" s="390" t="s">
        <v>157</v>
      </c>
      <c r="D94" s="390" t="s">
        <v>172</v>
      </c>
      <c r="E94" s="390" t="s">
        <v>174</v>
      </c>
      <c r="F94" s="390">
        <v>299</v>
      </c>
      <c r="G94" s="390" t="s">
        <v>171</v>
      </c>
      <c r="H94" s="391"/>
      <c r="I94" s="390">
        <v>78.650800000000004</v>
      </c>
      <c r="J94" s="390"/>
      <c r="K94" s="496" t="s">
        <v>338</v>
      </c>
      <c r="M94" s="37"/>
    </row>
    <row r="95" spans="2:13" ht="25" x14ac:dyDescent="0.25">
      <c r="B95" s="806"/>
      <c r="C95" s="390" t="s">
        <v>157</v>
      </c>
      <c r="D95" s="390" t="s">
        <v>172</v>
      </c>
      <c r="E95" s="390" t="s">
        <v>174</v>
      </c>
      <c r="F95" s="390">
        <v>913</v>
      </c>
      <c r="G95" s="390" t="s">
        <v>171</v>
      </c>
      <c r="H95" s="391"/>
      <c r="I95" s="390">
        <v>240.16120000000001</v>
      </c>
      <c r="J95" s="390"/>
      <c r="K95" s="496" t="s">
        <v>338</v>
      </c>
      <c r="M95" s="37"/>
    </row>
    <row r="96" spans="2:13" ht="25" x14ac:dyDescent="0.25">
      <c r="B96" s="806"/>
      <c r="C96" s="390" t="s">
        <v>157</v>
      </c>
      <c r="D96" s="390" t="s">
        <v>172</v>
      </c>
      <c r="E96" s="390" t="s">
        <v>174</v>
      </c>
      <c r="F96" s="390">
        <v>38</v>
      </c>
      <c r="G96" s="390" t="s">
        <v>171</v>
      </c>
      <c r="H96" s="391"/>
      <c r="I96" s="390">
        <v>9.9957999999999991</v>
      </c>
      <c r="J96" s="390"/>
      <c r="K96" s="496" t="s">
        <v>338</v>
      </c>
      <c r="M96" s="37"/>
    </row>
    <row r="97" spans="2:13" ht="25" x14ac:dyDescent="0.25">
      <c r="B97" s="806"/>
      <c r="C97" s="390" t="s">
        <v>157</v>
      </c>
      <c r="D97" s="390" t="s">
        <v>172</v>
      </c>
      <c r="E97" s="390" t="s">
        <v>372</v>
      </c>
      <c r="F97" s="390">
        <v>7</v>
      </c>
      <c r="G97" s="390" t="s">
        <v>175</v>
      </c>
      <c r="H97" s="391"/>
      <c r="I97" s="390">
        <v>17.0487</v>
      </c>
      <c r="J97" s="390"/>
      <c r="K97" s="496" t="s">
        <v>338</v>
      </c>
      <c r="M97" s="37"/>
    </row>
    <row r="98" spans="2:13" ht="25" x14ac:dyDescent="0.25">
      <c r="B98" s="806"/>
      <c r="C98" s="390" t="s">
        <v>157</v>
      </c>
      <c r="D98" s="390" t="s">
        <v>172</v>
      </c>
      <c r="E98" s="390" t="s">
        <v>271</v>
      </c>
      <c r="F98" s="390">
        <v>682</v>
      </c>
      <c r="G98" s="390" t="s">
        <v>175</v>
      </c>
      <c r="H98" s="391"/>
      <c r="I98" s="390">
        <v>2371.7147</v>
      </c>
      <c r="J98" s="390"/>
      <c r="K98" s="496" t="s">
        <v>338</v>
      </c>
      <c r="M98" s="37"/>
    </row>
    <row r="99" spans="2:13" ht="25" x14ac:dyDescent="0.25">
      <c r="B99" s="806"/>
      <c r="C99" s="390" t="s">
        <v>157</v>
      </c>
      <c r="D99" s="390" t="s">
        <v>176</v>
      </c>
      <c r="E99" s="390" t="s">
        <v>177</v>
      </c>
      <c r="F99" s="390">
        <v>149</v>
      </c>
      <c r="G99" s="390" t="s">
        <v>178</v>
      </c>
      <c r="H99" s="391"/>
      <c r="I99" s="390">
        <v>89.888099999999994</v>
      </c>
      <c r="J99" s="390"/>
      <c r="K99" s="496" t="s">
        <v>330</v>
      </c>
      <c r="M99" s="37"/>
    </row>
    <row r="100" spans="2:13" ht="37.5" x14ac:dyDescent="0.25">
      <c r="B100" s="806"/>
      <c r="C100" s="390" t="s">
        <v>152</v>
      </c>
      <c r="D100" s="390" t="s">
        <v>265</v>
      </c>
      <c r="E100" s="390" t="s">
        <v>362</v>
      </c>
      <c r="F100" s="390">
        <v>40</v>
      </c>
      <c r="G100" s="390" t="s">
        <v>25</v>
      </c>
      <c r="H100" s="391"/>
      <c r="I100" s="390">
        <v>0.29580000000000001</v>
      </c>
      <c r="J100" s="390"/>
      <c r="K100" s="496" t="s">
        <v>330</v>
      </c>
      <c r="M100" s="37"/>
    </row>
    <row r="101" spans="2:13" ht="37.5" x14ac:dyDescent="0.25">
      <c r="B101" s="806"/>
      <c r="C101" s="390" t="s">
        <v>155</v>
      </c>
      <c r="D101" s="390" t="s">
        <v>179</v>
      </c>
      <c r="E101" s="390" t="s">
        <v>253</v>
      </c>
      <c r="F101" s="390">
        <v>966</v>
      </c>
      <c r="G101" s="390" t="s">
        <v>25</v>
      </c>
      <c r="H101" s="391"/>
      <c r="I101" s="390">
        <v>5.8423999999999996</v>
      </c>
      <c r="J101" s="390"/>
      <c r="K101" s="496" t="s">
        <v>339</v>
      </c>
      <c r="M101" s="37"/>
    </row>
    <row r="102" spans="2:13" ht="25" x14ac:dyDescent="0.25">
      <c r="B102" s="806"/>
      <c r="C102" s="390" t="s">
        <v>148</v>
      </c>
      <c r="D102" s="390" t="s">
        <v>167</v>
      </c>
      <c r="E102" s="390" t="s">
        <v>267</v>
      </c>
      <c r="F102" s="390">
        <v>121</v>
      </c>
      <c r="G102" s="390" t="s">
        <v>25</v>
      </c>
      <c r="H102" s="391"/>
      <c r="I102" s="390">
        <v>1.2370000000000001</v>
      </c>
      <c r="J102" s="390"/>
      <c r="K102" s="496" t="s">
        <v>339</v>
      </c>
      <c r="M102" s="37"/>
    </row>
    <row r="103" spans="2:13" ht="37.5" x14ac:dyDescent="0.25">
      <c r="B103" s="806"/>
      <c r="C103" s="390" t="s">
        <v>148</v>
      </c>
      <c r="D103" s="390" t="s">
        <v>180</v>
      </c>
      <c r="E103" s="390" t="s">
        <v>181</v>
      </c>
      <c r="F103" s="390">
        <v>4</v>
      </c>
      <c r="G103" s="390" t="s">
        <v>175</v>
      </c>
      <c r="H103" s="391"/>
      <c r="I103" s="390">
        <v>2.1627000000000001</v>
      </c>
      <c r="J103" s="390"/>
      <c r="K103" s="496" t="s">
        <v>338</v>
      </c>
      <c r="M103" s="37"/>
    </row>
    <row r="104" spans="2:13" s="393" customFormat="1" ht="25" customHeight="1" x14ac:dyDescent="0.25">
      <c r="B104" s="806"/>
      <c r="C104" s="390" t="s">
        <v>148</v>
      </c>
      <c r="D104" s="390" t="s">
        <v>180</v>
      </c>
      <c r="E104" s="390" t="s">
        <v>188</v>
      </c>
      <c r="F104" s="390">
        <v>2</v>
      </c>
      <c r="G104" s="390" t="s">
        <v>175</v>
      </c>
      <c r="H104" s="391"/>
      <c r="I104" s="390">
        <v>5.0179999999999998</v>
      </c>
      <c r="J104" s="390"/>
      <c r="K104" s="496" t="s">
        <v>338</v>
      </c>
      <c r="M104" s="335"/>
    </row>
    <row r="105" spans="2:13" ht="39.65" customHeight="1" x14ac:dyDescent="0.25">
      <c r="B105" s="806"/>
      <c r="C105" s="390" t="s">
        <v>148</v>
      </c>
      <c r="D105" s="390" t="s">
        <v>182</v>
      </c>
      <c r="E105" s="390" t="s">
        <v>268</v>
      </c>
      <c r="F105" s="390">
        <v>93</v>
      </c>
      <c r="G105" s="390" t="s">
        <v>25</v>
      </c>
      <c r="H105" s="391"/>
      <c r="I105" s="390">
        <v>4.2054999999999998</v>
      </c>
      <c r="J105" s="390"/>
      <c r="K105" s="496" t="s">
        <v>338</v>
      </c>
    </row>
    <row r="106" spans="2:13" ht="25" x14ac:dyDescent="0.25">
      <c r="B106" s="806"/>
      <c r="C106" s="390" t="s">
        <v>147</v>
      </c>
      <c r="D106" s="390" t="s">
        <v>183</v>
      </c>
      <c r="E106" s="390" t="s">
        <v>184</v>
      </c>
      <c r="F106" s="390">
        <v>113</v>
      </c>
      <c r="G106" s="390" t="s">
        <v>25</v>
      </c>
      <c r="H106" s="391"/>
      <c r="I106" s="390">
        <v>6.9518000000000004</v>
      </c>
      <c r="J106" s="390"/>
      <c r="K106" s="496" t="s">
        <v>330</v>
      </c>
    </row>
    <row r="107" spans="2:13" ht="37.5" x14ac:dyDescent="0.25">
      <c r="B107" s="806"/>
      <c r="C107" s="390" t="s">
        <v>152</v>
      </c>
      <c r="D107" s="390" t="s">
        <v>185</v>
      </c>
      <c r="E107" s="390" t="s">
        <v>186</v>
      </c>
      <c r="F107" s="390">
        <v>1095</v>
      </c>
      <c r="G107" s="390" t="s">
        <v>187</v>
      </c>
      <c r="H107" s="391"/>
      <c r="I107" s="390">
        <v>0.56940000000000002</v>
      </c>
      <c r="J107" s="390"/>
      <c r="K107" s="496" t="s">
        <v>339</v>
      </c>
    </row>
    <row r="108" spans="2:13" ht="12" customHeight="1" x14ac:dyDescent="0.25">
      <c r="B108" s="806"/>
      <c r="C108" s="390" t="s">
        <v>152</v>
      </c>
      <c r="D108" s="390" t="s">
        <v>185</v>
      </c>
      <c r="E108" s="390" t="s">
        <v>186</v>
      </c>
      <c r="F108" s="390">
        <v>724</v>
      </c>
      <c r="G108" s="390" t="s">
        <v>187</v>
      </c>
      <c r="H108" s="391"/>
      <c r="I108" s="390">
        <v>0.3765</v>
      </c>
      <c r="J108" s="390"/>
      <c r="K108" s="496" t="s">
        <v>339</v>
      </c>
    </row>
    <row r="109" spans="2:13" ht="25" x14ac:dyDescent="0.25">
      <c r="B109" s="806"/>
      <c r="C109" s="390" t="s">
        <v>161</v>
      </c>
      <c r="D109" s="390" t="s">
        <v>190</v>
      </c>
      <c r="E109" s="390" t="s">
        <v>193</v>
      </c>
      <c r="F109" s="390">
        <v>3195</v>
      </c>
      <c r="G109" s="390" t="s">
        <v>192</v>
      </c>
      <c r="H109" s="391">
        <v>0.12</v>
      </c>
      <c r="I109" s="390">
        <v>2.1758000000000002</v>
      </c>
      <c r="J109" s="390">
        <v>0.2611</v>
      </c>
      <c r="K109" s="496" t="s">
        <v>337</v>
      </c>
      <c r="M109" s="37"/>
    </row>
    <row r="110" spans="2:13" ht="25" x14ac:dyDescent="0.25">
      <c r="B110" s="806"/>
      <c r="C110" s="390" t="s">
        <v>161</v>
      </c>
      <c r="D110" s="390" t="s">
        <v>190</v>
      </c>
      <c r="E110" s="390" t="s">
        <v>191</v>
      </c>
      <c r="F110" s="390">
        <v>3081</v>
      </c>
      <c r="G110" s="390" t="s">
        <v>192</v>
      </c>
      <c r="H110" s="391"/>
      <c r="I110" s="390">
        <v>0.81030000000000002</v>
      </c>
      <c r="J110" s="390"/>
      <c r="K110" s="496" t="s">
        <v>337</v>
      </c>
      <c r="M110" s="37"/>
    </row>
    <row r="111" spans="2:13" ht="37.5" x14ac:dyDescent="0.25">
      <c r="B111" s="806"/>
      <c r="C111" s="390" t="s">
        <v>159</v>
      </c>
      <c r="D111" s="390" t="s">
        <v>260</v>
      </c>
      <c r="E111" s="390" t="s">
        <v>375</v>
      </c>
      <c r="F111" s="390">
        <v>466</v>
      </c>
      <c r="G111" s="390" t="s">
        <v>376</v>
      </c>
      <c r="H111" s="391"/>
      <c r="I111" s="390">
        <v>36.814</v>
      </c>
      <c r="J111" s="390"/>
      <c r="K111" s="496" t="s">
        <v>328</v>
      </c>
      <c r="M111" s="37"/>
    </row>
    <row r="112" spans="2:13" ht="12" customHeight="1" x14ac:dyDescent="0.25">
      <c r="B112" s="502" t="s">
        <v>344</v>
      </c>
      <c r="C112" s="399"/>
      <c r="D112" s="399"/>
      <c r="E112" s="428"/>
      <c r="F112" s="428"/>
      <c r="G112" s="428"/>
      <c r="H112" s="490"/>
      <c r="I112" s="491">
        <f>SUM(I90:I111)</f>
        <v>2885.3236999999995</v>
      </c>
      <c r="J112" s="492">
        <f>SUM(J90:J111)</f>
        <v>0.2611</v>
      </c>
      <c r="K112" s="497" t="s">
        <v>90</v>
      </c>
    </row>
    <row r="113" spans="2:13" ht="37.5" x14ac:dyDescent="0.25">
      <c r="B113" s="806" t="s">
        <v>293</v>
      </c>
      <c r="C113" s="390" t="s">
        <v>156</v>
      </c>
      <c r="D113" s="390" t="s">
        <v>377</v>
      </c>
      <c r="E113" s="390" t="s">
        <v>378</v>
      </c>
      <c r="F113" s="390">
        <v>88</v>
      </c>
      <c r="G113" s="390" t="s">
        <v>175</v>
      </c>
      <c r="H113" s="391"/>
      <c r="I113" s="390">
        <v>209.50219999999999</v>
      </c>
      <c r="J113" s="390"/>
      <c r="K113" s="496" t="s">
        <v>330</v>
      </c>
      <c r="M113" s="37"/>
    </row>
    <row r="114" spans="2:13" ht="37.5" x14ac:dyDescent="0.25">
      <c r="B114" s="806"/>
      <c r="C114" s="390" t="s">
        <v>148</v>
      </c>
      <c r="D114" s="390" t="s">
        <v>167</v>
      </c>
      <c r="E114" s="390" t="s">
        <v>168</v>
      </c>
      <c r="F114" s="390">
        <v>63</v>
      </c>
      <c r="G114" s="390" t="s">
        <v>25</v>
      </c>
      <c r="H114" s="391"/>
      <c r="I114" s="390">
        <v>0.65149999999999997</v>
      </c>
      <c r="J114" s="390"/>
      <c r="K114" s="496" t="s">
        <v>339</v>
      </c>
      <c r="M114" s="37"/>
    </row>
    <row r="115" spans="2:13" ht="25" x14ac:dyDescent="0.25">
      <c r="B115" s="806"/>
      <c r="C115" s="390" t="s">
        <v>149</v>
      </c>
      <c r="D115" s="390" t="s">
        <v>169</v>
      </c>
      <c r="E115" s="390" t="s">
        <v>170</v>
      </c>
      <c r="F115" s="390">
        <v>2374</v>
      </c>
      <c r="G115" s="390" t="s">
        <v>171</v>
      </c>
      <c r="H115" s="391"/>
      <c r="I115" s="390">
        <v>9.3773999999999997</v>
      </c>
      <c r="J115" s="390"/>
      <c r="K115" s="496" t="s">
        <v>328</v>
      </c>
      <c r="M115" s="37"/>
    </row>
    <row r="116" spans="2:13" ht="37.5" x14ac:dyDescent="0.25">
      <c r="B116" s="806"/>
      <c r="C116" s="390" t="s">
        <v>151</v>
      </c>
      <c r="D116" s="390" t="s">
        <v>189</v>
      </c>
      <c r="E116" s="390" t="s">
        <v>747</v>
      </c>
      <c r="F116" s="390">
        <v>676</v>
      </c>
      <c r="G116" s="390" t="s">
        <v>187</v>
      </c>
      <c r="H116" s="391"/>
      <c r="I116" s="390">
        <v>0.27339999999999998</v>
      </c>
      <c r="J116" s="390"/>
      <c r="K116" s="496" t="s">
        <v>339</v>
      </c>
      <c r="M116" s="37"/>
    </row>
    <row r="117" spans="2:13" ht="25" x14ac:dyDescent="0.25">
      <c r="B117" s="806"/>
      <c r="C117" s="390" t="s">
        <v>157</v>
      </c>
      <c r="D117" s="390" t="s">
        <v>172</v>
      </c>
      <c r="E117" s="390" t="s">
        <v>173</v>
      </c>
      <c r="F117" s="390">
        <v>21</v>
      </c>
      <c r="G117" s="390" t="s">
        <v>171</v>
      </c>
      <c r="H117" s="391"/>
      <c r="I117" s="390">
        <v>5.3662000000000001</v>
      </c>
      <c r="J117" s="390"/>
      <c r="K117" s="496" t="s">
        <v>338</v>
      </c>
      <c r="M117" s="37"/>
    </row>
    <row r="118" spans="2:13" ht="25" x14ac:dyDescent="0.25">
      <c r="B118" s="806"/>
      <c r="C118" s="390" t="s">
        <v>157</v>
      </c>
      <c r="D118" s="390" t="s">
        <v>172</v>
      </c>
      <c r="E118" s="390" t="s">
        <v>174</v>
      </c>
      <c r="F118" s="390">
        <v>317</v>
      </c>
      <c r="G118" s="390" t="s">
        <v>171</v>
      </c>
      <c r="H118" s="391"/>
      <c r="I118" s="390">
        <v>83.385599999999997</v>
      </c>
      <c r="J118" s="390"/>
      <c r="K118" s="496" t="s">
        <v>338</v>
      </c>
      <c r="M118" s="37"/>
    </row>
    <row r="119" spans="2:13" ht="25" x14ac:dyDescent="0.25">
      <c r="B119" s="806"/>
      <c r="C119" s="390" t="s">
        <v>157</v>
      </c>
      <c r="D119" s="390" t="s">
        <v>172</v>
      </c>
      <c r="E119" s="390" t="s">
        <v>174</v>
      </c>
      <c r="F119" s="390">
        <v>272</v>
      </c>
      <c r="G119" s="390" t="s">
        <v>171</v>
      </c>
      <c r="H119" s="391"/>
      <c r="I119" s="390">
        <v>71.548599999999993</v>
      </c>
      <c r="J119" s="390"/>
      <c r="K119" s="496" t="s">
        <v>338</v>
      </c>
      <c r="M119" s="37"/>
    </row>
    <row r="120" spans="2:13" ht="25" x14ac:dyDescent="0.25">
      <c r="B120" s="806"/>
      <c r="C120" s="390" t="s">
        <v>157</v>
      </c>
      <c r="D120" s="390" t="s">
        <v>172</v>
      </c>
      <c r="E120" s="390" t="s">
        <v>174</v>
      </c>
      <c r="F120" s="390">
        <v>558</v>
      </c>
      <c r="G120" s="390" t="s">
        <v>171</v>
      </c>
      <c r="H120" s="391"/>
      <c r="I120" s="390">
        <v>146.77979999999999</v>
      </c>
      <c r="J120" s="390"/>
      <c r="K120" s="496" t="s">
        <v>338</v>
      </c>
      <c r="M120" s="37"/>
    </row>
    <row r="121" spans="2:13" ht="25" x14ac:dyDescent="0.25">
      <c r="B121" s="806"/>
      <c r="C121" s="390" t="s">
        <v>157</v>
      </c>
      <c r="D121" s="390" t="s">
        <v>172</v>
      </c>
      <c r="E121" s="390" t="s">
        <v>174</v>
      </c>
      <c r="F121" s="390">
        <v>24</v>
      </c>
      <c r="G121" s="390" t="s">
        <v>171</v>
      </c>
      <c r="H121" s="391"/>
      <c r="I121" s="390">
        <v>6.3131000000000004</v>
      </c>
      <c r="J121" s="390"/>
      <c r="K121" s="496" t="s">
        <v>338</v>
      </c>
      <c r="M121" s="37"/>
    </row>
    <row r="122" spans="2:13" ht="25" x14ac:dyDescent="0.25">
      <c r="B122" s="806"/>
      <c r="C122" s="390" t="s">
        <v>157</v>
      </c>
      <c r="D122" s="390" t="s">
        <v>172</v>
      </c>
      <c r="E122" s="390" t="s">
        <v>174</v>
      </c>
      <c r="F122" s="390">
        <v>44</v>
      </c>
      <c r="G122" s="390" t="s">
        <v>171</v>
      </c>
      <c r="H122" s="391"/>
      <c r="I122" s="390">
        <v>11.574</v>
      </c>
      <c r="J122" s="390"/>
      <c r="K122" s="496" t="s">
        <v>338</v>
      </c>
      <c r="M122" s="37"/>
    </row>
    <row r="123" spans="2:13" ht="25" x14ac:dyDescent="0.25">
      <c r="B123" s="806"/>
      <c r="C123" s="390" t="s">
        <v>157</v>
      </c>
      <c r="D123" s="390" t="s">
        <v>172</v>
      </c>
      <c r="E123" s="390" t="s">
        <v>372</v>
      </c>
      <c r="F123" s="390">
        <v>7</v>
      </c>
      <c r="G123" s="390" t="s">
        <v>175</v>
      </c>
      <c r="H123" s="391"/>
      <c r="I123" s="390">
        <v>17.0487</v>
      </c>
      <c r="J123" s="390"/>
      <c r="K123" s="496" t="s">
        <v>338</v>
      </c>
      <c r="M123" s="37"/>
    </row>
    <row r="124" spans="2:13" ht="25" x14ac:dyDescent="0.25">
      <c r="B124" s="806"/>
      <c r="C124" s="390" t="s">
        <v>157</v>
      </c>
      <c r="D124" s="390" t="s">
        <v>172</v>
      </c>
      <c r="E124" s="390" t="s">
        <v>271</v>
      </c>
      <c r="F124" s="390">
        <v>812</v>
      </c>
      <c r="G124" s="390" t="s">
        <v>175</v>
      </c>
      <c r="H124" s="391"/>
      <c r="I124" s="390">
        <v>2823.8011000000001</v>
      </c>
      <c r="J124" s="390"/>
      <c r="K124" s="496" t="s">
        <v>338</v>
      </c>
      <c r="M124" s="37"/>
    </row>
    <row r="125" spans="2:13" ht="25" x14ac:dyDescent="0.25">
      <c r="B125" s="806"/>
      <c r="C125" s="390" t="s">
        <v>157</v>
      </c>
      <c r="D125" s="390" t="s">
        <v>172</v>
      </c>
      <c r="E125" s="390" t="s">
        <v>360</v>
      </c>
      <c r="F125" s="390">
        <v>8</v>
      </c>
      <c r="G125" s="390" t="s">
        <v>175</v>
      </c>
      <c r="H125" s="391"/>
      <c r="I125" s="390">
        <v>10.9778</v>
      </c>
      <c r="J125" s="390"/>
      <c r="K125" s="496" t="s">
        <v>338</v>
      </c>
      <c r="M125" s="37"/>
    </row>
    <row r="126" spans="2:13" ht="25" x14ac:dyDescent="0.25">
      <c r="B126" s="806"/>
      <c r="C126" s="390" t="s">
        <v>157</v>
      </c>
      <c r="D126" s="390" t="s">
        <v>176</v>
      </c>
      <c r="E126" s="390" t="s">
        <v>177</v>
      </c>
      <c r="F126" s="390">
        <v>162</v>
      </c>
      <c r="G126" s="390" t="s">
        <v>178</v>
      </c>
      <c r="H126" s="391"/>
      <c r="I126" s="390">
        <v>97.730699999999999</v>
      </c>
      <c r="J126" s="390"/>
      <c r="K126" s="496" t="s">
        <v>330</v>
      </c>
      <c r="M126" s="37"/>
    </row>
    <row r="127" spans="2:13" ht="37.5" x14ac:dyDescent="0.25">
      <c r="B127" s="806"/>
      <c r="C127" s="390" t="s">
        <v>152</v>
      </c>
      <c r="D127" s="390" t="s">
        <v>265</v>
      </c>
      <c r="E127" s="390" t="s">
        <v>266</v>
      </c>
      <c r="F127" s="390">
        <v>40</v>
      </c>
      <c r="G127" s="390" t="s">
        <v>25</v>
      </c>
      <c r="H127" s="391"/>
      <c r="I127" s="390">
        <v>0.29389999999999999</v>
      </c>
      <c r="J127" s="390"/>
      <c r="K127" s="496" t="s">
        <v>330</v>
      </c>
      <c r="M127" s="37"/>
    </row>
    <row r="128" spans="2:13" s="393" customFormat="1" ht="25" customHeight="1" x14ac:dyDescent="0.25">
      <c r="B128" s="806"/>
      <c r="C128" s="390" t="s">
        <v>155</v>
      </c>
      <c r="D128" s="390" t="s">
        <v>179</v>
      </c>
      <c r="E128" s="390" t="s">
        <v>253</v>
      </c>
      <c r="F128" s="390">
        <v>1086</v>
      </c>
      <c r="G128" s="390" t="s">
        <v>25</v>
      </c>
      <c r="H128" s="391"/>
      <c r="I128" s="390">
        <v>6.5681000000000003</v>
      </c>
      <c r="J128" s="390"/>
      <c r="K128" s="496" t="s">
        <v>339</v>
      </c>
      <c r="M128" s="335"/>
    </row>
    <row r="129" spans="2:13" ht="39.65" customHeight="1" x14ac:dyDescent="0.25">
      <c r="B129" s="806"/>
      <c r="C129" s="390" t="s">
        <v>148</v>
      </c>
      <c r="D129" s="390" t="s">
        <v>167</v>
      </c>
      <c r="E129" s="390" t="s">
        <v>267</v>
      </c>
      <c r="F129" s="390">
        <v>116</v>
      </c>
      <c r="G129" s="390" t="s">
        <v>25</v>
      </c>
      <c r="H129" s="391"/>
      <c r="I129" s="390">
        <v>1.1859</v>
      </c>
      <c r="J129" s="390"/>
      <c r="K129" s="496" t="s">
        <v>339</v>
      </c>
    </row>
    <row r="130" spans="2:13" ht="37.5" x14ac:dyDescent="0.25">
      <c r="B130" s="806"/>
      <c r="C130" s="390" t="s">
        <v>148</v>
      </c>
      <c r="D130" s="390" t="s">
        <v>180</v>
      </c>
      <c r="E130" s="390" t="s">
        <v>181</v>
      </c>
      <c r="F130" s="390">
        <v>4</v>
      </c>
      <c r="G130" s="390" t="s">
        <v>175</v>
      </c>
      <c r="H130" s="391"/>
      <c r="I130" s="390">
        <v>2.1627000000000001</v>
      </c>
      <c r="J130" s="390"/>
      <c r="K130" s="496" t="s">
        <v>338</v>
      </c>
    </row>
    <row r="131" spans="2:13" ht="12" customHeight="1" x14ac:dyDescent="0.25">
      <c r="B131" s="806"/>
      <c r="C131" s="390" t="s">
        <v>148</v>
      </c>
      <c r="D131" s="390" t="s">
        <v>180</v>
      </c>
      <c r="E131" s="390" t="s">
        <v>188</v>
      </c>
      <c r="F131" s="390">
        <v>4</v>
      </c>
      <c r="G131" s="390" t="s">
        <v>175</v>
      </c>
      <c r="H131" s="391"/>
      <c r="I131" s="390">
        <v>10.036099999999999</v>
      </c>
      <c r="J131" s="390"/>
      <c r="K131" s="496" t="s">
        <v>338</v>
      </c>
    </row>
    <row r="132" spans="2:13" ht="37.5" x14ac:dyDescent="0.25">
      <c r="B132" s="806"/>
      <c r="C132" s="390" t="s">
        <v>148</v>
      </c>
      <c r="D132" s="390" t="s">
        <v>182</v>
      </c>
      <c r="E132" s="390" t="s">
        <v>268</v>
      </c>
      <c r="F132" s="390">
        <v>116</v>
      </c>
      <c r="G132" s="390" t="s">
        <v>25</v>
      </c>
      <c r="H132" s="391"/>
      <c r="I132" s="390">
        <v>5.2454999999999998</v>
      </c>
      <c r="J132" s="390"/>
      <c r="K132" s="496" t="s">
        <v>338</v>
      </c>
      <c r="M132" s="37"/>
    </row>
    <row r="133" spans="2:13" ht="25" x14ac:dyDescent="0.25">
      <c r="B133" s="806"/>
      <c r="C133" s="390" t="s">
        <v>147</v>
      </c>
      <c r="D133" s="390" t="s">
        <v>183</v>
      </c>
      <c r="E133" s="390" t="s">
        <v>184</v>
      </c>
      <c r="F133" s="390">
        <v>115</v>
      </c>
      <c r="G133" s="390" t="s">
        <v>25</v>
      </c>
      <c r="H133" s="391"/>
      <c r="I133" s="390">
        <v>7.0747999999999998</v>
      </c>
      <c r="J133" s="390"/>
      <c r="K133" s="496" t="s">
        <v>330</v>
      </c>
      <c r="M133" s="37"/>
    </row>
    <row r="134" spans="2:13" ht="37.5" x14ac:dyDescent="0.25">
      <c r="B134" s="806"/>
      <c r="C134" s="390" t="s">
        <v>152</v>
      </c>
      <c r="D134" s="390" t="s">
        <v>185</v>
      </c>
      <c r="E134" s="390" t="s">
        <v>186</v>
      </c>
      <c r="F134" s="390">
        <v>1089</v>
      </c>
      <c r="G134" s="390" t="s">
        <v>187</v>
      </c>
      <c r="H134" s="391"/>
      <c r="I134" s="390">
        <v>0.56630000000000003</v>
      </c>
      <c r="J134" s="390"/>
      <c r="K134" s="496" t="s">
        <v>339</v>
      </c>
      <c r="M134" s="37"/>
    </row>
    <row r="135" spans="2:13" ht="37.5" x14ac:dyDescent="0.25">
      <c r="B135" s="806"/>
      <c r="C135" s="390" t="s">
        <v>152</v>
      </c>
      <c r="D135" s="390" t="s">
        <v>185</v>
      </c>
      <c r="E135" s="390" t="s">
        <v>186</v>
      </c>
      <c r="F135" s="390">
        <v>430</v>
      </c>
      <c r="G135" s="390" t="s">
        <v>187</v>
      </c>
      <c r="H135" s="391"/>
      <c r="I135" s="390">
        <v>0.22359999999999999</v>
      </c>
      <c r="J135" s="390"/>
      <c r="K135" s="496" t="s">
        <v>339</v>
      </c>
      <c r="M135" s="37"/>
    </row>
    <row r="136" spans="2:13" ht="25" x14ac:dyDescent="0.25">
      <c r="B136" s="806"/>
      <c r="C136" s="390" t="s">
        <v>161</v>
      </c>
      <c r="D136" s="390" t="s">
        <v>190</v>
      </c>
      <c r="E136" s="390" t="s">
        <v>193</v>
      </c>
      <c r="F136" s="390">
        <v>4055</v>
      </c>
      <c r="G136" s="390" t="s">
        <v>192</v>
      </c>
      <c r="H136" s="391">
        <v>0.12</v>
      </c>
      <c r="I136" s="390">
        <v>2.7614999999999998</v>
      </c>
      <c r="J136" s="390">
        <v>0.33139999999999997</v>
      </c>
      <c r="K136" s="496" t="s">
        <v>337</v>
      </c>
      <c r="M136" s="37"/>
    </row>
    <row r="137" spans="2:13" ht="25" x14ac:dyDescent="0.25">
      <c r="B137" s="806"/>
      <c r="C137" s="390" t="s">
        <v>161</v>
      </c>
      <c r="D137" s="390" t="s">
        <v>190</v>
      </c>
      <c r="E137" s="390" t="s">
        <v>191</v>
      </c>
      <c r="F137" s="390">
        <v>3911</v>
      </c>
      <c r="G137" s="390" t="s">
        <v>192</v>
      </c>
      <c r="H137" s="391"/>
      <c r="I137" s="390">
        <v>1.0286</v>
      </c>
      <c r="J137" s="390"/>
      <c r="K137" s="496" t="s">
        <v>337</v>
      </c>
      <c r="M137" s="37"/>
    </row>
    <row r="138" spans="2:13" ht="12" customHeight="1" x14ac:dyDescent="0.25">
      <c r="B138" s="399" t="s">
        <v>344</v>
      </c>
      <c r="C138" s="428"/>
      <c r="D138" s="428"/>
      <c r="E138" s="428"/>
      <c r="F138" s="428"/>
      <c r="G138" s="428"/>
      <c r="H138" s="490"/>
      <c r="I138" s="491">
        <f>SUM(I113:I137)</f>
        <v>3531.4770999999996</v>
      </c>
      <c r="J138" s="492">
        <f>SUM(J113:J137)</f>
        <v>0.33139999999999997</v>
      </c>
      <c r="K138" s="497" t="s">
        <v>90</v>
      </c>
    </row>
    <row r="139" spans="2:13" ht="37.5" x14ac:dyDescent="0.25">
      <c r="B139" s="811" t="s">
        <v>371</v>
      </c>
      <c r="C139" s="390" t="s">
        <v>156</v>
      </c>
      <c r="D139" s="390" t="s">
        <v>377</v>
      </c>
      <c r="E139" s="390" t="s">
        <v>378</v>
      </c>
      <c r="F139" s="390">
        <v>140</v>
      </c>
      <c r="G139" s="390" t="s">
        <v>175</v>
      </c>
      <c r="H139" s="391"/>
      <c r="I139" s="390">
        <v>333.29899999999998</v>
      </c>
      <c r="J139" s="390"/>
      <c r="K139" s="496" t="s">
        <v>330</v>
      </c>
      <c r="M139" s="37"/>
    </row>
    <row r="140" spans="2:13" ht="37.5" x14ac:dyDescent="0.25">
      <c r="B140" s="811"/>
      <c r="C140" s="390" t="s">
        <v>156</v>
      </c>
      <c r="D140" s="390" t="s">
        <v>379</v>
      </c>
      <c r="E140" s="390" t="s">
        <v>380</v>
      </c>
      <c r="F140" s="390">
        <v>96</v>
      </c>
      <c r="G140" s="390" t="s">
        <v>25</v>
      </c>
      <c r="H140" s="391"/>
      <c r="I140" s="390">
        <v>70.192300000000003</v>
      </c>
      <c r="J140" s="390"/>
      <c r="K140" s="496" t="s">
        <v>338</v>
      </c>
      <c r="M140" s="37"/>
    </row>
    <row r="141" spans="2:13" ht="37.5" x14ac:dyDescent="0.25">
      <c r="B141" s="811"/>
      <c r="C141" s="390" t="s">
        <v>148</v>
      </c>
      <c r="D141" s="390" t="s">
        <v>167</v>
      </c>
      <c r="E141" s="390" t="s">
        <v>168</v>
      </c>
      <c r="F141" s="390">
        <v>150</v>
      </c>
      <c r="G141" s="390" t="s">
        <v>25</v>
      </c>
      <c r="H141" s="391"/>
      <c r="I141" s="390">
        <v>1.5511999999999999</v>
      </c>
      <c r="J141" s="390"/>
      <c r="K141" s="496" t="s">
        <v>339</v>
      </c>
      <c r="M141" s="37"/>
    </row>
    <row r="142" spans="2:13" ht="25" x14ac:dyDescent="0.25">
      <c r="B142" s="811"/>
      <c r="C142" s="390" t="s">
        <v>149</v>
      </c>
      <c r="D142" s="390" t="s">
        <v>169</v>
      </c>
      <c r="E142" s="390" t="s">
        <v>170</v>
      </c>
      <c r="F142" s="390">
        <v>2720</v>
      </c>
      <c r="G142" s="390" t="s">
        <v>171</v>
      </c>
      <c r="H142" s="391"/>
      <c r="I142" s="390">
        <v>10.7441</v>
      </c>
      <c r="J142" s="390"/>
      <c r="K142" s="496" t="s">
        <v>328</v>
      </c>
      <c r="M142" s="37"/>
    </row>
    <row r="143" spans="2:13" ht="25" x14ac:dyDescent="0.25">
      <c r="B143" s="811"/>
      <c r="C143" s="390" t="s">
        <v>157</v>
      </c>
      <c r="D143" s="390" t="s">
        <v>172</v>
      </c>
      <c r="E143" s="390" t="s">
        <v>173</v>
      </c>
      <c r="F143" s="390">
        <v>25</v>
      </c>
      <c r="G143" s="390" t="s">
        <v>171</v>
      </c>
      <c r="H143" s="391"/>
      <c r="I143" s="390">
        <v>6.3883000000000001</v>
      </c>
      <c r="J143" s="390"/>
      <c r="K143" s="496" t="s">
        <v>338</v>
      </c>
      <c r="M143" s="37"/>
    </row>
    <row r="144" spans="2:13" ht="25" x14ac:dyDescent="0.25">
      <c r="B144" s="811"/>
      <c r="C144" s="390" t="s">
        <v>157</v>
      </c>
      <c r="D144" s="390" t="s">
        <v>172</v>
      </c>
      <c r="E144" s="390" t="s">
        <v>174</v>
      </c>
      <c r="F144" s="390">
        <v>396</v>
      </c>
      <c r="G144" s="390" t="s">
        <v>171</v>
      </c>
      <c r="H144" s="391"/>
      <c r="I144" s="390">
        <v>104.16630000000001</v>
      </c>
      <c r="J144" s="390"/>
      <c r="K144" s="496" t="s">
        <v>338</v>
      </c>
      <c r="M144" s="37"/>
    </row>
    <row r="145" spans="2:13" ht="25" x14ac:dyDescent="0.25">
      <c r="B145" s="811"/>
      <c r="C145" s="390" t="s">
        <v>157</v>
      </c>
      <c r="D145" s="390" t="s">
        <v>172</v>
      </c>
      <c r="E145" s="390" t="s">
        <v>174</v>
      </c>
      <c r="F145" s="390">
        <v>627</v>
      </c>
      <c r="G145" s="390" t="s">
        <v>171</v>
      </c>
      <c r="H145" s="391"/>
      <c r="I145" s="390">
        <v>164.93</v>
      </c>
      <c r="J145" s="390"/>
      <c r="K145" s="496" t="s">
        <v>338</v>
      </c>
      <c r="M145" s="37"/>
    </row>
    <row r="146" spans="2:13" ht="25" x14ac:dyDescent="0.25">
      <c r="B146" s="811"/>
      <c r="C146" s="390" t="s">
        <v>157</v>
      </c>
      <c r="D146" s="390" t="s">
        <v>172</v>
      </c>
      <c r="E146" s="390" t="s">
        <v>174</v>
      </c>
      <c r="F146" s="390">
        <v>518</v>
      </c>
      <c r="G146" s="390" t="s">
        <v>171</v>
      </c>
      <c r="H146" s="391"/>
      <c r="I146" s="390">
        <v>136.25790000000001</v>
      </c>
      <c r="J146" s="390"/>
      <c r="K146" s="496" t="s">
        <v>338</v>
      </c>
      <c r="M146" s="37"/>
    </row>
    <row r="147" spans="2:13" ht="25" x14ac:dyDescent="0.25">
      <c r="B147" s="811"/>
      <c r="C147" s="390" t="s">
        <v>157</v>
      </c>
      <c r="D147" s="390" t="s">
        <v>172</v>
      </c>
      <c r="E147" s="390" t="s">
        <v>174</v>
      </c>
      <c r="F147" s="390">
        <v>86</v>
      </c>
      <c r="G147" s="390" t="s">
        <v>171</v>
      </c>
      <c r="H147" s="391"/>
      <c r="I147" s="390">
        <v>22.622</v>
      </c>
      <c r="J147" s="390"/>
      <c r="K147" s="496" t="s">
        <v>338</v>
      </c>
      <c r="M147" s="37"/>
    </row>
    <row r="148" spans="2:13" ht="25" x14ac:dyDescent="0.25">
      <c r="B148" s="811"/>
      <c r="C148" s="390" t="s">
        <v>157</v>
      </c>
      <c r="D148" s="390" t="s">
        <v>172</v>
      </c>
      <c r="E148" s="390" t="s">
        <v>372</v>
      </c>
      <c r="F148" s="390">
        <v>14</v>
      </c>
      <c r="G148" s="390" t="s">
        <v>175</v>
      </c>
      <c r="H148" s="391"/>
      <c r="I148" s="390">
        <v>34.0974</v>
      </c>
      <c r="J148" s="390"/>
      <c r="K148" s="496" t="s">
        <v>338</v>
      </c>
      <c r="M148" s="37"/>
    </row>
    <row r="149" spans="2:13" ht="25" x14ac:dyDescent="0.25">
      <c r="B149" s="811"/>
      <c r="C149" s="390" t="s">
        <v>157</v>
      </c>
      <c r="D149" s="390" t="s">
        <v>172</v>
      </c>
      <c r="E149" s="390" t="s">
        <v>360</v>
      </c>
      <c r="F149" s="390">
        <v>32</v>
      </c>
      <c r="G149" s="390" t="s">
        <v>175</v>
      </c>
      <c r="H149" s="391"/>
      <c r="I149" s="390">
        <v>43.911000000000001</v>
      </c>
      <c r="J149" s="390"/>
      <c r="K149" s="496" t="s">
        <v>338</v>
      </c>
      <c r="M149" s="37"/>
    </row>
    <row r="150" spans="2:13" ht="25" x14ac:dyDescent="0.25">
      <c r="B150" s="811"/>
      <c r="C150" s="390" t="s">
        <v>157</v>
      </c>
      <c r="D150" s="390" t="s">
        <v>176</v>
      </c>
      <c r="E150" s="390" t="s">
        <v>177</v>
      </c>
      <c r="F150" s="390">
        <v>255</v>
      </c>
      <c r="G150" s="390" t="s">
        <v>178</v>
      </c>
      <c r="H150" s="391"/>
      <c r="I150" s="390">
        <v>153.83539999999999</v>
      </c>
      <c r="J150" s="390"/>
      <c r="K150" s="496" t="s">
        <v>330</v>
      </c>
      <c r="M150" s="37"/>
    </row>
    <row r="151" spans="2:13" s="393" customFormat="1" ht="25" customHeight="1" x14ac:dyDescent="0.25">
      <c r="B151" s="811"/>
      <c r="C151" s="390" t="s">
        <v>152</v>
      </c>
      <c r="D151" s="390" t="s">
        <v>265</v>
      </c>
      <c r="E151" s="390" t="s">
        <v>266</v>
      </c>
      <c r="F151" s="390">
        <v>80</v>
      </c>
      <c r="G151" s="390" t="s">
        <v>25</v>
      </c>
      <c r="H151" s="391"/>
      <c r="I151" s="390">
        <v>0.58789999999999998</v>
      </c>
      <c r="J151" s="390"/>
      <c r="K151" s="496" t="s">
        <v>330</v>
      </c>
      <c r="M151" s="335"/>
    </row>
    <row r="152" spans="2:13" ht="39.65" customHeight="1" x14ac:dyDescent="0.25">
      <c r="B152" s="811"/>
      <c r="C152" s="390" t="s">
        <v>155</v>
      </c>
      <c r="D152" s="390" t="s">
        <v>179</v>
      </c>
      <c r="E152" s="390" t="s">
        <v>253</v>
      </c>
      <c r="F152" s="390">
        <v>1865</v>
      </c>
      <c r="G152" s="390" t="s">
        <v>25</v>
      </c>
      <c r="H152" s="391"/>
      <c r="I152" s="390">
        <v>11.279500000000001</v>
      </c>
      <c r="J152" s="390"/>
      <c r="K152" s="496" t="s">
        <v>339</v>
      </c>
    </row>
    <row r="153" spans="2:13" ht="25" x14ac:dyDescent="0.25">
      <c r="B153" s="811"/>
      <c r="C153" s="390" t="s">
        <v>148</v>
      </c>
      <c r="D153" s="390" t="s">
        <v>167</v>
      </c>
      <c r="E153" s="390" t="s">
        <v>267</v>
      </c>
      <c r="F153" s="390">
        <v>211</v>
      </c>
      <c r="G153" s="390" t="s">
        <v>25</v>
      </c>
      <c r="H153" s="391"/>
      <c r="I153" s="390">
        <v>2.1570999999999998</v>
      </c>
      <c r="J153" s="390"/>
      <c r="K153" s="496" t="s">
        <v>339</v>
      </c>
    </row>
    <row r="154" spans="2:13" ht="37.5" x14ac:dyDescent="0.25">
      <c r="B154" s="811"/>
      <c r="C154" s="390" t="s">
        <v>148</v>
      </c>
      <c r="D154" s="390" t="s">
        <v>180</v>
      </c>
      <c r="E154" s="390" t="s">
        <v>181</v>
      </c>
      <c r="F154" s="390">
        <v>4</v>
      </c>
      <c r="G154" s="390" t="s">
        <v>175</v>
      </c>
      <c r="H154" s="391"/>
      <c r="I154" s="390">
        <v>2.1627000000000001</v>
      </c>
      <c r="J154" s="390"/>
      <c r="K154" s="496" t="s">
        <v>338</v>
      </c>
    </row>
    <row r="155" spans="2:13" ht="50.5" customHeight="1" x14ac:dyDescent="0.25">
      <c r="B155" s="811"/>
      <c r="C155" s="390" t="s">
        <v>148</v>
      </c>
      <c r="D155" s="390" t="s">
        <v>182</v>
      </c>
      <c r="E155" s="390" t="s">
        <v>268</v>
      </c>
      <c r="F155" s="390">
        <v>211</v>
      </c>
      <c r="G155" s="390" t="s">
        <v>25</v>
      </c>
      <c r="H155" s="391"/>
      <c r="I155" s="390">
        <v>9.5413999999999994</v>
      </c>
      <c r="J155" s="390"/>
      <c r="K155" s="496" t="s">
        <v>338</v>
      </c>
    </row>
    <row r="156" spans="2:13" ht="25" x14ac:dyDescent="0.25">
      <c r="B156" s="811"/>
      <c r="C156" s="390" t="s">
        <v>147</v>
      </c>
      <c r="D156" s="390" t="s">
        <v>183</v>
      </c>
      <c r="E156" s="390" t="s">
        <v>184</v>
      </c>
      <c r="F156" s="390">
        <v>211</v>
      </c>
      <c r="G156" s="390" t="s">
        <v>25</v>
      </c>
      <c r="H156" s="391"/>
      <c r="I156" s="390">
        <v>12.9808</v>
      </c>
      <c r="J156" s="390"/>
      <c r="K156" s="496" t="s">
        <v>330</v>
      </c>
    </row>
    <row r="157" spans="2:13" ht="25" x14ac:dyDescent="0.25">
      <c r="B157" s="811"/>
      <c r="C157" s="390" t="s">
        <v>147</v>
      </c>
      <c r="D157" s="390" t="s">
        <v>183</v>
      </c>
      <c r="E157" s="390" t="s">
        <v>240</v>
      </c>
      <c r="F157" s="390">
        <v>105</v>
      </c>
      <c r="G157" s="390" t="s">
        <v>25</v>
      </c>
      <c r="H157" s="391"/>
      <c r="I157" s="390">
        <v>10.2995</v>
      </c>
      <c r="J157" s="390"/>
      <c r="K157" s="496" t="s">
        <v>330</v>
      </c>
    </row>
    <row r="158" spans="2:13" ht="37.5" x14ac:dyDescent="0.25">
      <c r="B158" s="811"/>
      <c r="C158" s="390" t="s">
        <v>152</v>
      </c>
      <c r="D158" s="390" t="s">
        <v>185</v>
      </c>
      <c r="E158" s="390" t="s">
        <v>186</v>
      </c>
      <c r="F158" s="390">
        <v>2138</v>
      </c>
      <c r="G158" s="390" t="s">
        <v>187</v>
      </c>
      <c r="H158" s="391"/>
      <c r="I158" s="390">
        <v>1.1117999999999999</v>
      </c>
      <c r="J158" s="390"/>
      <c r="K158" s="496" t="s">
        <v>339</v>
      </c>
    </row>
    <row r="159" spans="2:13" ht="37.5" x14ac:dyDescent="0.25">
      <c r="B159" s="811"/>
      <c r="C159" s="390" t="s">
        <v>152</v>
      </c>
      <c r="D159" s="390" t="s">
        <v>185</v>
      </c>
      <c r="E159" s="390" t="s">
        <v>186</v>
      </c>
      <c r="F159" s="390">
        <v>497</v>
      </c>
      <c r="G159" s="390" t="s">
        <v>187</v>
      </c>
      <c r="H159" s="391"/>
      <c r="I159" s="390">
        <v>0.25840000000000002</v>
      </c>
      <c r="J159" s="390"/>
      <c r="K159" s="496" t="s">
        <v>339</v>
      </c>
    </row>
    <row r="160" spans="2:13" ht="25" x14ac:dyDescent="0.25">
      <c r="B160" s="811"/>
      <c r="C160" s="390" t="s">
        <v>157</v>
      </c>
      <c r="D160" s="390" t="s">
        <v>172</v>
      </c>
      <c r="E160" s="390" t="s">
        <v>271</v>
      </c>
      <c r="F160" s="390">
        <v>1698</v>
      </c>
      <c r="G160" s="390" t="s">
        <v>175</v>
      </c>
      <c r="H160" s="391"/>
      <c r="I160" s="390">
        <v>5904.9435999999996</v>
      </c>
      <c r="J160" s="390"/>
      <c r="K160" s="496" t="s">
        <v>338</v>
      </c>
    </row>
    <row r="161" spans="2:11" ht="37.5" x14ac:dyDescent="0.25">
      <c r="B161" s="811"/>
      <c r="C161" s="390" t="s">
        <v>146</v>
      </c>
      <c r="D161" s="390" t="s">
        <v>195</v>
      </c>
      <c r="E161" s="390" t="s">
        <v>196</v>
      </c>
      <c r="F161" s="390">
        <v>80</v>
      </c>
      <c r="G161" s="390" t="s">
        <v>25</v>
      </c>
      <c r="H161" s="391"/>
      <c r="I161" s="390">
        <v>0.84350000000000003</v>
      </c>
      <c r="J161" s="390"/>
      <c r="K161" s="496" t="s">
        <v>330</v>
      </c>
    </row>
    <row r="162" spans="2:11" ht="37.5" x14ac:dyDescent="0.25">
      <c r="B162" s="811"/>
      <c r="C162" s="390" t="s">
        <v>151</v>
      </c>
      <c r="D162" s="390" t="s">
        <v>189</v>
      </c>
      <c r="E162" s="390" t="s">
        <v>747</v>
      </c>
      <c r="F162" s="390">
        <v>1971</v>
      </c>
      <c r="G162" s="390" t="s">
        <v>187</v>
      </c>
      <c r="H162" s="391"/>
      <c r="I162" s="390">
        <v>0.79730000000000001</v>
      </c>
      <c r="J162" s="390"/>
      <c r="K162" s="496" t="s">
        <v>339</v>
      </c>
    </row>
    <row r="163" spans="2:11" ht="25" x14ac:dyDescent="0.25">
      <c r="B163" s="811"/>
      <c r="C163" s="390" t="s">
        <v>148</v>
      </c>
      <c r="D163" s="390" t="s">
        <v>180</v>
      </c>
      <c r="E163" s="390" t="s">
        <v>188</v>
      </c>
      <c r="F163" s="390">
        <v>4</v>
      </c>
      <c r="G163" s="390" t="s">
        <v>175</v>
      </c>
      <c r="H163" s="391"/>
      <c r="I163" s="390">
        <v>10.036099999999999</v>
      </c>
      <c r="J163" s="390"/>
      <c r="K163" s="496" t="s">
        <v>338</v>
      </c>
    </row>
    <row r="164" spans="2:11" ht="25" x14ac:dyDescent="0.25">
      <c r="B164" s="811"/>
      <c r="C164" s="390" t="s">
        <v>161</v>
      </c>
      <c r="D164" s="390" t="s">
        <v>190</v>
      </c>
      <c r="E164" s="390" t="s">
        <v>191</v>
      </c>
      <c r="F164" s="390">
        <v>1886</v>
      </c>
      <c r="G164" s="390" t="s">
        <v>192</v>
      </c>
      <c r="H164" s="391"/>
      <c r="I164" s="390">
        <v>0.496</v>
      </c>
      <c r="J164" s="390"/>
      <c r="K164" s="496" t="s">
        <v>337</v>
      </c>
    </row>
    <row r="165" spans="2:11" ht="25" x14ac:dyDescent="0.25">
      <c r="B165" s="811"/>
      <c r="C165" s="390" t="s">
        <v>161</v>
      </c>
      <c r="D165" s="390" t="s">
        <v>190</v>
      </c>
      <c r="E165" s="390" t="s">
        <v>193</v>
      </c>
      <c r="F165" s="390">
        <v>1955</v>
      </c>
      <c r="G165" s="390" t="s">
        <v>192</v>
      </c>
      <c r="H165" s="391">
        <v>0.12</v>
      </c>
      <c r="I165" s="390">
        <v>1.3313999999999999</v>
      </c>
      <c r="J165" s="390">
        <v>0.1598</v>
      </c>
      <c r="K165" s="496" t="s">
        <v>337</v>
      </c>
    </row>
    <row r="166" spans="2:11" ht="37.5" x14ac:dyDescent="0.25">
      <c r="B166" s="811"/>
      <c r="C166" s="390" t="s">
        <v>159</v>
      </c>
      <c r="D166" s="390" t="s">
        <v>260</v>
      </c>
      <c r="E166" s="390" t="s">
        <v>375</v>
      </c>
      <c r="F166" s="390">
        <v>1398</v>
      </c>
      <c r="G166" s="390" t="s">
        <v>376</v>
      </c>
      <c r="H166" s="391"/>
      <c r="I166" s="390">
        <v>110.44199999999999</v>
      </c>
      <c r="J166" s="390"/>
      <c r="K166" s="496" t="s">
        <v>328</v>
      </c>
    </row>
    <row r="167" spans="2:11" ht="12" customHeight="1" thickBot="1" x14ac:dyDescent="0.3">
      <c r="B167" s="503" t="s">
        <v>344</v>
      </c>
      <c r="C167" s="498"/>
      <c r="D167" s="498"/>
      <c r="E167" s="498"/>
      <c r="F167" s="498"/>
      <c r="G167" s="498"/>
      <c r="H167" s="499"/>
      <c r="I167" s="513">
        <f>SUM(I139:I166)</f>
        <v>7161.2638999999999</v>
      </c>
      <c r="J167" s="500">
        <f>SUM(J139:J166)</f>
        <v>0.1598</v>
      </c>
      <c r="K167" s="501" t="s">
        <v>90</v>
      </c>
    </row>
  </sheetData>
  <mergeCells count="28">
    <mergeCell ref="O4:O5"/>
    <mergeCell ref="B11:D11"/>
    <mergeCell ref="B28:I28"/>
    <mergeCell ref="B29:D29"/>
    <mergeCell ref="B4:B5"/>
    <mergeCell ref="C4:C5"/>
    <mergeCell ref="D4:D5"/>
    <mergeCell ref="E4:E5"/>
    <mergeCell ref="I4:J4"/>
    <mergeCell ref="K4:L4"/>
    <mergeCell ref="B12:C12"/>
    <mergeCell ref="B13:C13"/>
    <mergeCell ref="F4:F5"/>
    <mergeCell ref="G4:G5"/>
    <mergeCell ref="B14:B15"/>
    <mergeCell ref="C43:D43"/>
    <mergeCell ref="E43:F43"/>
    <mergeCell ref="B33:D33"/>
    <mergeCell ref="B39:D39"/>
    <mergeCell ref="M4:N4"/>
    <mergeCell ref="B139:B166"/>
    <mergeCell ref="B16:B17"/>
    <mergeCell ref="B18:B20"/>
    <mergeCell ref="B21:B23"/>
    <mergeCell ref="B61:B88"/>
    <mergeCell ref="B90:B111"/>
    <mergeCell ref="B43:B44"/>
    <mergeCell ref="B113:B13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6D561D-5FE3-4F55-B860-CE484FBC6C31}">
          <x14:formula1>
            <xm:f>'Task 3 - Material summary'!$B$7:$B$14</xm:f>
          </x14:formula1>
          <xm:sqref>K61:K167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24BC2-9EF6-45E9-B7D7-5A503E767BD0}">
  <sheetPr>
    <tabColor rgb="FF00353E"/>
  </sheetPr>
  <dimension ref="A1:O158"/>
  <sheetViews>
    <sheetView showGridLines="0" workbookViewId="0">
      <selection activeCell="B6" sqref="B6:B8"/>
    </sheetView>
  </sheetViews>
  <sheetFormatPr defaultColWidth="8.7265625" defaultRowHeight="12.5" x14ac:dyDescent="0.25"/>
  <cols>
    <col min="1" max="1" width="8.7265625" style="300" customWidth="1"/>
    <col min="2" max="2" width="41.453125" style="366" customWidth="1"/>
    <col min="3" max="3" width="26" style="366" customWidth="1"/>
    <col min="4" max="4" width="23.26953125" style="366" customWidth="1"/>
    <col min="5" max="5" width="24.1796875" style="366" customWidth="1"/>
    <col min="6" max="6" width="17.54296875" style="366" customWidth="1"/>
    <col min="7" max="7" width="20.26953125" style="366" customWidth="1"/>
    <col min="8" max="8" width="22.81640625" style="366" customWidth="1"/>
    <col min="9" max="9" width="20.453125" style="366" customWidth="1"/>
    <col min="10" max="10" width="22.7265625" style="366" customWidth="1"/>
    <col min="11" max="11" width="20.1796875" style="366" customWidth="1"/>
    <col min="12" max="12" width="25.81640625" style="300" customWidth="1"/>
    <col min="13" max="13" width="24.453125" style="300" customWidth="1"/>
    <col min="14" max="14" width="21.453125" style="300" customWidth="1"/>
    <col min="15" max="15" width="20.1796875" style="300" customWidth="1"/>
    <col min="16" max="16384" width="8.7265625" style="300"/>
  </cols>
  <sheetData>
    <row r="1" spans="2:15" s="363" customFormat="1" ht="38.15" customHeight="1" x14ac:dyDescent="0.35">
      <c r="B1" s="267" t="s">
        <v>472</v>
      </c>
      <c r="D1" s="364"/>
      <c r="E1" s="364"/>
      <c r="F1" s="364"/>
      <c r="G1" s="364"/>
      <c r="H1" s="364"/>
      <c r="I1" s="364"/>
      <c r="J1" s="364"/>
      <c r="K1" s="364"/>
    </row>
    <row r="2" spans="2:15" s="363" customFormat="1" ht="18" customHeight="1" x14ac:dyDescent="0.35">
      <c r="B2" s="363" t="s">
        <v>657</v>
      </c>
      <c r="F2" s="364"/>
      <c r="G2" s="364"/>
      <c r="H2" s="364"/>
      <c r="I2" s="364"/>
    </row>
    <row r="3" spans="2:15" ht="39.65" customHeight="1" thickBot="1" x14ac:dyDescent="0.35">
      <c r="B3" s="365" t="s">
        <v>443</v>
      </c>
      <c r="I3" s="367" t="s">
        <v>444</v>
      </c>
      <c r="L3" s="366"/>
    </row>
    <row r="4" spans="2:15" ht="14.25" customHeight="1" x14ac:dyDescent="0.25">
      <c r="B4" s="771" t="s">
        <v>37</v>
      </c>
      <c r="C4" s="773" t="s">
        <v>75</v>
      </c>
      <c r="D4" s="773" t="s">
        <v>381</v>
      </c>
      <c r="E4" s="773" t="s">
        <v>629</v>
      </c>
      <c r="F4" s="773" t="s">
        <v>630</v>
      </c>
      <c r="G4" s="791" t="s">
        <v>631</v>
      </c>
      <c r="I4" s="786" t="s">
        <v>69</v>
      </c>
      <c r="J4" s="787"/>
      <c r="K4" s="788" t="s">
        <v>70</v>
      </c>
      <c r="L4" s="787"/>
      <c r="M4" s="794" t="s">
        <v>342</v>
      </c>
      <c r="N4" s="794"/>
      <c r="O4" s="791" t="s">
        <v>382</v>
      </c>
    </row>
    <row r="5" spans="2:15" ht="24.75" customHeight="1" x14ac:dyDescent="0.25">
      <c r="B5" s="772"/>
      <c r="C5" s="774"/>
      <c r="D5" s="774"/>
      <c r="E5" s="774"/>
      <c r="F5" s="774"/>
      <c r="G5" s="792"/>
      <c r="I5" s="64" t="s">
        <v>71</v>
      </c>
      <c r="J5" s="65" t="s">
        <v>72</v>
      </c>
      <c r="K5" s="66" t="s">
        <v>73</v>
      </c>
      <c r="L5" s="67" t="s">
        <v>74</v>
      </c>
      <c r="M5" s="155" t="s">
        <v>636</v>
      </c>
      <c r="N5" s="155" t="s">
        <v>689</v>
      </c>
      <c r="O5" s="792"/>
    </row>
    <row r="6" spans="2:15" ht="15" customHeight="1" x14ac:dyDescent="0.25">
      <c r="B6" s="49" t="s">
        <v>57</v>
      </c>
      <c r="C6" s="174">
        <f>'Structure dimensions'!L22</f>
        <v>1250.5</v>
      </c>
      <c r="D6" s="175">
        <f>SUM(I6:L6)</f>
        <v>4787.0168000000003</v>
      </c>
      <c r="E6" s="175">
        <f>O6</f>
        <v>4787.1505000000006</v>
      </c>
      <c r="F6" s="408">
        <f>D6/C6</f>
        <v>3.8280822071171534</v>
      </c>
      <c r="G6" s="410">
        <f>E6/C6</f>
        <v>3.8281891243502604</v>
      </c>
      <c r="H6" s="368"/>
      <c r="I6" s="178">
        <f>I93</f>
        <v>4670.3168000000005</v>
      </c>
      <c r="J6" s="179">
        <v>42.3</v>
      </c>
      <c r="K6" s="180">
        <v>37.4</v>
      </c>
      <c r="L6" s="179">
        <v>37</v>
      </c>
      <c r="M6" s="182">
        <f>J93</f>
        <v>0.13370000000000001</v>
      </c>
      <c r="N6" s="179">
        <v>0</v>
      </c>
      <c r="O6" s="183">
        <f>SUM(I6:N6)</f>
        <v>4787.1505000000006</v>
      </c>
    </row>
    <row r="7" spans="2:15" ht="15" customHeight="1" x14ac:dyDescent="0.25">
      <c r="B7" s="49" t="s">
        <v>59</v>
      </c>
      <c r="C7" s="174">
        <f>'Structure dimensions'!L26</f>
        <v>166.04999999999998</v>
      </c>
      <c r="D7" s="175">
        <f>SUM(I7:L7)</f>
        <v>754.97269999999992</v>
      </c>
      <c r="E7" s="175">
        <f>O7</f>
        <v>755.0954999999999</v>
      </c>
      <c r="F7" s="433">
        <f>D7/C7</f>
        <v>4.5466588376994883</v>
      </c>
      <c r="G7" s="410">
        <f>E7/C7</f>
        <v>4.5473983739837394</v>
      </c>
      <c r="H7" s="431"/>
      <c r="I7" s="178">
        <f>I114</f>
        <v>658.27269999999987</v>
      </c>
      <c r="J7" s="179">
        <v>31.6</v>
      </c>
      <c r="K7" s="180">
        <v>47.2</v>
      </c>
      <c r="L7" s="181">
        <v>17.899999999999999</v>
      </c>
      <c r="M7" s="182">
        <f>J114</f>
        <v>0.12280000000000001</v>
      </c>
      <c r="N7" s="179">
        <v>0</v>
      </c>
      <c r="O7" s="183">
        <f t="shared" ref="O7:O8" si="0">SUM(I7:N7)</f>
        <v>755.0954999999999</v>
      </c>
    </row>
    <row r="8" spans="2:15" ht="15" customHeight="1" thickBot="1" x14ac:dyDescent="0.3">
      <c r="B8" s="334" t="s">
        <v>60</v>
      </c>
      <c r="C8" s="176">
        <f>'Structure dimensions'!L27</f>
        <v>1090.6000000000001</v>
      </c>
      <c r="D8" s="177">
        <f>SUM(I8:L8)</f>
        <v>4594.8350999999993</v>
      </c>
      <c r="E8" s="177">
        <f t="shared" ref="E8" si="1">O8</f>
        <v>4595.0750999999991</v>
      </c>
      <c r="F8" s="409">
        <f>D8/C8</f>
        <v>4.2131258940032996</v>
      </c>
      <c r="G8" s="412">
        <f>E8/C8</f>
        <v>4.2133459563542992</v>
      </c>
      <c r="I8" s="197">
        <f>I139</f>
        <v>4297.6350999999995</v>
      </c>
      <c r="J8" s="198">
        <v>42.4</v>
      </c>
      <c r="K8" s="199">
        <v>211.2</v>
      </c>
      <c r="L8" s="201">
        <v>43.6</v>
      </c>
      <c r="M8" s="203">
        <f>J139</f>
        <v>0.24</v>
      </c>
      <c r="N8" s="198">
        <v>0</v>
      </c>
      <c r="O8" s="202">
        <f t="shared" si="0"/>
        <v>4595.0750999999991</v>
      </c>
    </row>
    <row r="9" spans="2:15" ht="14" thickTop="1" thickBot="1" x14ac:dyDescent="0.3">
      <c r="B9" s="77" t="s">
        <v>2</v>
      </c>
      <c r="C9" s="328"/>
      <c r="D9" s="172">
        <f>SUM(D6:D8)</f>
        <v>10136.8246</v>
      </c>
      <c r="E9" s="172">
        <f>SUM(E6:E8)</f>
        <v>10137.321100000001</v>
      </c>
      <c r="F9" s="172"/>
      <c r="G9" s="173"/>
      <c r="I9" s="194" t="s">
        <v>81</v>
      </c>
      <c r="J9" s="72">
        <f>SUM(I6:J8)</f>
        <v>9742.5245999999988</v>
      </c>
      <c r="K9" s="195" t="s">
        <v>81</v>
      </c>
      <c r="L9" s="72">
        <f>SUM(K6:L8)</f>
        <v>394.3</v>
      </c>
      <c r="M9" s="184" t="s">
        <v>346</v>
      </c>
      <c r="N9" s="196">
        <f>SUM(M6:N8)</f>
        <v>0.4965</v>
      </c>
      <c r="O9" s="79">
        <f>SUM(O6:O8)</f>
        <v>10137.321100000001</v>
      </c>
    </row>
    <row r="10" spans="2:15" ht="13.5" thickBot="1" x14ac:dyDescent="0.3">
      <c r="B10" s="300"/>
      <c r="C10" s="300"/>
      <c r="D10" s="300"/>
      <c r="E10" s="300"/>
      <c r="F10" s="35"/>
      <c r="G10" s="35"/>
      <c r="H10" s="35"/>
      <c r="I10" s="300" t="s">
        <v>490</v>
      </c>
    </row>
    <row r="11" spans="2:15" ht="13" x14ac:dyDescent="0.3">
      <c r="B11" s="799" t="s">
        <v>383</v>
      </c>
      <c r="C11" s="800"/>
      <c r="D11" s="342" t="s">
        <v>384</v>
      </c>
      <c r="E11" s="343" t="s">
        <v>10</v>
      </c>
      <c r="F11" s="369"/>
      <c r="G11" s="369"/>
      <c r="H11" s="369"/>
      <c r="K11" s="37"/>
    </row>
    <row r="12" spans="2:15" ht="32.5" customHeight="1" x14ac:dyDescent="0.25">
      <c r="B12" s="804" t="s">
        <v>9</v>
      </c>
      <c r="C12" s="805"/>
      <c r="D12" s="356">
        <v>3</v>
      </c>
      <c r="E12" s="357" t="s">
        <v>385</v>
      </c>
      <c r="F12" s="369"/>
      <c r="G12" s="369"/>
      <c r="H12" s="369"/>
      <c r="K12" s="37"/>
    </row>
    <row r="13" spans="2:15" ht="32.5" customHeight="1" x14ac:dyDescent="0.25">
      <c r="B13" s="775" t="s">
        <v>640</v>
      </c>
      <c r="C13" s="344" t="s">
        <v>623</v>
      </c>
      <c r="D13" s="174">
        <f>D9/D12</f>
        <v>3378.9415333333332</v>
      </c>
      <c r="E13" s="357" t="s">
        <v>396</v>
      </c>
      <c r="F13" s="369"/>
      <c r="G13" s="369"/>
      <c r="H13" s="369"/>
      <c r="K13" s="37"/>
    </row>
    <row r="14" spans="2:15" ht="32.5" customHeight="1" x14ac:dyDescent="0.25">
      <c r="B14" s="775"/>
      <c r="C14" s="344" t="s">
        <v>624</v>
      </c>
      <c r="D14" s="174">
        <f>E9/D12</f>
        <v>3379.1070333333337</v>
      </c>
      <c r="E14" s="357" t="s">
        <v>396</v>
      </c>
      <c r="F14" s="369"/>
      <c r="G14" s="369"/>
      <c r="H14" s="369"/>
      <c r="K14" s="37"/>
    </row>
    <row r="15" spans="2:15" ht="32.5" customHeight="1" x14ac:dyDescent="0.25">
      <c r="B15" s="775" t="s">
        <v>656</v>
      </c>
      <c r="C15" s="344" t="s">
        <v>623</v>
      </c>
      <c r="D15" s="185">
        <f>AVERAGE(F6:F8)</f>
        <v>4.1959556462733136</v>
      </c>
      <c r="E15" s="357" t="s">
        <v>397</v>
      </c>
      <c r="F15" s="369"/>
      <c r="G15" s="369"/>
      <c r="H15" s="369"/>
      <c r="K15" s="37"/>
    </row>
    <row r="16" spans="2:15" ht="32.5" customHeight="1" x14ac:dyDescent="0.25">
      <c r="B16" s="775"/>
      <c r="C16" s="344" t="s">
        <v>624</v>
      </c>
      <c r="D16" s="185">
        <f>AVERAGE(G6:G8)</f>
        <v>4.1963111515627665</v>
      </c>
      <c r="E16" s="357" t="s">
        <v>397</v>
      </c>
      <c r="F16" s="369"/>
      <c r="G16" s="369"/>
      <c r="H16" s="369"/>
      <c r="K16" s="37"/>
    </row>
    <row r="17" spans="2:11" ht="25.5" customHeight="1" x14ac:dyDescent="0.25">
      <c r="B17" s="775" t="s">
        <v>628</v>
      </c>
      <c r="C17" s="344" t="s">
        <v>3</v>
      </c>
      <c r="D17" s="571">
        <f>(D23+D24)/D16</f>
        <v>0.94548814086000788</v>
      </c>
      <c r="E17" s="357" t="s">
        <v>388</v>
      </c>
      <c r="F17" s="369"/>
      <c r="G17" s="369"/>
      <c r="H17" s="369"/>
      <c r="K17" s="37"/>
    </row>
    <row r="18" spans="2:11" ht="25.5" customHeight="1" x14ac:dyDescent="0.25">
      <c r="B18" s="775"/>
      <c r="C18" s="344" t="s">
        <v>4</v>
      </c>
      <c r="D18" s="571">
        <f>(D25+D26)/D16</f>
        <v>5.4427140615408993E-2</v>
      </c>
      <c r="E18" s="357" t="s">
        <v>388</v>
      </c>
      <c r="F18" s="547"/>
      <c r="G18" s="547"/>
      <c r="H18" s="547"/>
      <c r="I18" s="547"/>
      <c r="K18" s="37"/>
    </row>
    <row r="19" spans="2:11" ht="25.5" customHeight="1" x14ac:dyDescent="0.25">
      <c r="B19" s="775"/>
      <c r="C19" s="344" t="s">
        <v>627</v>
      </c>
      <c r="D19" s="571">
        <f>(D27+D28)/D16</f>
        <v>8.471852458325235E-5</v>
      </c>
      <c r="E19" s="357" t="s">
        <v>388</v>
      </c>
      <c r="F19" s="547"/>
      <c r="G19" s="547"/>
      <c r="H19" s="547"/>
      <c r="I19" s="547"/>
      <c r="K19" s="37"/>
    </row>
    <row r="20" spans="2:11" ht="25.5" customHeight="1" x14ac:dyDescent="0.25">
      <c r="B20" s="775" t="s">
        <v>656</v>
      </c>
      <c r="C20" s="344" t="s">
        <v>3</v>
      </c>
      <c r="D20" s="185">
        <f>D16*D17</f>
        <v>3.9675624291611986</v>
      </c>
      <c r="E20" s="357" t="s">
        <v>397</v>
      </c>
      <c r="F20" s="547"/>
      <c r="G20" s="547"/>
      <c r="H20" s="547"/>
      <c r="I20" s="547"/>
      <c r="K20" s="37"/>
    </row>
    <row r="21" spans="2:11" ht="25.5" customHeight="1" x14ac:dyDescent="0.25">
      <c r="B21" s="775"/>
      <c r="C21" s="344" t="s">
        <v>4</v>
      </c>
      <c r="D21" s="185">
        <f>D16*D18</f>
        <v>0.22839321711211552</v>
      </c>
      <c r="E21" s="357" t="s">
        <v>397</v>
      </c>
      <c r="F21" s="547"/>
      <c r="G21" s="547"/>
      <c r="H21" s="547"/>
      <c r="I21" s="547"/>
      <c r="K21" s="37"/>
    </row>
    <row r="22" spans="2:11" ht="25.5" customHeight="1" x14ac:dyDescent="0.25">
      <c r="B22" s="775"/>
      <c r="C22" s="344" t="s">
        <v>627</v>
      </c>
      <c r="D22" s="185">
        <f>D16*D19</f>
        <v>3.555052894526462E-4</v>
      </c>
      <c r="E22" s="357" t="s">
        <v>397</v>
      </c>
      <c r="F22" s="547"/>
      <c r="G22" s="547"/>
      <c r="H22" s="547"/>
      <c r="I22" s="547"/>
      <c r="K22" s="37"/>
    </row>
    <row r="23" spans="2:11" ht="25.5" customHeight="1" x14ac:dyDescent="0.25">
      <c r="B23" s="801" t="s">
        <v>709</v>
      </c>
      <c r="C23" s="572" t="s">
        <v>708</v>
      </c>
      <c r="D23" s="185">
        <f>((I6/C6)+(I7/C7)+(I8/C8))/3</f>
        <v>3.8798930035993275</v>
      </c>
      <c r="E23" s="357" t="s">
        <v>397</v>
      </c>
      <c r="H23" s="547"/>
      <c r="I23" s="547"/>
      <c r="K23" s="37"/>
    </row>
    <row r="24" spans="2:11" ht="25.5" customHeight="1" x14ac:dyDescent="0.25">
      <c r="B24" s="802"/>
      <c r="C24" s="572" t="s">
        <v>710</v>
      </c>
      <c r="D24" s="185">
        <f>((J6/C6)+(J7/C7)+(J8/C8))/3</f>
        <v>8.766942556187092E-2</v>
      </c>
      <c r="E24" s="357" t="s">
        <v>397</v>
      </c>
      <c r="H24" s="547"/>
      <c r="I24" s="547"/>
      <c r="K24" s="37"/>
    </row>
    <row r="25" spans="2:11" ht="25.5" customHeight="1" x14ac:dyDescent="0.25">
      <c r="B25" s="802"/>
      <c r="C25" s="572" t="s">
        <v>711</v>
      </c>
      <c r="D25" s="185">
        <f>((K6/C6)+(K7/C7)+(K8/C8))/3</f>
        <v>0.1692715456903349</v>
      </c>
      <c r="E25" s="357" t="s">
        <v>397</v>
      </c>
      <c r="H25" s="547"/>
      <c r="I25" s="547"/>
      <c r="K25" s="37"/>
    </row>
    <row r="26" spans="2:11" ht="25.5" customHeight="1" x14ac:dyDescent="0.25">
      <c r="B26" s="802"/>
      <c r="C26" s="572" t="s">
        <v>712</v>
      </c>
      <c r="D26" s="185">
        <f>((L6/C6)+(L7/C7)+(L8/C8))/3</f>
        <v>5.9121671421780618E-2</v>
      </c>
      <c r="E26" s="357" t="s">
        <v>397</v>
      </c>
      <c r="H26" s="547"/>
      <c r="I26" s="547"/>
      <c r="K26" s="37"/>
    </row>
    <row r="27" spans="2:11" ht="25.5" customHeight="1" x14ac:dyDescent="0.25">
      <c r="B27" s="802"/>
      <c r="C27" s="573" t="s">
        <v>636</v>
      </c>
      <c r="D27" s="185">
        <f>((M6/C6)+(M7/C7)+(M8/C8))/3</f>
        <v>3.555052894526462E-4</v>
      </c>
      <c r="E27" s="357" t="s">
        <v>397</v>
      </c>
      <c r="H27" s="547"/>
      <c r="I27" s="547"/>
      <c r="K27" s="37"/>
    </row>
    <row r="28" spans="2:11" ht="25.5" customHeight="1" thickBot="1" x14ac:dyDescent="0.3">
      <c r="B28" s="803"/>
      <c r="C28" s="574" t="s">
        <v>689</v>
      </c>
      <c r="D28" s="185">
        <f>((N6/C6)+(N7/C7)+(N8/C8))/3</f>
        <v>0</v>
      </c>
      <c r="E28" s="357" t="s">
        <v>397</v>
      </c>
      <c r="H28" s="369"/>
      <c r="K28" s="37"/>
    </row>
    <row r="29" spans="2:11" ht="19.5" customHeight="1" x14ac:dyDescent="0.25">
      <c r="B29" s="37"/>
      <c r="C29" s="37"/>
      <c r="D29" s="37"/>
      <c r="E29" s="37"/>
      <c r="F29" s="371"/>
      <c r="G29" s="371"/>
      <c r="H29" s="371"/>
      <c r="I29" s="371"/>
      <c r="J29" s="37"/>
      <c r="K29" s="37"/>
    </row>
    <row r="30" spans="2:11" ht="19.5" customHeight="1" x14ac:dyDescent="0.3">
      <c r="B30" s="33"/>
      <c r="C30" s="33"/>
      <c r="D30" s="33"/>
      <c r="E30" s="33"/>
      <c r="F30" s="372"/>
      <c r="G30" s="372"/>
      <c r="H30" s="372"/>
      <c r="I30" s="372"/>
      <c r="J30" s="37"/>
      <c r="K30" s="37"/>
    </row>
    <row r="31" spans="2:11" ht="19.5" customHeight="1" x14ac:dyDescent="0.25">
      <c r="B31" s="37"/>
      <c r="C31" s="37"/>
      <c r="D31" s="37"/>
      <c r="E31" s="37"/>
      <c r="F31" s="37"/>
      <c r="G31" s="37"/>
      <c r="H31" s="37"/>
      <c r="I31" s="37"/>
      <c r="J31" s="37"/>
      <c r="K31" s="37"/>
    </row>
    <row r="32" spans="2:11" ht="19.5" customHeight="1" x14ac:dyDescent="0.25">
      <c r="B32" s="769"/>
      <c r="C32" s="769"/>
      <c r="D32" s="769"/>
      <c r="E32" s="769"/>
      <c r="F32" s="769"/>
      <c r="G32" s="769"/>
      <c r="H32" s="769"/>
      <c r="I32" s="769"/>
      <c r="J32" s="37"/>
      <c r="K32" s="37"/>
    </row>
    <row r="33" spans="1:15" ht="19.5" customHeight="1" x14ac:dyDescent="0.3">
      <c r="B33" s="770"/>
      <c r="C33" s="770"/>
      <c r="D33" s="770"/>
      <c r="E33" s="15"/>
      <c r="F33" s="14"/>
      <c r="G33" s="14"/>
      <c r="H33" s="14"/>
      <c r="I33" s="36"/>
      <c r="J33" s="37"/>
      <c r="K33" s="37"/>
    </row>
    <row r="34" spans="1:15" ht="19.5" customHeight="1" x14ac:dyDescent="0.25">
      <c r="B34" s="38"/>
      <c r="C34" s="38"/>
      <c r="D34" s="37"/>
      <c r="E34" s="37"/>
      <c r="F34" s="369"/>
      <c r="G34" s="369"/>
      <c r="H34" s="369"/>
      <c r="I34" s="369"/>
      <c r="J34" s="37"/>
      <c r="K34" s="37"/>
    </row>
    <row r="35" spans="1:15" ht="19.5" customHeight="1" x14ac:dyDescent="0.25">
      <c r="B35" s="38"/>
      <c r="C35" s="38"/>
      <c r="D35" s="37"/>
      <c r="E35" s="37"/>
      <c r="F35" s="369"/>
      <c r="G35" s="369"/>
      <c r="H35" s="369"/>
      <c r="I35" s="369"/>
      <c r="J35" s="37"/>
      <c r="K35" s="37"/>
    </row>
    <row r="36" spans="1:15" ht="19.5" customHeight="1" x14ac:dyDescent="0.25">
      <c r="B36" s="38"/>
      <c r="C36" s="38"/>
      <c r="D36" s="37"/>
      <c r="E36" s="37"/>
      <c r="F36" s="369"/>
      <c r="G36" s="369"/>
      <c r="H36" s="369"/>
      <c r="I36" s="369"/>
      <c r="J36" s="37"/>
      <c r="K36" s="37"/>
    </row>
    <row r="37" spans="1:15" ht="19.5" customHeight="1" x14ac:dyDescent="0.3">
      <c r="B37" s="770"/>
      <c r="C37" s="770"/>
      <c r="D37" s="770"/>
      <c r="E37" s="15"/>
      <c r="F37" s="14"/>
      <c r="G37" s="14"/>
      <c r="H37" s="14"/>
      <c r="I37" s="36"/>
      <c r="J37" s="37"/>
      <c r="K37" s="37"/>
    </row>
    <row r="38" spans="1:15" ht="19.5" customHeight="1" x14ac:dyDescent="0.25">
      <c r="B38" s="38"/>
      <c r="C38" s="38"/>
      <c r="D38" s="37"/>
      <c r="E38" s="37"/>
      <c r="F38" s="370"/>
      <c r="G38" s="370"/>
      <c r="H38" s="370"/>
      <c r="I38" s="370"/>
      <c r="J38" s="37"/>
      <c r="K38" s="37"/>
    </row>
    <row r="39" spans="1:15" ht="19.5" customHeight="1" x14ac:dyDescent="0.25">
      <c r="B39" s="38"/>
      <c r="C39" s="38"/>
      <c r="D39" s="37"/>
      <c r="E39" s="37"/>
      <c r="F39" s="370"/>
      <c r="G39" s="370"/>
      <c r="H39" s="370"/>
      <c r="I39" s="370"/>
      <c r="J39" s="37"/>
      <c r="K39" s="37"/>
    </row>
    <row r="40" spans="1:15" ht="19.5" customHeight="1" x14ac:dyDescent="0.25">
      <c r="B40" s="38"/>
      <c r="C40" s="38"/>
      <c r="D40" s="37"/>
      <c r="E40" s="37"/>
      <c r="F40" s="370"/>
      <c r="G40" s="370"/>
      <c r="H40" s="370"/>
      <c r="I40" s="370"/>
      <c r="J40" s="37"/>
      <c r="K40" s="37"/>
    </row>
    <row r="41" spans="1:15" ht="19.5" customHeight="1" x14ac:dyDescent="0.25">
      <c r="B41" s="38"/>
      <c r="C41" s="38"/>
      <c r="D41" s="37"/>
      <c r="E41" s="37"/>
      <c r="F41" s="370"/>
      <c r="G41" s="370"/>
      <c r="H41" s="370"/>
      <c r="I41" s="370"/>
      <c r="J41" s="37"/>
      <c r="K41" s="37"/>
    </row>
    <row r="42" spans="1:15" ht="19.5" customHeight="1" x14ac:dyDescent="0.25">
      <c r="B42" s="38"/>
      <c r="C42" s="38"/>
      <c r="D42" s="37"/>
      <c r="E42" s="37"/>
      <c r="F42" s="370"/>
      <c r="G42" s="370"/>
      <c r="H42" s="370"/>
      <c r="I42" s="370"/>
      <c r="J42" s="37"/>
      <c r="K42" s="37"/>
    </row>
    <row r="43" spans="1:15" ht="13" x14ac:dyDescent="0.3">
      <c r="B43" s="770"/>
      <c r="C43" s="770"/>
      <c r="D43" s="770"/>
      <c r="E43" s="15"/>
      <c r="F43" s="14"/>
      <c r="G43" s="14"/>
      <c r="H43" s="14"/>
      <c r="I43" s="36"/>
      <c r="J43" s="37"/>
      <c r="K43" s="37"/>
    </row>
    <row r="44" spans="1:15" s="383" customFormat="1" ht="43" customHeight="1" x14ac:dyDescent="0.35">
      <c r="A44" s="382"/>
      <c r="B44" s="306" t="s">
        <v>403</v>
      </c>
      <c r="D44" s="384"/>
      <c r="E44" s="384"/>
      <c r="F44" s="384"/>
      <c r="G44" s="384"/>
      <c r="H44" s="384"/>
      <c r="I44" s="384"/>
      <c r="J44" s="384"/>
      <c r="K44" s="384"/>
      <c r="L44" s="384"/>
      <c r="M44" s="384"/>
      <c r="N44" s="384"/>
      <c r="O44" s="384"/>
    </row>
    <row r="45" spans="1:15" ht="13" thickBot="1" x14ac:dyDescent="0.3">
      <c r="B45" s="37"/>
      <c r="C45" s="37"/>
      <c r="D45" s="37"/>
      <c r="E45" s="37"/>
      <c r="F45" s="37"/>
      <c r="G45" s="379"/>
      <c r="H45" s="379"/>
      <c r="I45" s="37"/>
      <c r="J45" s="37"/>
      <c r="K45" s="37"/>
      <c r="L45" s="37"/>
      <c r="M45" s="37"/>
      <c r="N45" s="37"/>
      <c r="O45" s="37"/>
    </row>
    <row r="46" spans="1:15" ht="13" x14ac:dyDescent="0.25">
      <c r="B46" s="797" t="s">
        <v>348</v>
      </c>
      <c r="C46" s="795" t="s">
        <v>350</v>
      </c>
      <c r="D46" s="795"/>
      <c r="E46" s="795" t="s">
        <v>352</v>
      </c>
      <c r="F46" s="795"/>
      <c r="G46" s="795" t="s">
        <v>697</v>
      </c>
      <c r="H46" s="796"/>
      <c r="I46" s="37"/>
      <c r="J46" s="37"/>
      <c r="K46" s="37"/>
      <c r="L46" s="37"/>
      <c r="M46" s="37"/>
      <c r="N46" s="37"/>
      <c r="O46" s="37"/>
    </row>
    <row r="47" spans="1:15" ht="13" x14ac:dyDescent="0.25">
      <c r="B47" s="798"/>
      <c r="C47" s="375" t="s">
        <v>351</v>
      </c>
      <c r="D47" s="375" t="s">
        <v>349</v>
      </c>
      <c r="E47" s="375" t="s">
        <v>351</v>
      </c>
      <c r="F47" s="375" t="s">
        <v>349</v>
      </c>
      <c r="G47" s="375" t="s">
        <v>695</v>
      </c>
      <c r="H47" s="454" t="s">
        <v>696</v>
      </c>
      <c r="I47" s="37"/>
      <c r="J47" s="37"/>
      <c r="K47" s="37"/>
      <c r="L47" s="37"/>
      <c r="M47" s="37"/>
      <c r="N47" s="37"/>
      <c r="O47" s="37"/>
    </row>
    <row r="48" spans="1:15" ht="24" customHeight="1" x14ac:dyDescent="0.25">
      <c r="B48" s="455" t="s">
        <v>328</v>
      </c>
      <c r="C48" s="377">
        <f t="shared" ref="C48:C55" si="2">SUMIF($K$70:$K$139,B48,$I$70:$I$139)</f>
        <v>75.3155</v>
      </c>
      <c r="D48" s="378">
        <f>C48/$C$56</f>
        <v>7.8239915573962409E-3</v>
      </c>
      <c r="E48" s="377">
        <f t="shared" ref="E48:E55" si="3">SUMIF($K$70:$K$139,B48,$J$70:$J$139)</f>
        <v>0</v>
      </c>
      <c r="F48" s="378">
        <f>E48/$E$56</f>
        <v>0</v>
      </c>
      <c r="G48" s="381">
        <f>D48*$D$23</f>
        <v>3.0356250103761882E-2</v>
      </c>
      <c r="H48" s="542">
        <f>F48*$D$27</f>
        <v>0</v>
      </c>
      <c r="I48" s="37"/>
      <c r="J48" s="37"/>
      <c r="K48" s="37"/>
      <c r="L48" s="37"/>
      <c r="M48" s="37"/>
      <c r="N48" s="37"/>
      <c r="O48" s="37"/>
    </row>
    <row r="49" spans="2:15" ht="24" customHeight="1" x14ac:dyDescent="0.25">
      <c r="B49" s="455" t="s">
        <v>329</v>
      </c>
      <c r="C49" s="377">
        <f t="shared" si="2"/>
        <v>0</v>
      </c>
      <c r="D49" s="378">
        <f t="shared" ref="D49:D55" si="4">C49/$C$56</f>
        <v>0</v>
      </c>
      <c r="E49" s="377">
        <f t="shared" si="3"/>
        <v>0</v>
      </c>
      <c r="F49" s="378">
        <f t="shared" ref="F49:F55" si="5">E49/$E$56</f>
        <v>0</v>
      </c>
      <c r="G49" s="381">
        <f t="shared" ref="G49:G55" si="6">D49*$D$23</f>
        <v>0</v>
      </c>
      <c r="H49" s="542">
        <f t="shared" ref="H49:H56" si="7">F49*$D$27</f>
        <v>0</v>
      </c>
      <c r="I49" s="37"/>
      <c r="J49" s="37"/>
      <c r="K49" s="37"/>
      <c r="L49" s="37"/>
      <c r="M49" s="37"/>
      <c r="N49" s="37"/>
      <c r="O49" s="37"/>
    </row>
    <row r="50" spans="2:15" ht="24" customHeight="1" x14ac:dyDescent="0.25">
      <c r="B50" s="455" t="s">
        <v>330</v>
      </c>
      <c r="C50" s="377">
        <f t="shared" si="2"/>
        <v>286.91989999999998</v>
      </c>
      <c r="D50" s="378">
        <f t="shared" si="4"/>
        <v>2.9806067479456067E-2</v>
      </c>
      <c r="E50" s="377">
        <f t="shared" si="3"/>
        <v>0</v>
      </c>
      <c r="F50" s="378">
        <f t="shared" si="5"/>
        <v>0</v>
      </c>
      <c r="G50" s="381">
        <f t="shared" si="6"/>
        <v>0.11564435267835103</v>
      </c>
      <c r="H50" s="542">
        <f t="shared" si="7"/>
        <v>0</v>
      </c>
      <c r="I50" s="37"/>
      <c r="J50" s="37"/>
      <c r="K50" s="37"/>
      <c r="L50" s="37"/>
      <c r="M50" s="37"/>
      <c r="N50" s="37"/>
      <c r="O50" s="37"/>
    </row>
    <row r="51" spans="2:15" ht="24" customHeight="1" x14ac:dyDescent="0.25">
      <c r="B51" s="455" t="s">
        <v>338</v>
      </c>
      <c r="C51" s="377">
        <f t="shared" si="2"/>
        <v>9221.9107999999997</v>
      </c>
      <c r="D51" s="378">
        <f t="shared" si="4"/>
        <v>0.95799871530111613</v>
      </c>
      <c r="E51" s="377">
        <f t="shared" si="3"/>
        <v>0</v>
      </c>
      <c r="F51" s="378">
        <f t="shared" si="5"/>
        <v>0</v>
      </c>
      <c r="G51" s="381">
        <f t="shared" si="6"/>
        <v>3.7169325129539446</v>
      </c>
      <c r="H51" s="542">
        <f t="shared" si="7"/>
        <v>0</v>
      </c>
      <c r="I51" s="37"/>
      <c r="J51" s="37"/>
      <c r="K51" s="37"/>
      <c r="L51" s="37"/>
      <c r="M51" s="37"/>
      <c r="N51" s="37"/>
      <c r="O51" s="37"/>
    </row>
    <row r="52" spans="2:15" ht="24" customHeight="1" x14ac:dyDescent="0.25">
      <c r="B52" s="455" t="s">
        <v>337</v>
      </c>
      <c r="C52" s="377">
        <f t="shared" si="2"/>
        <v>5.6791999999999998</v>
      </c>
      <c r="D52" s="378">
        <f t="shared" si="4"/>
        <v>5.899716904589989E-4</v>
      </c>
      <c r="E52" s="380">
        <f t="shared" si="3"/>
        <v>0.4965</v>
      </c>
      <c r="F52" s="378">
        <f t="shared" si="5"/>
        <v>1</v>
      </c>
      <c r="G52" s="381">
        <f t="shared" si="6"/>
        <v>2.2890270341335379E-3</v>
      </c>
      <c r="H52" s="579">
        <f t="shared" si="7"/>
        <v>3.555052894526462E-4</v>
      </c>
      <c r="I52" s="37"/>
      <c r="J52" s="37"/>
      <c r="K52" s="37"/>
      <c r="L52" s="37"/>
      <c r="M52" s="37"/>
      <c r="N52" s="37"/>
      <c r="O52" s="37"/>
    </row>
    <row r="53" spans="2:15" ht="24" customHeight="1" x14ac:dyDescent="0.25">
      <c r="B53" s="455" t="s">
        <v>341</v>
      </c>
      <c r="C53" s="377">
        <f t="shared" si="2"/>
        <v>0</v>
      </c>
      <c r="D53" s="378">
        <f t="shared" si="4"/>
        <v>0</v>
      </c>
      <c r="E53" s="377">
        <f t="shared" si="3"/>
        <v>0</v>
      </c>
      <c r="F53" s="378">
        <f t="shared" si="5"/>
        <v>0</v>
      </c>
      <c r="G53" s="381">
        <f t="shared" si="6"/>
        <v>0</v>
      </c>
      <c r="H53" s="542">
        <f t="shared" si="7"/>
        <v>0</v>
      </c>
      <c r="I53" s="37"/>
      <c r="J53" s="37"/>
      <c r="K53" s="37"/>
      <c r="L53" s="37"/>
      <c r="M53" s="37"/>
      <c r="N53" s="37"/>
      <c r="O53" s="37"/>
    </row>
    <row r="54" spans="2:15" ht="24" customHeight="1" x14ac:dyDescent="0.25">
      <c r="B54" s="455" t="s">
        <v>340</v>
      </c>
      <c r="C54" s="377">
        <f t="shared" si="2"/>
        <v>0</v>
      </c>
      <c r="D54" s="378">
        <f t="shared" si="4"/>
        <v>0</v>
      </c>
      <c r="E54" s="377">
        <f t="shared" si="3"/>
        <v>0</v>
      </c>
      <c r="F54" s="378">
        <f t="shared" si="5"/>
        <v>0</v>
      </c>
      <c r="G54" s="381">
        <f t="shared" si="6"/>
        <v>0</v>
      </c>
      <c r="H54" s="542">
        <f t="shared" si="7"/>
        <v>0</v>
      </c>
      <c r="I54" s="37"/>
      <c r="J54" s="37"/>
      <c r="K54" s="37"/>
      <c r="L54" s="37"/>
      <c r="M54" s="37"/>
      <c r="N54" s="37"/>
      <c r="O54" s="37"/>
    </row>
    <row r="55" spans="2:15" ht="24" customHeight="1" x14ac:dyDescent="0.25">
      <c r="B55" s="455" t="s">
        <v>339</v>
      </c>
      <c r="C55" s="377">
        <f t="shared" si="2"/>
        <v>36.399199999999993</v>
      </c>
      <c r="D55" s="378">
        <f t="shared" si="4"/>
        <v>3.7812539715726136E-3</v>
      </c>
      <c r="E55" s="377">
        <f t="shared" si="3"/>
        <v>0</v>
      </c>
      <c r="F55" s="378">
        <f t="shared" si="5"/>
        <v>0</v>
      </c>
      <c r="G55" s="381">
        <f t="shared" si="6"/>
        <v>1.4670860829136755E-2</v>
      </c>
      <c r="H55" s="542">
        <f t="shared" si="7"/>
        <v>0</v>
      </c>
      <c r="I55" s="37"/>
      <c r="J55" s="37"/>
      <c r="K55" s="37"/>
      <c r="L55" s="37"/>
      <c r="M55" s="37"/>
      <c r="N55" s="37"/>
      <c r="O55" s="37"/>
    </row>
    <row r="56" spans="2:15" ht="24" customHeight="1" thickBot="1" x14ac:dyDescent="0.35">
      <c r="B56" s="457" t="s">
        <v>344</v>
      </c>
      <c r="C56" s="458">
        <f>SUM(C48:C55)</f>
        <v>9626.2245999999996</v>
      </c>
      <c r="D56" s="553">
        <f>SUM(D48:D55)</f>
        <v>1.0000000000000002</v>
      </c>
      <c r="E56" s="459">
        <f>SUM(E48:E55)</f>
        <v>0.4965</v>
      </c>
      <c r="F56" s="553">
        <f>SUM(F48:F55)</f>
        <v>1</v>
      </c>
      <c r="G56" s="543"/>
      <c r="H56" s="580">
        <f t="shared" si="7"/>
        <v>3.555052894526462E-4</v>
      </c>
      <c r="I56" s="37"/>
      <c r="J56" s="37"/>
      <c r="K56" s="37"/>
      <c r="L56" s="37"/>
      <c r="M56" s="37"/>
      <c r="N56" s="37"/>
      <c r="O56" s="37"/>
    </row>
    <row r="57" spans="2:15" x14ac:dyDescent="0.25">
      <c r="B57" s="37"/>
      <c r="C57" s="37"/>
      <c r="E57" s="37"/>
      <c r="F57" s="37"/>
      <c r="G57" s="37"/>
      <c r="H57" s="37"/>
      <c r="I57" s="37"/>
      <c r="J57" s="37"/>
      <c r="K57" s="37"/>
      <c r="L57" s="37"/>
      <c r="M57" s="37"/>
      <c r="N57" s="37"/>
      <c r="O57" s="37"/>
    </row>
    <row r="58" spans="2:15" ht="42.65" customHeight="1" x14ac:dyDescent="0.25">
      <c r="B58" s="37"/>
      <c r="C58" s="37"/>
      <c r="E58" s="37"/>
      <c r="F58" s="37"/>
      <c r="G58" s="37"/>
      <c r="H58" s="37"/>
      <c r="I58" s="37"/>
      <c r="J58" s="37"/>
      <c r="K58" s="37"/>
      <c r="L58" s="37"/>
      <c r="M58" s="37"/>
      <c r="N58" s="37"/>
      <c r="O58" s="37"/>
    </row>
    <row r="59" spans="2:15" ht="42.65" customHeight="1" x14ac:dyDescent="0.25">
      <c r="B59" s="37"/>
      <c r="C59" s="37"/>
      <c r="E59" s="37"/>
      <c r="F59" s="37"/>
      <c r="G59" s="37"/>
      <c r="H59" s="37"/>
      <c r="I59" s="37"/>
      <c r="J59" s="37"/>
      <c r="K59" s="37"/>
      <c r="L59" s="37"/>
      <c r="M59" s="37"/>
      <c r="N59" s="37"/>
      <c r="O59" s="37"/>
    </row>
    <row r="60" spans="2:15" ht="42.65" customHeight="1" x14ac:dyDescent="0.25">
      <c r="B60" s="37"/>
      <c r="C60" s="37"/>
      <c r="E60" s="37"/>
      <c r="F60" s="37"/>
      <c r="G60" s="37"/>
      <c r="H60" s="37"/>
      <c r="I60" s="37"/>
      <c r="J60" s="37"/>
      <c r="K60" s="37"/>
      <c r="L60" s="37"/>
      <c r="M60" s="37"/>
      <c r="N60" s="37"/>
      <c r="O60" s="37"/>
    </row>
    <row r="61" spans="2:15" ht="42.65" customHeight="1" x14ac:dyDescent="0.25">
      <c r="B61" s="37"/>
      <c r="C61" s="37"/>
      <c r="E61" s="37"/>
      <c r="F61" s="37"/>
      <c r="G61" s="37"/>
      <c r="H61" s="37"/>
      <c r="I61" s="37"/>
      <c r="J61" s="37"/>
      <c r="K61" s="37"/>
      <c r="L61" s="37"/>
      <c r="M61" s="37"/>
      <c r="N61" s="37"/>
      <c r="O61" s="37"/>
    </row>
    <row r="62" spans="2:15" ht="42.65" customHeight="1" x14ac:dyDescent="0.25">
      <c r="B62" s="37"/>
      <c r="C62" s="37"/>
      <c r="E62" s="37"/>
      <c r="F62" s="37"/>
      <c r="G62" s="37"/>
      <c r="H62" s="37"/>
      <c r="I62" s="37"/>
      <c r="J62" s="37"/>
      <c r="K62" s="37"/>
      <c r="L62" s="37"/>
      <c r="M62" s="37"/>
      <c r="N62" s="37"/>
      <c r="O62" s="37"/>
    </row>
    <row r="63" spans="2:15" ht="42.65" customHeight="1" x14ac:dyDescent="0.25">
      <c r="B63" s="37"/>
      <c r="C63" s="37"/>
      <c r="E63" s="37"/>
      <c r="F63" s="37"/>
      <c r="G63" s="37"/>
      <c r="H63" s="37"/>
      <c r="I63" s="37"/>
      <c r="J63" s="37"/>
      <c r="K63" s="37"/>
      <c r="L63" s="37"/>
      <c r="M63" s="37"/>
      <c r="N63" s="37"/>
      <c r="O63" s="37"/>
    </row>
    <row r="64" spans="2:15" ht="42.65" customHeight="1" x14ac:dyDescent="0.25">
      <c r="B64" s="37"/>
      <c r="C64" s="37"/>
      <c r="E64" s="37"/>
      <c r="F64" s="37"/>
      <c r="G64" s="37"/>
      <c r="H64" s="37"/>
      <c r="I64" s="37"/>
      <c r="J64" s="37"/>
      <c r="K64" s="37"/>
      <c r="L64" s="37"/>
      <c r="M64" s="37"/>
      <c r="N64" s="37"/>
      <c r="O64" s="37"/>
    </row>
    <row r="65" spans="1:13" x14ac:dyDescent="0.25">
      <c r="B65" s="38"/>
      <c r="C65" s="38"/>
      <c r="D65" s="37"/>
      <c r="E65" s="37"/>
      <c r="F65" s="371"/>
      <c r="G65" s="371"/>
      <c r="H65" s="371"/>
      <c r="I65" s="371"/>
      <c r="J65" s="37"/>
      <c r="K65" s="37"/>
    </row>
    <row r="66" spans="1:13" s="383" customFormat="1" ht="27.65" customHeight="1" x14ac:dyDescent="0.35">
      <c r="A66" s="382"/>
      <c r="B66" s="306" t="s">
        <v>461</v>
      </c>
      <c r="D66" s="384"/>
      <c r="E66" s="384"/>
      <c r="F66" s="384"/>
      <c r="G66" s="384"/>
      <c r="H66" s="384"/>
      <c r="I66" s="384"/>
      <c r="J66" s="384"/>
      <c r="K66" s="384"/>
      <c r="L66" s="384"/>
      <c r="M66" s="384"/>
    </row>
    <row r="67" spans="1:13" s="404" customFormat="1" ht="19.5" customHeight="1" x14ac:dyDescent="0.35">
      <c r="A67" s="403"/>
      <c r="B67" s="386" t="s">
        <v>462</v>
      </c>
      <c r="D67" s="405"/>
      <c r="E67" s="405"/>
      <c r="F67" s="405"/>
      <c r="G67" s="405"/>
      <c r="H67" s="405"/>
      <c r="I67" s="405"/>
      <c r="J67" s="405"/>
      <c r="K67" s="405"/>
      <c r="L67" s="405"/>
      <c r="M67" s="405"/>
    </row>
    <row r="68" spans="1:13" ht="13" thickBot="1" x14ac:dyDescent="0.3">
      <c r="B68" s="37"/>
      <c r="C68" s="37"/>
      <c r="D68" s="37"/>
      <c r="E68" s="37"/>
      <c r="F68" s="37"/>
      <c r="G68" s="37"/>
      <c r="H68" s="37"/>
      <c r="I68" s="37"/>
      <c r="J68" s="37"/>
      <c r="K68" s="37"/>
      <c r="L68" s="37"/>
      <c r="M68" s="37"/>
    </row>
    <row r="69" spans="1:13" s="366" customFormat="1" ht="39.65" customHeight="1" x14ac:dyDescent="0.25">
      <c r="B69" s="493" t="s">
        <v>137</v>
      </c>
      <c r="C69" s="494" t="s">
        <v>320</v>
      </c>
      <c r="D69" s="494" t="s">
        <v>321</v>
      </c>
      <c r="E69" s="494" t="s">
        <v>322</v>
      </c>
      <c r="F69" s="494" t="s">
        <v>323</v>
      </c>
      <c r="G69" s="494" t="s">
        <v>10</v>
      </c>
      <c r="H69" s="494" t="s">
        <v>324</v>
      </c>
      <c r="I69" s="494" t="s">
        <v>325</v>
      </c>
      <c r="J69" s="494" t="s">
        <v>326</v>
      </c>
      <c r="K69" s="495" t="s">
        <v>327</v>
      </c>
      <c r="M69" s="37"/>
    </row>
    <row r="70" spans="1:13" ht="37.5" x14ac:dyDescent="0.25">
      <c r="B70" s="806" t="s">
        <v>296</v>
      </c>
      <c r="C70" s="390" t="s">
        <v>148</v>
      </c>
      <c r="D70" s="390" t="s">
        <v>167</v>
      </c>
      <c r="E70" s="390" t="s">
        <v>168</v>
      </c>
      <c r="F70" s="390">
        <v>65</v>
      </c>
      <c r="G70" s="390" t="s">
        <v>25</v>
      </c>
      <c r="H70" s="391"/>
      <c r="I70" s="390">
        <v>0.67220000000000002</v>
      </c>
      <c r="J70" s="390"/>
      <c r="K70" s="496" t="s">
        <v>339</v>
      </c>
      <c r="M70" s="37"/>
    </row>
    <row r="71" spans="1:13" ht="25" x14ac:dyDescent="0.25">
      <c r="B71" s="806"/>
      <c r="C71" s="390" t="s">
        <v>149</v>
      </c>
      <c r="D71" s="390" t="s">
        <v>169</v>
      </c>
      <c r="E71" s="390" t="s">
        <v>170</v>
      </c>
      <c r="F71" s="390">
        <v>4203</v>
      </c>
      <c r="G71" s="390" t="s">
        <v>171</v>
      </c>
      <c r="H71" s="391"/>
      <c r="I71" s="390">
        <v>16.6021</v>
      </c>
      <c r="J71" s="390"/>
      <c r="K71" s="496" t="s">
        <v>328</v>
      </c>
      <c r="M71" s="37"/>
    </row>
    <row r="72" spans="1:13" ht="25" x14ac:dyDescent="0.25">
      <c r="B72" s="806"/>
      <c r="C72" s="390" t="s">
        <v>151</v>
      </c>
      <c r="D72" s="390" t="s">
        <v>189</v>
      </c>
      <c r="E72" s="390" t="s">
        <v>747</v>
      </c>
      <c r="F72" s="390">
        <v>422</v>
      </c>
      <c r="G72" s="390" t="s">
        <v>187</v>
      </c>
      <c r="H72" s="391"/>
      <c r="I72" s="390">
        <v>0.17069999999999999</v>
      </c>
      <c r="J72" s="390"/>
      <c r="K72" s="496" t="s">
        <v>339</v>
      </c>
      <c r="M72" s="37"/>
    </row>
    <row r="73" spans="1:13" ht="25" x14ac:dyDescent="0.25">
      <c r="B73" s="806"/>
      <c r="C73" s="390" t="s">
        <v>157</v>
      </c>
      <c r="D73" s="390" t="s">
        <v>172</v>
      </c>
      <c r="E73" s="390" t="s">
        <v>173</v>
      </c>
      <c r="F73" s="390">
        <v>32</v>
      </c>
      <c r="G73" s="390" t="s">
        <v>171</v>
      </c>
      <c r="H73" s="391"/>
      <c r="I73" s="390">
        <v>8.1770999999999994</v>
      </c>
      <c r="J73" s="390"/>
      <c r="K73" s="496" t="s">
        <v>338</v>
      </c>
      <c r="M73" s="37"/>
    </row>
    <row r="74" spans="1:13" ht="25" x14ac:dyDescent="0.25">
      <c r="B74" s="806"/>
      <c r="C74" s="390" t="s">
        <v>157</v>
      </c>
      <c r="D74" s="390" t="s">
        <v>172</v>
      </c>
      <c r="E74" s="390" t="s">
        <v>174</v>
      </c>
      <c r="F74" s="390">
        <v>330</v>
      </c>
      <c r="G74" s="390" t="s">
        <v>171</v>
      </c>
      <c r="H74" s="391"/>
      <c r="I74" s="390">
        <v>86.805199999999999</v>
      </c>
      <c r="J74" s="390"/>
      <c r="K74" s="496" t="s">
        <v>338</v>
      </c>
      <c r="M74" s="37"/>
    </row>
    <row r="75" spans="1:13" ht="25" x14ac:dyDescent="0.25">
      <c r="B75" s="806"/>
      <c r="C75" s="390" t="s">
        <v>157</v>
      </c>
      <c r="D75" s="390" t="s">
        <v>172</v>
      </c>
      <c r="E75" s="390" t="s">
        <v>174</v>
      </c>
      <c r="F75" s="390">
        <v>728</v>
      </c>
      <c r="G75" s="390" t="s">
        <v>171</v>
      </c>
      <c r="H75" s="391"/>
      <c r="I75" s="390">
        <v>191.49760000000001</v>
      </c>
      <c r="J75" s="390"/>
      <c r="K75" s="496" t="s">
        <v>338</v>
      </c>
      <c r="M75" s="37"/>
    </row>
    <row r="76" spans="1:13" ht="25" x14ac:dyDescent="0.25">
      <c r="B76" s="806"/>
      <c r="C76" s="390" t="s">
        <v>157</v>
      </c>
      <c r="D76" s="390" t="s">
        <v>172</v>
      </c>
      <c r="E76" s="390" t="s">
        <v>174</v>
      </c>
      <c r="F76" s="390">
        <v>240</v>
      </c>
      <c r="G76" s="390" t="s">
        <v>171</v>
      </c>
      <c r="H76" s="391"/>
      <c r="I76" s="390">
        <v>63.131100000000004</v>
      </c>
      <c r="J76" s="390"/>
      <c r="K76" s="496" t="s">
        <v>338</v>
      </c>
      <c r="M76" s="37"/>
    </row>
    <row r="77" spans="1:13" ht="25" x14ac:dyDescent="0.25">
      <c r="B77" s="806"/>
      <c r="C77" s="390" t="s">
        <v>157</v>
      </c>
      <c r="D77" s="390" t="s">
        <v>172</v>
      </c>
      <c r="E77" s="390" t="s">
        <v>174</v>
      </c>
      <c r="F77" s="390">
        <v>42</v>
      </c>
      <c r="G77" s="390" t="s">
        <v>171</v>
      </c>
      <c r="H77" s="391"/>
      <c r="I77" s="390">
        <v>11.0479</v>
      </c>
      <c r="J77" s="390"/>
      <c r="K77" s="496" t="s">
        <v>338</v>
      </c>
      <c r="M77" s="37"/>
    </row>
    <row r="78" spans="1:13" ht="25" x14ac:dyDescent="0.25">
      <c r="B78" s="806"/>
      <c r="C78" s="390" t="s">
        <v>161</v>
      </c>
      <c r="D78" s="390" t="s">
        <v>190</v>
      </c>
      <c r="E78" s="390" t="s">
        <v>193</v>
      </c>
      <c r="F78" s="390">
        <v>1636</v>
      </c>
      <c r="G78" s="390" t="s">
        <v>192</v>
      </c>
      <c r="H78" s="391">
        <v>0.12</v>
      </c>
      <c r="I78" s="390">
        <v>1.1141000000000001</v>
      </c>
      <c r="J78" s="390">
        <v>0.13370000000000001</v>
      </c>
      <c r="K78" s="496" t="s">
        <v>337</v>
      </c>
      <c r="M78" s="37"/>
    </row>
    <row r="79" spans="1:13" ht="25" x14ac:dyDescent="0.25">
      <c r="B79" s="806"/>
      <c r="C79" s="390" t="s">
        <v>161</v>
      </c>
      <c r="D79" s="390" t="s">
        <v>190</v>
      </c>
      <c r="E79" s="390" t="s">
        <v>191</v>
      </c>
      <c r="F79" s="390">
        <v>1578</v>
      </c>
      <c r="G79" s="390" t="s">
        <v>192</v>
      </c>
      <c r="H79" s="391"/>
      <c r="I79" s="390">
        <v>0.41499999999999998</v>
      </c>
      <c r="J79" s="390"/>
      <c r="K79" s="496" t="s">
        <v>337</v>
      </c>
      <c r="M79" s="37"/>
    </row>
    <row r="80" spans="1:13" ht="25" x14ac:dyDescent="0.25">
      <c r="B80" s="806"/>
      <c r="C80" s="390" t="s">
        <v>157</v>
      </c>
      <c r="D80" s="390" t="s">
        <v>172</v>
      </c>
      <c r="E80" s="390" t="s">
        <v>361</v>
      </c>
      <c r="F80" s="390">
        <v>14</v>
      </c>
      <c r="G80" s="390" t="s">
        <v>175</v>
      </c>
      <c r="H80" s="391"/>
      <c r="I80" s="390">
        <v>40.0946</v>
      </c>
      <c r="J80" s="390"/>
      <c r="K80" s="496" t="s">
        <v>338</v>
      </c>
      <c r="M80" s="37"/>
    </row>
    <row r="81" spans="2:13" ht="25" x14ac:dyDescent="0.25">
      <c r="B81" s="806"/>
      <c r="C81" s="390" t="s">
        <v>157</v>
      </c>
      <c r="D81" s="390" t="s">
        <v>172</v>
      </c>
      <c r="E81" s="390" t="s">
        <v>271</v>
      </c>
      <c r="F81" s="390">
        <v>1155</v>
      </c>
      <c r="G81" s="390" t="s">
        <v>175</v>
      </c>
      <c r="H81" s="391"/>
      <c r="I81" s="390">
        <v>4016.6136000000001</v>
      </c>
      <c r="J81" s="390"/>
      <c r="K81" s="496" t="s">
        <v>338</v>
      </c>
      <c r="M81" s="37"/>
    </row>
    <row r="82" spans="2:13" ht="25" x14ac:dyDescent="0.25">
      <c r="B82" s="806"/>
      <c r="C82" s="390" t="s">
        <v>157</v>
      </c>
      <c r="D82" s="390" t="s">
        <v>172</v>
      </c>
      <c r="E82" s="390" t="s">
        <v>368</v>
      </c>
      <c r="F82" s="390">
        <v>7</v>
      </c>
      <c r="G82" s="390" t="s">
        <v>175</v>
      </c>
      <c r="H82" s="391"/>
      <c r="I82" s="390">
        <v>40.491</v>
      </c>
      <c r="J82" s="390"/>
      <c r="K82" s="496" t="s">
        <v>338</v>
      </c>
      <c r="M82" s="37"/>
    </row>
    <row r="83" spans="2:13" ht="25" x14ac:dyDescent="0.25">
      <c r="B83" s="806"/>
      <c r="C83" s="390" t="s">
        <v>157</v>
      </c>
      <c r="D83" s="390" t="s">
        <v>176</v>
      </c>
      <c r="E83" s="390" t="s">
        <v>177</v>
      </c>
      <c r="F83" s="390">
        <v>243</v>
      </c>
      <c r="G83" s="390" t="s">
        <v>178</v>
      </c>
      <c r="H83" s="391"/>
      <c r="I83" s="390">
        <v>146.59610000000001</v>
      </c>
      <c r="J83" s="390"/>
      <c r="K83" s="496" t="s">
        <v>330</v>
      </c>
      <c r="M83" s="37"/>
    </row>
    <row r="84" spans="2:13" ht="37.5" x14ac:dyDescent="0.25">
      <c r="B84" s="806"/>
      <c r="C84" s="390" t="s">
        <v>152</v>
      </c>
      <c r="D84" s="390" t="s">
        <v>265</v>
      </c>
      <c r="E84" s="390" t="s">
        <v>266</v>
      </c>
      <c r="F84" s="390">
        <v>48</v>
      </c>
      <c r="G84" s="390" t="s">
        <v>25</v>
      </c>
      <c r="H84" s="391"/>
      <c r="I84" s="390">
        <v>0.35270000000000001</v>
      </c>
      <c r="J84" s="390"/>
      <c r="K84" s="496" t="s">
        <v>330</v>
      </c>
      <c r="M84" s="37"/>
    </row>
    <row r="85" spans="2:13" ht="25" x14ac:dyDescent="0.25">
      <c r="B85" s="806"/>
      <c r="C85" s="390" t="s">
        <v>155</v>
      </c>
      <c r="D85" s="390" t="s">
        <v>179</v>
      </c>
      <c r="E85" s="390" t="s">
        <v>253</v>
      </c>
      <c r="F85" s="390">
        <v>2490</v>
      </c>
      <c r="G85" s="390" t="s">
        <v>25</v>
      </c>
      <c r="H85" s="391"/>
      <c r="I85" s="390">
        <v>15.0595</v>
      </c>
      <c r="J85" s="390"/>
      <c r="K85" s="496" t="s">
        <v>339</v>
      </c>
      <c r="M85" s="37"/>
    </row>
    <row r="86" spans="2:13" ht="25" x14ac:dyDescent="0.25">
      <c r="B86" s="806"/>
      <c r="C86" s="390" t="s">
        <v>148</v>
      </c>
      <c r="D86" s="390" t="s">
        <v>167</v>
      </c>
      <c r="E86" s="390" t="s">
        <v>267</v>
      </c>
      <c r="F86" s="390">
        <v>156</v>
      </c>
      <c r="G86" s="390" t="s">
        <v>25</v>
      </c>
      <c r="H86" s="391"/>
      <c r="I86" s="390">
        <v>1.5949</v>
      </c>
      <c r="J86" s="390"/>
      <c r="K86" s="496" t="s">
        <v>339</v>
      </c>
      <c r="M86" s="37"/>
    </row>
    <row r="87" spans="2:13" ht="37.5" x14ac:dyDescent="0.25">
      <c r="B87" s="806"/>
      <c r="C87" s="390" t="s">
        <v>148</v>
      </c>
      <c r="D87" s="390" t="s">
        <v>180</v>
      </c>
      <c r="E87" s="390" t="s">
        <v>181</v>
      </c>
      <c r="F87" s="390">
        <v>4</v>
      </c>
      <c r="G87" s="390" t="s">
        <v>175</v>
      </c>
      <c r="H87" s="391"/>
      <c r="I87" s="390">
        <v>2.1627000000000001</v>
      </c>
      <c r="J87" s="390"/>
      <c r="K87" s="496" t="s">
        <v>338</v>
      </c>
      <c r="M87" s="37"/>
    </row>
    <row r="88" spans="2:13" ht="25" x14ac:dyDescent="0.25">
      <c r="B88" s="806"/>
      <c r="C88" s="390" t="s">
        <v>148</v>
      </c>
      <c r="D88" s="390" t="s">
        <v>180</v>
      </c>
      <c r="E88" s="390" t="s">
        <v>188</v>
      </c>
      <c r="F88" s="390">
        <v>4</v>
      </c>
      <c r="G88" s="390" t="s">
        <v>175</v>
      </c>
      <c r="H88" s="391"/>
      <c r="I88" s="390">
        <v>10.036099999999999</v>
      </c>
      <c r="J88" s="390"/>
      <c r="K88" s="496" t="s">
        <v>338</v>
      </c>
      <c r="M88" s="37"/>
    </row>
    <row r="89" spans="2:13" ht="37.5" x14ac:dyDescent="0.25">
      <c r="B89" s="806"/>
      <c r="C89" s="390" t="s">
        <v>148</v>
      </c>
      <c r="D89" s="390" t="s">
        <v>182</v>
      </c>
      <c r="E89" s="390" t="s">
        <v>268</v>
      </c>
      <c r="F89" s="390">
        <v>157</v>
      </c>
      <c r="G89" s="390" t="s">
        <v>25</v>
      </c>
      <c r="H89" s="391"/>
      <c r="I89" s="390">
        <v>7.0994999999999999</v>
      </c>
      <c r="J89" s="390"/>
      <c r="K89" s="496" t="s">
        <v>338</v>
      </c>
      <c r="M89" s="37"/>
    </row>
    <row r="90" spans="2:13" s="393" customFormat="1" ht="25" customHeight="1" x14ac:dyDescent="0.25">
      <c r="B90" s="806"/>
      <c r="C90" s="390" t="s">
        <v>147</v>
      </c>
      <c r="D90" s="390" t="s">
        <v>183</v>
      </c>
      <c r="E90" s="390" t="s">
        <v>184</v>
      </c>
      <c r="F90" s="390">
        <v>156</v>
      </c>
      <c r="G90" s="390" t="s">
        <v>25</v>
      </c>
      <c r="H90" s="391"/>
      <c r="I90" s="390">
        <v>9.5972000000000008</v>
      </c>
      <c r="J90" s="390"/>
      <c r="K90" s="496" t="s">
        <v>330</v>
      </c>
      <c r="M90" s="335"/>
    </row>
    <row r="91" spans="2:13" ht="37.5" x14ac:dyDescent="0.25">
      <c r="B91" s="806"/>
      <c r="C91" s="390" t="s">
        <v>152</v>
      </c>
      <c r="D91" s="390" t="s">
        <v>185</v>
      </c>
      <c r="E91" s="390" t="s">
        <v>186</v>
      </c>
      <c r="F91" s="390">
        <v>1405</v>
      </c>
      <c r="G91" s="390" t="s">
        <v>187</v>
      </c>
      <c r="H91" s="391"/>
      <c r="I91" s="390">
        <v>0.73060000000000003</v>
      </c>
      <c r="J91" s="390"/>
      <c r="K91" s="496" t="s">
        <v>339</v>
      </c>
    </row>
    <row r="92" spans="2:13" ht="37.5" x14ac:dyDescent="0.25">
      <c r="B92" s="806"/>
      <c r="C92" s="390" t="s">
        <v>152</v>
      </c>
      <c r="D92" s="390" t="s">
        <v>185</v>
      </c>
      <c r="E92" s="390" t="s">
        <v>186</v>
      </c>
      <c r="F92" s="390">
        <v>491</v>
      </c>
      <c r="G92" s="390" t="s">
        <v>187</v>
      </c>
      <c r="H92" s="391"/>
      <c r="I92" s="390">
        <v>0.25530000000000003</v>
      </c>
      <c r="J92" s="390"/>
      <c r="K92" s="496" t="s">
        <v>339</v>
      </c>
      <c r="M92" s="37"/>
    </row>
    <row r="93" spans="2:13" ht="21" customHeight="1" x14ac:dyDescent="0.25">
      <c r="B93" s="502" t="s">
        <v>344</v>
      </c>
      <c r="C93" s="428"/>
      <c r="D93" s="428"/>
      <c r="E93" s="428"/>
      <c r="F93" s="428"/>
      <c r="G93" s="428"/>
      <c r="H93" s="490"/>
      <c r="I93" s="491">
        <f>SUM(I70:I92)</f>
        <v>4670.3168000000005</v>
      </c>
      <c r="J93" s="492">
        <f>SUM(J70:J92)</f>
        <v>0.13370000000000001</v>
      </c>
      <c r="K93" s="497" t="s">
        <v>90</v>
      </c>
    </row>
    <row r="94" spans="2:13" ht="37.5" x14ac:dyDescent="0.25">
      <c r="B94" s="806" t="s">
        <v>299</v>
      </c>
      <c r="C94" s="390" t="s">
        <v>148</v>
      </c>
      <c r="D94" s="390" t="s">
        <v>167</v>
      </c>
      <c r="E94" s="390" t="s">
        <v>168</v>
      </c>
      <c r="F94" s="390">
        <v>114</v>
      </c>
      <c r="G94" s="390" t="s">
        <v>25</v>
      </c>
      <c r="H94" s="391"/>
      <c r="I94" s="390">
        <v>1.1789000000000001</v>
      </c>
      <c r="J94" s="390"/>
      <c r="K94" s="496" t="s">
        <v>339</v>
      </c>
      <c r="M94" s="37"/>
    </row>
    <row r="95" spans="2:13" ht="25" x14ac:dyDescent="0.25">
      <c r="B95" s="806"/>
      <c r="C95" s="390" t="s">
        <v>149</v>
      </c>
      <c r="D95" s="390" t="s">
        <v>169</v>
      </c>
      <c r="E95" s="390" t="s">
        <v>170</v>
      </c>
      <c r="F95" s="390">
        <v>5458</v>
      </c>
      <c r="G95" s="390" t="s">
        <v>171</v>
      </c>
      <c r="H95" s="391"/>
      <c r="I95" s="390">
        <v>21.5594</v>
      </c>
      <c r="J95" s="390"/>
      <c r="K95" s="496" t="s">
        <v>328</v>
      </c>
      <c r="M95" s="37"/>
    </row>
    <row r="96" spans="2:13" ht="25" x14ac:dyDescent="0.25">
      <c r="B96" s="806"/>
      <c r="C96" s="390" t="s">
        <v>157</v>
      </c>
      <c r="D96" s="390" t="s">
        <v>172</v>
      </c>
      <c r="E96" s="390" t="s">
        <v>173</v>
      </c>
      <c r="F96" s="390">
        <v>13</v>
      </c>
      <c r="G96" s="390" t="s">
        <v>171</v>
      </c>
      <c r="H96" s="391"/>
      <c r="I96" s="390">
        <v>3.3218999999999999</v>
      </c>
      <c r="J96" s="390"/>
      <c r="K96" s="496" t="s">
        <v>338</v>
      </c>
      <c r="M96" s="37"/>
    </row>
    <row r="97" spans="2:13" ht="25" x14ac:dyDescent="0.25">
      <c r="B97" s="806"/>
      <c r="C97" s="390" t="s">
        <v>157</v>
      </c>
      <c r="D97" s="390" t="s">
        <v>172</v>
      </c>
      <c r="E97" s="390" t="s">
        <v>174</v>
      </c>
      <c r="F97" s="390">
        <v>172</v>
      </c>
      <c r="G97" s="390" t="s">
        <v>171</v>
      </c>
      <c r="H97" s="391"/>
      <c r="I97" s="390">
        <v>45.243899999999996</v>
      </c>
      <c r="J97" s="390"/>
      <c r="K97" s="496" t="s">
        <v>338</v>
      </c>
      <c r="M97" s="37"/>
    </row>
    <row r="98" spans="2:13" ht="25" x14ac:dyDescent="0.25">
      <c r="B98" s="806"/>
      <c r="C98" s="390" t="s">
        <v>157</v>
      </c>
      <c r="D98" s="390" t="s">
        <v>172</v>
      </c>
      <c r="E98" s="390" t="s">
        <v>174</v>
      </c>
      <c r="F98" s="390">
        <v>341</v>
      </c>
      <c r="G98" s="390" t="s">
        <v>171</v>
      </c>
      <c r="H98" s="391"/>
      <c r="I98" s="390">
        <v>89.698800000000006</v>
      </c>
      <c r="J98" s="390"/>
      <c r="K98" s="496" t="s">
        <v>338</v>
      </c>
      <c r="M98" s="37"/>
    </row>
    <row r="99" spans="2:13" ht="25" x14ac:dyDescent="0.25">
      <c r="B99" s="806"/>
      <c r="C99" s="390" t="s">
        <v>157</v>
      </c>
      <c r="D99" s="390" t="s">
        <v>172</v>
      </c>
      <c r="E99" s="390" t="s">
        <v>174</v>
      </c>
      <c r="F99" s="390">
        <v>3</v>
      </c>
      <c r="G99" s="390" t="s">
        <v>171</v>
      </c>
      <c r="H99" s="391"/>
      <c r="I99" s="390">
        <v>0.78910000000000002</v>
      </c>
      <c r="J99" s="390"/>
      <c r="K99" s="496" t="s">
        <v>338</v>
      </c>
      <c r="M99" s="37"/>
    </row>
    <row r="100" spans="2:13" ht="25" x14ac:dyDescent="0.25">
      <c r="B100" s="806"/>
      <c r="C100" s="390" t="s">
        <v>157</v>
      </c>
      <c r="D100" s="390" t="s">
        <v>172</v>
      </c>
      <c r="E100" s="390" t="s">
        <v>174</v>
      </c>
      <c r="F100" s="390">
        <v>24</v>
      </c>
      <c r="G100" s="390" t="s">
        <v>171</v>
      </c>
      <c r="H100" s="391"/>
      <c r="I100" s="390">
        <v>6.3131000000000004</v>
      </c>
      <c r="J100" s="390"/>
      <c r="K100" s="496" t="s">
        <v>338</v>
      </c>
      <c r="M100" s="37"/>
    </row>
    <row r="101" spans="2:13" ht="25" x14ac:dyDescent="0.25">
      <c r="B101" s="806"/>
      <c r="C101" s="390" t="s">
        <v>157</v>
      </c>
      <c r="D101" s="390" t="s">
        <v>172</v>
      </c>
      <c r="E101" s="390" t="s">
        <v>271</v>
      </c>
      <c r="F101" s="390">
        <v>122</v>
      </c>
      <c r="G101" s="390" t="s">
        <v>175</v>
      </c>
      <c r="H101" s="391"/>
      <c r="I101" s="390">
        <v>424.26569999999998</v>
      </c>
      <c r="J101" s="390"/>
      <c r="K101" s="496" t="s">
        <v>338</v>
      </c>
      <c r="M101" s="37"/>
    </row>
    <row r="102" spans="2:13" ht="25" x14ac:dyDescent="0.25">
      <c r="B102" s="806"/>
      <c r="C102" s="390" t="s">
        <v>157</v>
      </c>
      <c r="D102" s="390" t="s">
        <v>172</v>
      </c>
      <c r="E102" s="390" t="s">
        <v>270</v>
      </c>
      <c r="F102" s="390">
        <v>20</v>
      </c>
      <c r="G102" s="390" t="s">
        <v>175</v>
      </c>
      <c r="H102" s="391"/>
      <c r="I102" s="390">
        <v>7.3731</v>
      </c>
      <c r="J102" s="390"/>
      <c r="K102" s="496" t="s">
        <v>338</v>
      </c>
      <c r="M102" s="37"/>
    </row>
    <row r="103" spans="2:13" ht="25" x14ac:dyDescent="0.25">
      <c r="B103" s="806"/>
      <c r="C103" s="390" t="s">
        <v>157</v>
      </c>
      <c r="D103" s="390" t="s">
        <v>176</v>
      </c>
      <c r="E103" s="390" t="s">
        <v>177</v>
      </c>
      <c r="F103" s="390">
        <v>63</v>
      </c>
      <c r="G103" s="390" t="s">
        <v>178</v>
      </c>
      <c r="H103" s="391"/>
      <c r="I103" s="390">
        <v>38.006399999999999</v>
      </c>
      <c r="J103" s="390"/>
      <c r="K103" s="496" t="s">
        <v>330</v>
      </c>
      <c r="M103" s="37"/>
    </row>
    <row r="104" spans="2:13" ht="37.5" x14ac:dyDescent="0.25">
      <c r="B104" s="806"/>
      <c r="C104" s="390" t="s">
        <v>152</v>
      </c>
      <c r="D104" s="390" t="s">
        <v>265</v>
      </c>
      <c r="E104" s="390" t="s">
        <v>266</v>
      </c>
      <c r="F104" s="390">
        <v>40</v>
      </c>
      <c r="G104" s="390" t="s">
        <v>25</v>
      </c>
      <c r="H104" s="391"/>
      <c r="I104" s="390">
        <v>0.29389999999999999</v>
      </c>
      <c r="J104" s="390"/>
      <c r="K104" s="496" t="s">
        <v>330</v>
      </c>
      <c r="M104" s="37"/>
    </row>
    <row r="105" spans="2:13" ht="25" x14ac:dyDescent="0.25">
      <c r="B105" s="806"/>
      <c r="C105" s="390" t="s">
        <v>155</v>
      </c>
      <c r="D105" s="390" t="s">
        <v>179</v>
      </c>
      <c r="E105" s="390" t="s">
        <v>253</v>
      </c>
      <c r="F105" s="390">
        <v>792</v>
      </c>
      <c r="G105" s="390" t="s">
        <v>25</v>
      </c>
      <c r="H105" s="391"/>
      <c r="I105" s="390">
        <v>4.79</v>
      </c>
      <c r="J105" s="390"/>
      <c r="K105" s="496" t="s">
        <v>339</v>
      </c>
      <c r="M105" s="37"/>
    </row>
    <row r="106" spans="2:13" ht="37.5" x14ac:dyDescent="0.25">
      <c r="B106" s="806"/>
      <c r="C106" s="390" t="s">
        <v>148</v>
      </c>
      <c r="D106" s="390" t="s">
        <v>180</v>
      </c>
      <c r="E106" s="390" t="s">
        <v>181</v>
      </c>
      <c r="F106" s="390">
        <v>6</v>
      </c>
      <c r="G106" s="390" t="s">
        <v>175</v>
      </c>
      <c r="H106" s="391"/>
      <c r="I106" s="390">
        <v>3.2440000000000002</v>
      </c>
      <c r="J106" s="390"/>
      <c r="K106" s="496" t="s">
        <v>338</v>
      </c>
      <c r="M106" s="37"/>
    </row>
    <row r="107" spans="2:13" ht="25" x14ac:dyDescent="0.25">
      <c r="B107" s="806"/>
      <c r="C107" s="390" t="s">
        <v>148</v>
      </c>
      <c r="D107" s="390" t="s">
        <v>180</v>
      </c>
      <c r="E107" s="390" t="s">
        <v>188</v>
      </c>
      <c r="F107" s="390">
        <v>2</v>
      </c>
      <c r="G107" s="390" t="s">
        <v>175</v>
      </c>
      <c r="H107" s="391"/>
      <c r="I107" s="390">
        <v>5.0179999999999998</v>
      </c>
      <c r="J107" s="390"/>
      <c r="K107" s="496" t="s">
        <v>338</v>
      </c>
      <c r="M107" s="37"/>
    </row>
    <row r="108" spans="2:13" s="393" customFormat="1" ht="25" customHeight="1" x14ac:dyDescent="0.25">
      <c r="B108" s="806"/>
      <c r="C108" s="390" t="s">
        <v>148</v>
      </c>
      <c r="D108" s="390" t="s">
        <v>182</v>
      </c>
      <c r="E108" s="390" t="s">
        <v>268</v>
      </c>
      <c r="F108" s="390">
        <v>75</v>
      </c>
      <c r="G108" s="390" t="s">
        <v>25</v>
      </c>
      <c r="H108" s="391"/>
      <c r="I108" s="390">
        <v>3.3915000000000002</v>
      </c>
      <c r="J108" s="390"/>
      <c r="K108" s="496" t="s">
        <v>338</v>
      </c>
      <c r="M108" s="335"/>
    </row>
    <row r="109" spans="2:13" ht="39.65" customHeight="1" x14ac:dyDescent="0.25">
      <c r="B109" s="806"/>
      <c r="C109" s="390" t="s">
        <v>147</v>
      </c>
      <c r="D109" s="390" t="s">
        <v>183</v>
      </c>
      <c r="E109" s="390" t="s">
        <v>184</v>
      </c>
      <c r="F109" s="390">
        <v>33</v>
      </c>
      <c r="G109" s="390" t="s">
        <v>25</v>
      </c>
      <c r="H109" s="391"/>
      <c r="I109" s="390">
        <v>2.0301999999999998</v>
      </c>
      <c r="J109" s="390"/>
      <c r="K109" s="496" t="s">
        <v>330</v>
      </c>
    </row>
    <row r="110" spans="2:13" ht="37.5" x14ac:dyDescent="0.25">
      <c r="B110" s="806"/>
      <c r="C110" s="390" t="s">
        <v>152</v>
      </c>
      <c r="D110" s="390" t="s">
        <v>185</v>
      </c>
      <c r="E110" s="390" t="s">
        <v>186</v>
      </c>
      <c r="F110" s="390">
        <v>272</v>
      </c>
      <c r="G110" s="390" t="s">
        <v>187</v>
      </c>
      <c r="H110" s="391"/>
      <c r="I110" s="390">
        <v>0.1414</v>
      </c>
      <c r="J110" s="390"/>
      <c r="K110" s="496" t="s">
        <v>339</v>
      </c>
    </row>
    <row r="111" spans="2:13" ht="37.5" x14ac:dyDescent="0.25">
      <c r="B111" s="806"/>
      <c r="C111" s="390" t="s">
        <v>152</v>
      </c>
      <c r="D111" s="390" t="s">
        <v>185</v>
      </c>
      <c r="E111" s="390" t="s">
        <v>186</v>
      </c>
      <c r="F111" s="390">
        <v>401</v>
      </c>
      <c r="G111" s="390" t="s">
        <v>187</v>
      </c>
      <c r="H111" s="391"/>
      <c r="I111" s="390">
        <v>0.20849999999999999</v>
      </c>
      <c r="J111" s="390"/>
      <c r="K111" s="496" t="s">
        <v>339</v>
      </c>
    </row>
    <row r="112" spans="2:13" ht="26.15" customHeight="1" x14ac:dyDescent="0.25">
      <c r="B112" s="806"/>
      <c r="C112" s="390" t="s">
        <v>161</v>
      </c>
      <c r="D112" s="390" t="s">
        <v>190</v>
      </c>
      <c r="E112" s="390" t="s">
        <v>193</v>
      </c>
      <c r="F112" s="390">
        <v>1503</v>
      </c>
      <c r="G112" s="390" t="s">
        <v>192</v>
      </c>
      <c r="H112" s="391">
        <v>0.12</v>
      </c>
      <c r="I112" s="390">
        <v>1.0235000000000001</v>
      </c>
      <c r="J112" s="390">
        <v>0.12280000000000001</v>
      </c>
      <c r="K112" s="496" t="s">
        <v>337</v>
      </c>
    </row>
    <row r="113" spans="2:13" ht="25" x14ac:dyDescent="0.25">
      <c r="B113" s="806"/>
      <c r="C113" s="390" t="s">
        <v>161</v>
      </c>
      <c r="D113" s="390" t="s">
        <v>190</v>
      </c>
      <c r="E113" s="390" t="s">
        <v>191</v>
      </c>
      <c r="F113" s="390">
        <v>1450</v>
      </c>
      <c r="G113" s="390" t="s">
        <v>192</v>
      </c>
      <c r="H113" s="391"/>
      <c r="I113" s="390">
        <v>0.38140000000000002</v>
      </c>
      <c r="J113" s="390"/>
      <c r="K113" s="496" t="s">
        <v>337</v>
      </c>
      <c r="M113" s="37"/>
    </row>
    <row r="114" spans="2:13" ht="21" customHeight="1" x14ac:dyDescent="0.25">
      <c r="B114" s="514"/>
      <c r="C114" s="428" t="s">
        <v>344</v>
      </c>
      <c r="D114" s="428"/>
      <c r="E114" s="428"/>
      <c r="F114" s="428"/>
      <c r="G114" s="428"/>
      <c r="H114" s="490"/>
      <c r="I114" s="491">
        <f>SUM(I94:I113)</f>
        <v>658.27269999999987</v>
      </c>
      <c r="J114" s="492">
        <f>SUM(J94:J113)</f>
        <v>0.12280000000000001</v>
      </c>
      <c r="K114" s="497" t="s">
        <v>90</v>
      </c>
    </row>
    <row r="115" spans="2:13" ht="37.5" x14ac:dyDescent="0.25">
      <c r="B115" s="806" t="s">
        <v>300</v>
      </c>
      <c r="C115" s="390" t="s">
        <v>148</v>
      </c>
      <c r="D115" s="390" t="s">
        <v>167</v>
      </c>
      <c r="E115" s="390" t="s">
        <v>168</v>
      </c>
      <c r="F115" s="390">
        <v>222</v>
      </c>
      <c r="G115" s="390" t="s">
        <v>25</v>
      </c>
      <c r="H115" s="391"/>
      <c r="I115" s="390">
        <v>2.2957999999999998</v>
      </c>
      <c r="J115" s="390"/>
      <c r="K115" s="496" t="s">
        <v>339</v>
      </c>
      <c r="M115" s="37"/>
    </row>
    <row r="116" spans="2:13" ht="25" x14ac:dyDescent="0.25">
      <c r="B116" s="806"/>
      <c r="C116" s="390" t="s">
        <v>149</v>
      </c>
      <c r="D116" s="390" t="s">
        <v>169</v>
      </c>
      <c r="E116" s="390" t="s">
        <v>170</v>
      </c>
      <c r="F116" s="390">
        <v>5446</v>
      </c>
      <c r="G116" s="390" t="s">
        <v>171</v>
      </c>
      <c r="H116" s="391"/>
      <c r="I116" s="390">
        <v>21.512</v>
      </c>
      <c r="J116" s="390"/>
      <c r="K116" s="496" t="s">
        <v>328</v>
      </c>
      <c r="M116" s="37"/>
    </row>
    <row r="117" spans="2:13" ht="25" x14ac:dyDescent="0.25">
      <c r="B117" s="806"/>
      <c r="C117" s="390" t="s">
        <v>159</v>
      </c>
      <c r="D117" s="390" t="s">
        <v>260</v>
      </c>
      <c r="E117" s="390" t="s">
        <v>375</v>
      </c>
      <c r="F117" s="390">
        <v>198</v>
      </c>
      <c r="G117" s="390" t="s">
        <v>376</v>
      </c>
      <c r="H117" s="391"/>
      <c r="I117" s="390">
        <v>15.641999999999999</v>
      </c>
      <c r="J117" s="390"/>
      <c r="K117" s="496" t="s">
        <v>328</v>
      </c>
      <c r="M117" s="37"/>
    </row>
    <row r="118" spans="2:13" ht="25" x14ac:dyDescent="0.25">
      <c r="B118" s="806"/>
      <c r="C118" s="390" t="s">
        <v>151</v>
      </c>
      <c r="D118" s="390" t="s">
        <v>189</v>
      </c>
      <c r="E118" s="390" t="s">
        <v>747</v>
      </c>
      <c r="F118" s="390">
        <v>825</v>
      </c>
      <c r="G118" s="390" t="s">
        <v>187</v>
      </c>
      <c r="H118" s="391"/>
      <c r="I118" s="390">
        <v>0.3337</v>
      </c>
      <c r="J118" s="390"/>
      <c r="K118" s="496" t="s">
        <v>339</v>
      </c>
      <c r="M118" s="37"/>
    </row>
    <row r="119" spans="2:13" ht="25" x14ac:dyDescent="0.25">
      <c r="B119" s="806"/>
      <c r="C119" s="390" t="s">
        <v>157</v>
      </c>
      <c r="D119" s="390" t="s">
        <v>172</v>
      </c>
      <c r="E119" s="390" t="s">
        <v>173</v>
      </c>
      <c r="F119" s="390">
        <v>26</v>
      </c>
      <c r="G119" s="390" t="s">
        <v>171</v>
      </c>
      <c r="H119" s="391"/>
      <c r="I119" s="390">
        <v>6.6439000000000004</v>
      </c>
      <c r="J119" s="390"/>
      <c r="K119" s="496" t="s">
        <v>338</v>
      </c>
      <c r="M119" s="37"/>
    </row>
    <row r="120" spans="2:13" ht="25" x14ac:dyDescent="0.25">
      <c r="B120" s="806"/>
      <c r="C120" s="390" t="s">
        <v>157</v>
      </c>
      <c r="D120" s="390" t="s">
        <v>172</v>
      </c>
      <c r="E120" s="390" t="s">
        <v>174</v>
      </c>
      <c r="F120" s="390">
        <v>256</v>
      </c>
      <c r="G120" s="390" t="s">
        <v>171</v>
      </c>
      <c r="H120" s="391"/>
      <c r="I120" s="390">
        <v>67.339799999999997</v>
      </c>
      <c r="J120" s="390"/>
      <c r="K120" s="496" t="s">
        <v>338</v>
      </c>
      <c r="M120" s="37"/>
    </row>
    <row r="121" spans="2:13" ht="25" x14ac:dyDescent="0.25">
      <c r="B121" s="806"/>
      <c r="C121" s="390" t="s">
        <v>157</v>
      </c>
      <c r="D121" s="390" t="s">
        <v>172</v>
      </c>
      <c r="E121" s="390" t="s">
        <v>174</v>
      </c>
      <c r="F121" s="390">
        <v>513</v>
      </c>
      <c r="G121" s="390" t="s">
        <v>171</v>
      </c>
      <c r="H121" s="391"/>
      <c r="I121" s="390">
        <v>134.9427</v>
      </c>
      <c r="J121" s="390"/>
      <c r="K121" s="496" t="s">
        <v>338</v>
      </c>
      <c r="M121" s="37"/>
    </row>
    <row r="122" spans="2:13" ht="25" x14ac:dyDescent="0.25">
      <c r="B122" s="806"/>
      <c r="C122" s="390" t="s">
        <v>157</v>
      </c>
      <c r="D122" s="390" t="s">
        <v>172</v>
      </c>
      <c r="E122" s="390" t="s">
        <v>174</v>
      </c>
      <c r="F122" s="390">
        <v>110</v>
      </c>
      <c r="G122" s="390" t="s">
        <v>171</v>
      </c>
      <c r="H122" s="391"/>
      <c r="I122" s="390">
        <v>28.935099999999998</v>
      </c>
      <c r="J122" s="390"/>
      <c r="K122" s="496" t="s">
        <v>338</v>
      </c>
      <c r="M122" s="37"/>
    </row>
    <row r="123" spans="2:13" ht="25" x14ac:dyDescent="0.25">
      <c r="B123" s="806"/>
      <c r="C123" s="390" t="s">
        <v>157</v>
      </c>
      <c r="D123" s="390" t="s">
        <v>172</v>
      </c>
      <c r="E123" s="390" t="s">
        <v>174</v>
      </c>
      <c r="F123" s="390">
        <v>55</v>
      </c>
      <c r="G123" s="390" t="s">
        <v>171</v>
      </c>
      <c r="H123" s="391"/>
      <c r="I123" s="390">
        <v>14.467499999999999</v>
      </c>
      <c r="J123" s="390"/>
      <c r="K123" s="496" t="s">
        <v>338</v>
      </c>
      <c r="M123" s="37"/>
    </row>
    <row r="124" spans="2:13" ht="25" x14ac:dyDescent="0.25">
      <c r="B124" s="806"/>
      <c r="C124" s="390" t="s">
        <v>157</v>
      </c>
      <c r="D124" s="390" t="s">
        <v>172</v>
      </c>
      <c r="E124" s="390" t="s">
        <v>271</v>
      </c>
      <c r="F124" s="390">
        <v>282</v>
      </c>
      <c r="G124" s="390" t="s">
        <v>175</v>
      </c>
      <c r="H124" s="391"/>
      <c r="I124" s="390">
        <v>980.67970000000003</v>
      </c>
      <c r="J124" s="390"/>
      <c r="K124" s="496" t="s">
        <v>338</v>
      </c>
      <c r="M124" s="37"/>
    </row>
    <row r="125" spans="2:13" ht="25" x14ac:dyDescent="0.25">
      <c r="B125" s="806"/>
      <c r="C125" s="390" t="s">
        <v>157</v>
      </c>
      <c r="D125" s="390" t="s">
        <v>172</v>
      </c>
      <c r="E125" s="390" t="s">
        <v>271</v>
      </c>
      <c r="F125" s="390">
        <v>812</v>
      </c>
      <c r="G125" s="390" t="s">
        <v>175</v>
      </c>
      <c r="H125" s="391"/>
      <c r="I125" s="390">
        <v>2823.8011000000001</v>
      </c>
      <c r="J125" s="390"/>
      <c r="K125" s="496" t="s">
        <v>338</v>
      </c>
      <c r="M125" s="37"/>
    </row>
    <row r="126" spans="2:13" ht="25" x14ac:dyDescent="0.25">
      <c r="B126" s="806"/>
      <c r="C126" s="390" t="s">
        <v>157</v>
      </c>
      <c r="D126" s="390" t="s">
        <v>172</v>
      </c>
      <c r="E126" s="390" t="s">
        <v>368</v>
      </c>
      <c r="F126" s="390">
        <v>14</v>
      </c>
      <c r="G126" s="390" t="s">
        <v>175</v>
      </c>
      <c r="H126" s="391"/>
      <c r="I126" s="390">
        <v>80.981999999999999</v>
      </c>
      <c r="J126" s="390"/>
      <c r="K126" s="496" t="s">
        <v>338</v>
      </c>
      <c r="M126" s="37"/>
    </row>
    <row r="127" spans="2:13" ht="25" x14ac:dyDescent="0.25">
      <c r="B127" s="806"/>
      <c r="C127" s="390" t="s">
        <v>157</v>
      </c>
      <c r="D127" s="390" t="s">
        <v>176</v>
      </c>
      <c r="E127" s="390" t="s">
        <v>177</v>
      </c>
      <c r="F127" s="390">
        <v>135</v>
      </c>
      <c r="G127" s="390" t="s">
        <v>178</v>
      </c>
      <c r="H127" s="391"/>
      <c r="I127" s="390">
        <v>81.442300000000003</v>
      </c>
      <c r="J127" s="390"/>
      <c r="K127" s="496" t="s">
        <v>330</v>
      </c>
      <c r="M127" s="37"/>
    </row>
    <row r="128" spans="2:13" ht="37.5" x14ac:dyDescent="0.25">
      <c r="B128" s="806"/>
      <c r="C128" s="390" t="s">
        <v>152</v>
      </c>
      <c r="D128" s="390" t="s">
        <v>265</v>
      </c>
      <c r="E128" s="390" t="s">
        <v>362</v>
      </c>
      <c r="F128" s="390">
        <v>40</v>
      </c>
      <c r="G128" s="390" t="s">
        <v>25</v>
      </c>
      <c r="H128" s="391"/>
      <c r="I128" s="390">
        <v>0.29580000000000001</v>
      </c>
      <c r="J128" s="390"/>
      <c r="K128" s="496" t="s">
        <v>330</v>
      </c>
      <c r="M128" s="37"/>
    </row>
    <row r="129" spans="2:13" ht="25" x14ac:dyDescent="0.25">
      <c r="B129" s="806"/>
      <c r="C129" s="390" t="s">
        <v>155</v>
      </c>
      <c r="D129" s="390" t="s">
        <v>179</v>
      </c>
      <c r="E129" s="390" t="s">
        <v>253</v>
      </c>
      <c r="F129" s="390">
        <v>1102</v>
      </c>
      <c r="G129" s="390" t="s">
        <v>25</v>
      </c>
      <c r="H129" s="391"/>
      <c r="I129" s="390">
        <v>6.6649000000000003</v>
      </c>
      <c r="J129" s="390"/>
      <c r="K129" s="496" t="s">
        <v>339</v>
      </c>
      <c r="M129" s="37"/>
    </row>
    <row r="130" spans="2:13" s="393" customFormat="1" ht="25" customHeight="1" x14ac:dyDescent="0.25">
      <c r="B130" s="806"/>
      <c r="C130" s="390" t="s">
        <v>148</v>
      </c>
      <c r="D130" s="390" t="s">
        <v>167</v>
      </c>
      <c r="E130" s="390" t="s">
        <v>267</v>
      </c>
      <c r="F130" s="390">
        <v>149</v>
      </c>
      <c r="G130" s="390" t="s">
        <v>25</v>
      </c>
      <c r="H130" s="391"/>
      <c r="I130" s="390">
        <v>1.5233000000000001</v>
      </c>
      <c r="J130" s="390"/>
      <c r="K130" s="496" t="s">
        <v>339</v>
      </c>
      <c r="M130" s="335"/>
    </row>
    <row r="131" spans="2:13" ht="39.65" customHeight="1" x14ac:dyDescent="0.25">
      <c r="B131" s="806"/>
      <c r="C131" s="390" t="s">
        <v>148</v>
      </c>
      <c r="D131" s="390" t="s">
        <v>180</v>
      </c>
      <c r="E131" s="390" t="s">
        <v>181</v>
      </c>
      <c r="F131" s="390">
        <v>4</v>
      </c>
      <c r="G131" s="390" t="s">
        <v>175</v>
      </c>
      <c r="H131" s="391"/>
      <c r="I131" s="390">
        <v>2.1627000000000001</v>
      </c>
      <c r="J131" s="390"/>
      <c r="K131" s="496" t="s">
        <v>338</v>
      </c>
    </row>
    <row r="132" spans="2:13" ht="25" x14ac:dyDescent="0.25">
      <c r="B132" s="806"/>
      <c r="C132" s="390" t="s">
        <v>148</v>
      </c>
      <c r="D132" s="390" t="s">
        <v>180</v>
      </c>
      <c r="E132" s="390" t="s">
        <v>188</v>
      </c>
      <c r="F132" s="390">
        <v>4</v>
      </c>
      <c r="G132" s="390" t="s">
        <v>175</v>
      </c>
      <c r="H132" s="391"/>
      <c r="I132" s="390">
        <v>10.036099999999999</v>
      </c>
      <c r="J132" s="390"/>
      <c r="K132" s="496" t="s">
        <v>338</v>
      </c>
    </row>
    <row r="133" spans="2:13" ht="39" customHeight="1" x14ac:dyDescent="0.25">
      <c r="B133" s="806"/>
      <c r="C133" s="390" t="s">
        <v>148</v>
      </c>
      <c r="D133" s="390" t="s">
        <v>182</v>
      </c>
      <c r="E133" s="390" t="s">
        <v>268</v>
      </c>
      <c r="F133" s="390">
        <v>135</v>
      </c>
      <c r="G133" s="390" t="s">
        <v>25</v>
      </c>
      <c r="H133" s="391"/>
      <c r="I133" s="390">
        <v>6.1047000000000002</v>
      </c>
      <c r="J133" s="390"/>
      <c r="K133" s="496" t="s">
        <v>338</v>
      </c>
    </row>
    <row r="134" spans="2:13" ht="25" x14ac:dyDescent="0.25">
      <c r="B134" s="806"/>
      <c r="C134" s="390" t="s">
        <v>147</v>
      </c>
      <c r="D134" s="390" t="s">
        <v>183</v>
      </c>
      <c r="E134" s="390" t="s">
        <v>184</v>
      </c>
      <c r="F134" s="390">
        <v>135</v>
      </c>
      <c r="G134" s="390" t="s">
        <v>25</v>
      </c>
      <c r="H134" s="391"/>
      <c r="I134" s="390">
        <v>8.3053000000000008</v>
      </c>
      <c r="J134" s="390"/>
      <c r="K134" s="496" t="s">
        <v>330</v>
      </c>
      <c r="M134" s="37"/>
    </row>
    <row r="135" spans="2:13" ht="37.5" x14ac:dyDescent="0.25">
      <c r="B135" s="806"/>
      <c r="C135" s="390" t="s">
        <v>152</v>
      </c>
      <c r="D135" s="390" t="s">
        <v>185</v>
      </c>
      <c r="E135" s="390" t="s">
        <v>186</v>
      </c>
      <c r="F135" s="390">
        <v>1131</v>
      </c>
      <c r="G135" s="390" t="s">
        <v>187</v>
      </c>
      <c r="H135" s="391"/>
      <c r="I135" s="390">
        <v>0.58809999999999996</v>
      </c>
      <c r="J135" s="390"/>
      <c r="K135" s="496" t="s">
        <v>339</v>
      </c>
      <c r="M135" s="37"/>
    </row>
    <row r="136" spans="2:13" ht="37.5" x14ac:dyDescent="0.25">
      <c r="B136" s="806"/>
      <c r="C136" s="390" t="s">
        <v>152</v>
      </c>
      <c r="D136" s="390" t="s">
        <v>185</v>
      </c>
      <c r="E136" s="390" t="s">
        <v>186</v>
      </c>
      <c r="F136" s="390">
        <v>368</v>
      </c>
      <c r="G136" s="390" t="s">
        <v>187</v>
      </c>
      <c r="H136" s="391"/>
      <c r="I136" s="390">
        <v>0.19139999999999999</v>
      </c>
      <c r="J136" s="390"/>
      <c r="K136" s="496" t="s">
        <v>339</v>
      </c>
      <c r="M136" s="37"/>
    </row>
    <row r="137" spans="2:13" ht="25" x14ac:dyDescent="0.25">
      <c r="B137" s="806"/>
      <c r="C137" s="390" t="s">
        <v>161</v>
      </c>
      <c r="D137" s="390" t="s">
        <v>190</v>
      </c>
      <c r="E137" s="390" t="s">
        <v>191</v>
      </c>
      <c r="F137" s="390">
        <v>2833</v>
      </c>
      <c r="G137" s="390" t="s">
        <v>192</v>
      </c>
      <c r="H137" s="391"/>
      <c r="I137" s="390">
        <v>0.74509999999999998</v>
      </c>
      <c r="J137" s="390"/>
      <c r="K137" s="496" t="s">
        <v>337</v>
      </c>
      <c r="M137" s="37"/>
    </row>
    <row r="138" spans="2:13" ht="25" x14ac:dyDescent="0.25">
      <c r="B138" s="806"/>
      <c r="C138" s="390" t="s">
        <v>161</v>
      </c>
      <c r="D138" s="390" t="s">
        <v>190</v>
      </c>
      <c r="E138" s="390" t="s">
        <v>193</v>
      </c>
      <c r="F138" s="390">
        <v>2937</v>
      </c>
      <c r="G138" s="390" t="s">
        <v>192</v>
      </c>
      <c r="H138" s="391">
        <v>0.12</v>
      </c>
      <c r="I138" s="390">
        <v>2.0001000000000002</v>
      </c>
      <c r="J138" s="390">
        <v>0.24</v>
      </c>
      <c r="K138" s="496" t="s">
        <v>337</v>
      </c>
      <c r="M138" s="37"/>
    </row>
    <row r="139" spans="2:13" ht="28" customHeight="1" thickBot="1" x14ac:dyDescent="0.3">
      <c r="B139" s="503" t="s">
        <v>344</v>
      </c>
      <c r="C139" s="498"/>
      <c r="D139" s="498"/>
      <c r="E139" s="498"/>
      <c r="F139" s="498"/>
      <c r="G139" s="498"/>
      <c r="H139" s="499"/>
      <c r="I139" s="513">
        <f>SUM(I115:I138)</f>
        <v>4297.6350999999995</v>
      </c>
      <c r="J139" s="500">
        <f>SUM(J115:J138)</f>
        <v>0.24</v>
      </c>
      <c r="K139" s="501" t="s">
        <v>90</v>
      </c>
    </row>
    <row r="140" spans="2:13" x14ac:dyDescent="0.25">
      <c r="B140" s="38"/>
      <c r="C140" s="38"/>
      <c r="D140" s="37"/>
      <c r="E140" s="37"/>
      <c r="F140" s="371"/>
      <c r="G140" s="371"/>
      <c r="H140" s="371"/>
      <c r="I140" s="371"/>
      <c r="J140" s="37"/>
      <c r="K140" s="37"/>
    </row>
    <row r="141" spans="2:13" x14ac:dyDescent="0.25">
      <c r="B141" s="38"/>
      <c r="C141" s="38"/>
      <c r="D141" s="37"/>
      <c r="E141" s="37"/>
      <c r="F141" s="371"/>
      <c r="G141" s="371"/>
      <c r="H141" s="371"/>
      <c r="I141" s="371"/>
      <c r="J141" s="37"/>
      <c r="K141" s="37"/>
    </row>
    <row r="142" spans="2:13" x14ac:dyDescent="0.25">
      <c r="B142" s="38"/>
      <c r="C142" s="38"/>
      <c r="D142" s="37"/>
      <c r="E142" s="37"/>
      <c r="F142" s="371"/>
      <c r="G142" s="371"/>
      <c r="H142" s="371"/>
      <c r="I142" s="371"/>
      <c r="J142" s="37"/>
      <c r="K142" s="37"/>
    </row>
    <row r="143" spans="2:13" x14ac:dyDescent="0.25">
      <c r="B143" s="37"/>
      <c r="C143" s="37"/>
      <c r="D143" s="37"/>
      <c r="E143" s="37"/>
      <c r="F143" s="369"/>
      <c r="G143" s="369"/>
      <c r="H143" s="369"/>
      <c r="I143" s="369"/>
      <c r="J143" s="37"/>
      <c r="K143" s="37"/>
    </row>
    <row r="144" spans="2:13" x14ac:dyDescent="0.25">
      <c r="B144" s="37"/>
      <c r="C144" s="37"/>
      <c r="D144" s="37"/>
      <c r="E144" s="37"/>
      <c r="F144" s="37"/>
      <c r="G144" s="37"/>
      <c r="H144" s="37"/>
      <c r="I144" s="37"/>
      <c r="J144" s="37"/>
      <c r="K144" s="37"/>
    </row>
    <row r="145" spans="2:11" ht="27" customHeight="1" x14ac:dyDescent="0.25">
      <c r="B145" s="769"/>
      <c r="C145" s="769"/>
      <c r="D145" s="769"/>
      <c r="E145" s="769"/>
      <c r="F145" s="769"/>
      <c r="G145" s="769"/>
      <c r="H145" s="769"/>
      <c r="I145" s="769"/>
      <c r="J145" s="37"/>
      <c r="K145" s="37"/>
    </row>
    <row r="146" spans="2:11" ht="13" x14ac:dyDescent="0.3">
      <c r="B146" s="15"/>
      <c r="C146" s="15"/>
      <c r="D146" s="15"/>
      <c r="E146" s="15"/>
      <c r="F146" s="14"/>
      <c r="G146" s="14"/>
      <c r="H146" s="14"/>
      <c r="I146" s="36"/>
      <c r="J146" s="37"/>
      <c r="K146" s="37"/>
    </row>
    <row r="147" spans="2:11" ht="13" x14ac:dyDescent="0.3">
      <c r="B147" s="735"/>
      <c r="C147" s="735"/>
      <c r="D147" s="735"/>
      <c r="E147" s="61"/>
      <c r="F147" s="31"/>
      <c r="G147" s="31"/>
      <c r="H147" s="31"/>
      <c r="I147" s="39"/>
      <c r="J147" s="37"/>
      <c r="K147" s="37"/>
    </row>
    <row r="148" spans="2:11" ht="13" x14ac:dyDescent="0.3">
      <c r="B148" s="735"/>
      <c r="C148" s="735"/>
      <c r="D148" s="735"/>
      <c r="E148" s="61"/>
      <c r="F148" s="33"/>
      <c r="G148" s="33"/>
      <c r="H148" s="33"/>
      <c r="I148" s="39"/>
      <c r="J148" s="37"/>
      <c r="K148" s="37"/>
    </row>
    <row r="149" spans="2:11" x14ac:dyDescent="0.25">
      <c r="B149" s="37"/>
      <c r="C149" s="37"/>
      <c r="D149" s="37"/>
      <c r="E149" s="37"/>
      <c r="F149" s="37"/>
      <c r="G149" s="37"/>
      <c r="H149" s="37"/>
      <c r="I149" s="37"/>
      <c r="J149" s="37"/>
      <c r="K149" s="37"/>
    </row>
    <row r="150" spans="2:11" x14ac:dyDescent="0.25">
      <c r="B150" s="37"/>
      <c r="C150" s="37"/>
      <c r="D150" s="37"/>
      <c r="E150" s="37"/>
      <c r="F150" s="37"/>
      <c r="G150" s="37"/>
      <c r="H150" s="37"/>
      <c r="I150" s="37"/>
      <c r="J150" s="37"/>
      <c r="K150" s="37"/>
    </row>
    <row r="151" spans="2:11" s="393" customFormat="1" ht="25" customHeight="1" x14ac:dyDescent="0.35">
      <c r="B151" s="769"/>
      <c r="C151" s="769"/>
      <c r="D151" s="769"/>
      <c r="E151" s="253"/>
      <c r="F151" s="335"/>
      <c r="G151" s="335"/>
      <c r="H151" s="335"/>
      <c r="I151" s="335"/>
      <c r="J151" s="335"/>
      <c r="K151" s="335"/>
    </row>
    <row r="152" spans="2:11" x14ac:dyDescent="0.25">
      <c r="B152" s="37"/>
      <c r="C152" s="37"/>
      <c r="D152" s="37"/>
      <c r="E152" s="37"/>
      <c r="F152" s="37"/>
      <c r="G152" s="37"/>
      <c r="H152" s="37"/>
      <c r="I152" s="37"/>
      <c r="J152" s="37"/>
      <c r="K152" s="37"/>
    </row>
    <row r="153" spans="2:11" x14ac:dyDescent="0.25">
      <c r="B153" s="37"/>
      <c r="C153" s="37"/>
      <c r="D153" s="37"/>
      <c r="E153" s="37"/>
      <c r="F153" s="37"/>
      <c r="G153" s="37"/>
      <c r="H153" s="37"/>
      <c r="I153" s="37"/>
      <c r="J153" s="37"/>
      <c r="K153" s="37"/>
    </row>
    <row r="154" spans="2:11" x14ac:dyDescent="0.25">
      <c r="B154" s="37"/>
      <c r="C154" s="37"/>
      <c r="D154" s="37"/>
      <c r="E154" s="37"/>
      <c r="F154" s="37"/>
      <c r="G154" s="37"/>
      <c r="H154" s="37"/>
      <c r="I154" s="37"/>
      <c r="J154" s="37"/>
      <c r="K154" s="37"/>
    </row>
    <row r="155" spans="2:11" x14ac:dyDescent="0.25">
      <c r="B155" s="37"/>
      <c r="C155" s="37"/>
      <c r="D155" s="37"/>
      <c r="E155" s="37"/>
      <c r="F155" s="37"/>
      <c r="G155" s="37"/>
      <c r="H155" s="37"/>
      <c r="I155" s="37"/>
      <c r="J155" s="37"/>
      <c r="K155" s="37"/>
    </row>
    <row r="156" spans="2:11" x14ac:dyDescent="0.25">
      <c r="B156" s="37"/>
      <c r="C156" s="37"/>
      <c r="D156" s="37"/>
      <c r="E156" s="37"/>
      <c r="F156" s="37"/>
      <c r="G156" s="37"/>
      <c r="H156" s="37"/>
      <c r="I156" s="37"/>
      <c r="J156" s="37"/>
      <c r="K156" s="37"/>
    </row>
    <row r="157" spans="2:11" x14ac:dyDescent="0.25">
      <c r="B157" s="37"/>
      <c r="C157" s="37"/>
      <c r="D157" s="37"/>
      <c r="E157" s="37"/>
      <c r="F157" s="37"/>
      <c r="G157" s="37"/>
      <c r="H157" s="37"/>
      <c r="I157" s="37"/>
      <c r="J157" s="37"/>
      <c r="K157" s="37"/>
    </row>
    <row r="158" spans="2:11" x14ac:dyDescent="0.25">
      <c r="B158" s="37"/>
      <c r="C158" s="37"/>
      <c r="D158" s="37"/>
      <c r="E158" s="37"/>
      <c r="F158" s="37"/>
      <c r="G158" s="37"/>
      <c r="H158" s="37"/>
      <c r="I158" s="37"/>
      <c r="J158" s="37"/>
      <c r="K158" s="37"/>
    </row>
  </sheetData>
  <mergeCells count="32">
    <mergeCell ref="B145:I145"/>
    <mergeCell ref="B147:D147"/>
    <mergeCell ref="B148:D148"/>
    <mergeCell ref="B151:D151"/>
    <mergeCell ref="B46:B47"/>
    <mergeCell ref="C46:D46"/>
    <mergeCell ref="E46:F46"/>
    <mergeCell ref="B94:B113"/>
    <mergeCell ref="B115:B138"/>
    <mergeCell ref="G46:H46"/>
    <mergeCell ref="O4:O5"/>
    <mergeCell ref="B32:I32"/>
    <mergeCell ref="B33:D33"/>
    <mergeCell ref="B37:D37"/>
    <mergeCell ref="B43:D43"/>
    <mergeCell ref="B4:B5"/>
    <mergeCell ref="C4:C5"/>
    <mergeCell ref="D4:D5"/>
    <mergeCell ref="E4:E5"/>
    <mergeCell ref="I4:J4"/>
    <mergeCell ref="K4:L4"/>
    <mergeCell ref="M4:N4"/>
    <mergeCell ref="B12:C12"/>
    <mergeCell ref="B11:C11"/>
    <mergeCell ref="F4:F5"/>
    <mergeCell ref="G4:G5"/>
    <mergeCell ref="B13:B14"/>
    <mergeCell ref="B15:B16"/>
    <mergeCell ref="B17:B19"/>
    <mergeCell ref="B20:B22"/>
    <mergeCell ref="B70:B92"/>
    <mergeCell ref="B23:B2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C313E7F-D16B-44AD-80D5-748365D44F72}">
          <x14:formula1>
            <xm:f>'Task 3 - Material summary'!$B$7:$B$14</xm:f>
          </x14:formula1>
          <xm:sqref>K70:K139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BF8BE-2173-47F9-AD67-D4D3E0197A79}">
  <sheetPr filterMode="1">
    <tabColor rgb="FF00353E"/>
  </sheetPr>
  <dimension ref="A1:V124"/>
  <sheetViews>
    <sheetView showGridLines="0" topLeftCell="M1" workbookViewId="0">
      <selection activeCell="Q15" sqref="A1:V124"/>
    </sheetView>
  </sheetViews>
  <sheetFormatPr defaultColWidth="8.7265625" defaultRowHeight="12.5" x14ac:dyDescent="0.25"/>
  <cols>
    <col min="1" max="1" width="3.54296875" style="300" customWidth="1"/>
    <col min="2" max="2" width="41.453125" style="366" customWidth="1"/>
    <col min="3" max="3" width="24.54296875" style="366" customWidth="1"/>
    <col min="4" max="4" width="19" style="366" customWidth="1"/>
    <col min="5" max="5" width="22.54296875" style="366" customWidth="1"/>
    <col min="6" max="6" width="16.453125" style="366" customWidth="1"/>
    <col min="7" max="7" width="18.1796875" style="366" customWidth="1"/>
    <col min="8" max="11" width="22.7265625" style="366" customWidth="1"/>
    <col min="12" max="12" width="17.453125" style="366" customWidth="1"/>
    <col min="13" max="13" width="23.26953125" style="300" customWidth="1"/>
    <col min="14" max="14" width="31.54296875" style="300" customWidth="1"/>
    <col min="15" max="17" width="27.54296875" style="300" customWidth="1"/>
    <col min="18" max="18" width="18.7265625" style="300" customWidth="1"/>
    <col min="19" max="16384" width="8.7265625" style="300"/>
  </cols>
  <sheetData>
    <row r="1" spans="1:22" s="363" customFormat="1" ht="25" customHeight="1" x14ac:dyDescent="0.35">
      <c r="B1" s="267" t="s">
        <v>474</v>
      </c>
      <c r="D1" s="364"/>
      <c r="E1" s="364"/>
      <c r="F1" s="364"/>
      <c r="G1" s="364"/>
      <c r="H1" s="364"/>
      <c r="I1" s="364"/>
      <c r="J1" s="364"/>
      <c r="K1" s="364"/>
      <c r="L1" s="364"/>
    </row>
    <row r="2" spans="1:22" s="363" customFormat="1" ht="18" customHeight="1" x14ac:dyDescent="0.35">
      <c r="B2" s="363" t="s">
        <v>742</v>
      </c>
      <c r="G2" s="364"/>
      <c r="H2" s="364"/>
    </row>
    <row r="3" spans="1:22" ht="39.65" customHeight="1" thickBot="1" x14ac:dyDescent="0.35">
      <c r="B3" s="365" t="s">
        <v>443</v>
      </c>
      <c r="G3" s="367" t="s">
        <v>444</v>
      </c>
      <c r="L3" s="300"/>
    </row>
    <row r="4" spans="1:22" ht="14.25" customHeight="1" x14ac:dyDescent="0.25">
      <c r="B4" s="771" t="s">
        <v>37</v>
      </c>
      <c r="C4" s="773" t="s">
        <v>77</v>
      </c>
      <c r="D4" s="773" t="s">
        <v>381</v>
      </c>
      <c r="E4" s="791" t="s">
        <v>677</v>
      </c>
      <c r="G4" s="786" t="s">
        <v>69</v>
      </c>
      <c r="H4" s="787"/>
      <c r="I4" s="788" t="s">
        <v>70</v>
      </c>
      <c r="J4" s="794"/>
      <c r="K4" s="794"/>
      <c r="L4" s="794"/>
      <c r="M4" s="787"/>
      <c r="N4" s="794" t="s">
        <v>342</v>
      </c>
      <c r="O4" s="794"/>
      <c r="P4" s="788" t="s">
        <v>678</v>
      </c>
      <c r="Q4" s="787"/>
      <c r="R4" s="791" t="s">
        <v>382</v>
      </c>
    </row>
    <row r="5" spans="1:22" ht="24.75" customHeight="1" x14ac:dyDescent="0.25">
      <c r="B5" s="772"/>
      <c r="C5" s="774"/>
      <c r="D5" s="774"/>
      <c r="E5" s="792"/>
      <c r="G5" s="64" t="s">
        <v>71</v>
      </c>
      <c r="H5" s="65" t="s">
        <v>72</v>
      </c>
      <c r="I5" s="65" t="s">
        <v>80</v>
      </c>
      <c r="J5" s="65" t="s">
        <v>79</v>
      </c>
      <c r="K5" s="65" t="s">
        <v>78</v>
      </c>
      <c r="L5" s="66" t="s">
        <v>73</v>
      </c>
      <c r="M5" s="67" t="s">
        <v>74</v>
      </c>
      <c r="N5" s="155" t="s">
        <v>636</v>
      </c>
      <c r="O5" s="155" t="s">
        <v>689</v>
      </c>
      <c r="P5" s="815" t="s">
        <v>673</v>
      </c>
      <c r="Q5" s="815"/>
      <c r="R5" s="814"/>
    </row>
    <row r="6" spans="1:22" ht="15" customHeight="1" thickBot="1" x14ac:dyDescent="0.3">
      <c r="B6" s="207" t="s">
        <v>416</v>
      </c>
      <c r="C6" s="601">
        <f>'Structure dimensions'!C70</f>
        <v>22.2</v>
      </c>
      <c r="D6" s="177">
        <f>SUM(G6:M6)</f>
        <v>64519.762000000002</v>
      </c>
      <c r="E6" s="602">
        <f>R6</f>
        <v>81534.244200000001</v>
      </c>
      <c r="G6" s="151">
        <f>H124</f>
        <v>30843.762000000002</v>
      </c>
      <c r="H6" s="71">
        <v>1808.2</v>
      </c>
      <c r="I6" s="71">
        <v>88.9</v>
      </c>
      <c r="J6" s="71">
        <v>2553.3000000000002</v>
      </c>
      <c r="K6" s="71">
        <v>6013</v>
      </c>
      <c r="L6" s="74">
        <v>20603.5</v>
      </c>
      <c r="M6" s="71">
        <v>2609.1</v>
      </c>
      <c r="N6" s="74">
        <f>I124</f>
        <v>16950.572199999995</v>
      </c>
      <c r="O6" s="74">
        <v>0</v>
      </c>
      <c r="P6" s="816">
        <f>'Operational Energy'!H16</f>
        <v>63.91</v>
      </c>
      <c r="Q6" s="816"/>
      <c r="R6" s="200">
        <f>SUM(G6:Q6)</f>
        <v>81534.244200000001</v>
      </c>
    </row>
    <row r="7" spans="1:22" ht="14" thickTop="1" thickBot="1" x14ac:dyDescent="0.3">
      <c r="A7" s="366"/>
      <c r="B7" s="417" t="s">
        <v>2</v>
      </c>
      <c r="C7" s="425"/>
      <c r="D7" s="453">
        <f>D6</f>
        <v>64519.762000000002</v>
      </c>
      <c r="E7" s="191">
        <f>E6</f>
        <v>81534.244200000001</v>
      </c>
      <c r="G7" s="192" t="s">
        <v>81</v>
      </c>
      <c r="H7" s="68">
        <f>SUM(G6:H6)</f>
        <v>32651.962000000003</v>
      </c>
      <c r="I7" s="817" t="s">
        <v>81</v>
      </c>
      <c r="J7" s="818"/>
      <c r="K7" s="818"/>
      <c r="L7" s="819"/>
      <c r="M7" s="68">
        <f>SUM(I6:M6)</f>
        <v>31867.8</v>
      </c>
      <c r="N7" s="193" t="s">
        <v>346</v>
      </c>
      <c r="O7" s="196">
        <f>SUM(N6:O6)</f>
        <v>16950.572199999995</v>
      </c>
      <c r="P7" s="184" t="s">
        <v>346</v>
      </c>
      <c r="Q7" s="72">
        <f>SUM(P6)</f>
        <v>63.91</v>
      </c>
      <c r="R7" s="423">
        <f>SUM(R6)</f>
        <v>81534.244200000001</v>
      </c>
    </row>
    <row r="8" spans="1:22" ht="13.5" thickBot="1" x14ac:dyDescent="0.3">
      <c r="A8" s="366"/>
      <c r="E8" s="35"/>
      <c r="G8" s="300" t="s">
        <v>490</v>
      </c>
      <c r="M8" s="366"/>
      <c r="N8" s="366"/>
      <c r="O8" s="366"/>
      <c r="P8" s="366"/>
      <c r="Q8" s="366"/>
      <c r="R8" s="366"/>
      <c r="S8" s="366"/>
      <c r="T8" s="366"/>
      <c r="U8" s="366"/>
      <c r="V8" s="366"/>
    </row>
    <row r="9" spans="1:22" ht="14.5" customHeight="1" x14ac:dyDescent="0.3">
      <c r="B9" s="799" t="s">
        <v>383</v>
      </c>
      <c r="C9" s="800"/>
      <c r="D9" s="342" t="s">
        <v>384</v>
      </c>
      <c r="E9" s="343" t="s">
        <v>10</v>
      </c>
      <c r="G9" s="372"/>
      <c r="H9" s="37"/>
      <c r="I9" s="37"/>
      <c r="J9" s="37"/>
      <c r="K9" s="37"/>
      <c r="L9" s="37"/>
    </row>
    <row r="10" spans="1:22" ht="21.65" customHeight="1" x14ac:dyDescent="0.3">
      <c r="B10" s="804" t="s">
        <v>62</v>
      </c>
      <c r="C10" s="805"/>
      <c r="D10" s="188">
        <v>22.2</v>
      </c>
      <c r="E10" s="301" t="s">
        <v>411</v>
      </c>
      <c r="G10" s="372"/>
      <c r="H10" s="37"/>
      <c r="I10" s="37"/>
      <c r="J10" s="37"/>
      <c r="K10" s="37"/>
      <c r="L10" s="37"/>
    </row>
    <row r="11" spans="1:22" ht="20.149999999999999" customHeight="1" x14ac:dyDescent="0.3">
      <c r="B11" s="804" t="s">
        <v>63</v>
      </c>
      <c r="C11" s="805"/>
      <c r="D11" s="436">
        <v>4</v>
      </c>
      <c r="E11" s="301" t="s">
        <v>385</v>
      </c>
      <c r="G11" s="372"/>
      <c r="H11" s="37"/>
      <c r="I11" s="37"/>
      <c r="J11" s="37"/>
      <c r="K11" s="37"/>
      <c r="L11" s="37"/>
    </row>
    <row r="12" spans="1:22" ht="27" customHeight="1" x14ac:dyDescent="0.3">
      <c r="B12" s="804" t="s">
        <v>658</v>
      </c>
      <c r="C12" s="344" t="s">
        <v>623</v>
      </c>
      <c r="D12" s="190">
        <f>D6/C6</f>
        <v>2906.2955855855857</v>
      </c>
      <c r="E12" s="301" t="s">
        <v>412</v>
      </c>
      <c r="G12" s="372"/>
      <c r="H12" s="37"/>
      <c r="I12" s="37"/>
      <c r="J12" s="37"/>
      <c r="K12" s="37"/>
      <c r="L12" s="37"/>
    </row>
    <row r="13" spans="1:22" ht="27" customHeight="1" x14ac:dyDescent="0.3">
      <c r="B13" s="804"/>
      <c r="C13" s="344" t="s">
        <v>674</v>
      </c>
      <c r="D13" s="190">
        <f>E6/C6</f>
        <v>3672.7137027027029</v>
      </c>
      <c r="E13" s="301" t="s">
        <v>412</v>
      </c>
      <c r="F13" s="335"/>
      <c r="G13" s="372"/>
      <c r="H13" s="37"/>
      <c r="I13" s="37"/>
      <c r="J13" s="37"/>
      <c r="K13" s="37"/>
      <c r="L13" s="37"/>
    </row>
    <row r="14" spans="1:22" ht="27" customHeight="1" x14ac:dyDescent="0.3">
      <c r="B14" s="804" t="s">
        <v>6</v>
      </c>
      <c r="C14" s="344" t="s">
        <v>623</v>
      </c>
      <c r="D14" s="190">
        <f>D12/D11</f>
        <v>726.57389639639644</v>
      </c>
      <c r="E14" s="301" t="s">
        <v>413</v>
      </c>
      <c r="F14" s="335"/>
      <c r="G14" s="372"/>
      <c r="H14" s="37"/>
      <c r="I14" s="37"/>
      <c r="J14" s="37"/>
      <c r="K14" s="37"/>
      <c r="L14" s="37"/>
    </row>
    <row r="15" spans="1:22" ht="27" customHeight="1" x14ac:dyDescent="0.3">
      <c r="B15" s="804"/>
      <c r="C15" s="344" t="s">
        <v>674</v>
      </c>
      <c r="D15" s="190">
        <f>D13/D11</f>
        <v>918.17842567567573</v>
      </c>
      <c r="E15" s="301" t="s">
        <v>413</v>
      </c>
      <c r="F15" s="335"/>
      <c r="G15" s="372"/>
      <c r="H15" s="37"/>
      <c r="I15" s="37"/>
      <c r="J15" s="37"/>
      <c r="K15" s="37"/>
      <c r="L15" s="37"/>
    </row>
    <row r="16" spans="1:22" ht="27" customHeight="1" x14ac:dyDescent="0.3">
      <c r="B16" s="775" t="s">
        <v>732</v>
      </c>
      <c r="C16" s="344" t="s">
        <v>3</v>
      </c>
      <c r="D16" s="186">
        <f>H7/E7</f>
        <v>0.40046930366958627</v>
      </c>
      <c r="E16" s="301" t="s">
        <v>388</v>
      </c>
      <c r="F16" s="335"/>
      <c r="G16" s="372"/>
      <c r="H16" s="37"/>
      <c r="I16" s="37"/>
      <c r="J16" s="37"/>
      <c r="K16" s="37"/>
      <c r="L16" s="37"/>
    </row>
    <row r="17" spans="2:12" ht="27" customHeight="1" x14ac:dyDescent="0.3">
      <c r="B17" s="775"/>
      <c r="C17" s="344" t="s">
        <v>4</v>
      </c>
      <c r="D17" s="186">
        <f>M7/E7</f>
        <v>0.39085172509638594</v>
      </c>
      <c r="E17" s="301" t="s">
        <v>388</v>
      </c>
      <c r="F17" s="335"/>
      <c r="G17" s="372"/>
      <c r="H17" s="37"/>
      <c r="I17" s="37"/>
      <c r="J17" s="37"/>
      <c r="K17" s="37"/>
      <c r="L17" s="37"/>
    </row>
    <row r="18" spans="2:12" ht="27" customHeight="1" x14ac:dyDescent="0.3">
      <c r="B18" s="775"/>
      <c r="C18" s="344" t="s">
        <v>627</v>
      </c>
      <c r="D18" s="186">
        <f>O7/E7</f>
        <v>0.20789512880527805</v>
      </c>
      <c r="E18" s="301" t="s">
        <v>388</v>
      </c>
      <c r="F18" s="335"/>
      <c r="G18" s="372"/>
      <c r="H18" s="37"/>
      <c r="I18" s="37"/>
      <c r="J18" s="37"/>
      <c r="K18" s="37"/>
      <c r="L18" s="37"/>
    </row>
    <row r="19" spans="2:12" ht="27" customHeight="1" x14ac:dyDescent="0.3">
      <c r="B19" s="775"/>
      <c r="C19" s="344" t="s">
        <v>672</v>
      </c>
      <c r="D19" s="186">
        <f>Q7/E7</f>
        <v>7.8384242874971052E-4</v>
      </c>
      <c r="E19" s="301" t="s">
        <v>388</v>
      </c>
      <c r="F19" s="335"/>
      <c r="G19" s="372"/>
      <c r="H19" s="37"/>
      <c r="I19" s="37"/>
      <c r="J19" s="37"/>
      <c r="K19" s="37"/>
      <c r="L19" s="37"/>
    </row>
    <row r="20" spans="2:12" ht="27" customHeight="1" x14ac:dyDescent="0.3">
      <c r="B20" s="775" t="s">
        <v>642</v>
      </c>
      <c r="C20" s="344" t="s">
        <v>3</v>
      </c>
      <c r="D20" s="185">
        <f>D15*D16</f>
        <v>367.70227477477482</v>
      </c>
      <c r="E20" s="301" t="s">
        <v>413</v>
      </c>
      <c r="F20" s="335"/>
      <c r="G20" s="372"/>
      <c r="H20" s="37"/>
      <c r="I20" s="37"/>
      <c r="J20" s="37"/>
      <c r="K20" s="37"/>
      <c r="L20" s="37"/>
    </row>
    <row r="21" spans="2:12" ht="27" customHeight="1" x14ac:dyDescent="0.3">
      <c r="B21" s="775"/>
      <c r="C21" s="344" t="s">
        <v>4</v>
      </c>
      <c r="D21" s="185">
        <f>D15*D17</f>
        <v>358.87162162162161</v>
      </c>
      <c r="E21" s="301" t="s">
        <v>413</v>
      </c>
      <c r="F21" s="372"/>
      <c r="G21" s="372"/>
      <c r="H21" s="37"/>
      <c r="I21" s="37"/>
      <c r="J21" s="37"/>
      <c r="K21" s="37"/>
      <c r="L21" s="37"/>
    </row>
    <row r="22" spans="2:12" ht="27" customHeight="1" x14ac:dyDescent="0.25">
      <c r="B22" s="775"/>
      <c r="C22" s="344" t="s">
        <v>627</v>
      </c>
      <c r="D22" s="185">
        <f>D15*D18</f>
        <v>190.88482207207201</v>
      </c>
      <c r="E22" s="301" t="s">
        <v>413</v>
      </c>
      <c r="F22" s="37"/>
      <c r="G22" s="37"/>
      <c r="H22" s="37"/>
      <c r="I22" s="37"/>
      <c r="J22" s="37"/>
      <c r="K22" s="37"/>
      <c r="L22" s="37"/>
    </row>
    <row r="23" spans="2:12" ht="27" customHeight="1" thickBot="1" x14ac:dyDescent="0.3">
      <c r="B23" s="808"/>
      <c r="C23" s="346" t="s">
        <v>672</v>
      </c>
      <c r="D23" s="187">
        <f>D15*D19</f>
        <v>0.71970720720720727</v>
      </c>
      <c r="E23" s="303" t="s">
        <v>413</v>
      </c>
      <c r="F23" s="37"/>
      <c r="G23" s="37"/>
      <c r="H23" s="37"/>
      <c r="I23" s="37"/>
      <c r="J23" s="37"/>
      <c r="K23" s="37"/>
      <c r="L23" s="37"/>
    </row>
    <row r="24" spans="2:12" ht="27" customHeight="1" x14ac:dyDescent="0.25">
      <c r="B24" s="769"/>
      <c r="C24" s="769"/>
      <c r="D24" s="769"/>
      <c r="E24" s="769"/>
      <c r="F24" s="769"/>
      <c r="G24" s="769"/>
      <c r="H24" s="37"/>
      <c r="I24" s="37"/>
      <c r="J24" s="37"/>
      <c r="K24" s="37"/>
      <c r="L24" s="37"/>
    </row>
    <row r="25" spans="2:12" ht="13" x14ac:dyDescent="0.3">
      <c r="B25" s="770"/>
      <c r="C25" s="770"/>
      <c r="D25" s="770"/>
      <c r="E25" s="14"/>
      <c r="F25" s="14"/>
      <c r="G25" s="36"/>
      <c r="H25" s="37"/>
      <c r="I25" s="37"/>
      <c r="J25" s="37"/>
      <c r="K25" s="37"/>
      <c r="L25" s="37"/>
    </row>
    <row r="26" spans="2:12" x14ac:dyDescent="0.25">
      <c r="B26" s="38"/>
      <c r="C26" s="38"/>
      <c r="D26" s="37"/>
      <c r="E26" s="369"/>
      <c r="F26" s="369"/>
      <c r="G26" s="369"/>
      <c r="H26" s="37"/>
      <c r="I26" s="37"/>
      <c r="J26" s="37"/>
      <c r="K26" s="37"/>
      <c r="L26" s="37"/>
    </row>
    <row r="27" spans="2:12" x14ac:dyDescent="0.25">
      <c r="B27" s="38"/>
      <c r="C27" s="38"/>
      <c r="D27" s="37"/>
      <c r="E27" s="369"/>
      <c r="F27" s="369"/>
      <c r="G27" s="369"/>
      <c r="H27" s="37"/>
      <c r="I27" s="37"/>
      <c r="J27" s="37"/>
      <c r="K27" s="37"/>
      <c r="L27" s="37"/>
    </row>
    <row r="28" spans="2:12" x14ac:dyDescent="0.25">
      <c r="B28" s="38"/>
      <c r="C28" s="38"/>
      <c r="D28" s="37"/>
      <c r="E28" s="369"/>
      <c r="F28" s="369"/>
      <c r="G28" s="369"/>
      <c r="H28" s="37"/>
      <c r="I28" s="37"/>
      <c r="J28" s="37"/>
      <c r="K28" s="37"/>
      <c r="L28" s="37"/>
    </row>
    <row r="29" spans="2:12" ht="13" x14ac:dyDescent="0.3">
      <c r="B29" s="770"/>
      <c r="C29" s="770"/>
      <c r="D29" s="770"/>
      <c r="E29" s="14"/>
      <c r="F29" s="14"/>
      <c r="G29" s="36"/>
      <c r="H29" s="37"/>
      <c r="I29" s="37"/>
      <c r="J29" s="37"/>
      <c r="K29" s="37"/>
      <c r="L29" s="37"/>
    </row>
    <row r="30" spans="2:12" x14ac:dyDescent="0.25">
      <c r="B30" s="38"/>
      <c r="C30" s="38"/>
      <c r="D30" s="37"/>
      <c r="E30" s="370"/>
      <c r="F30" s="370"/>
      <c r="G30" s="370"/>
      <c r="H30" s="37"/>
      <c r="I30" s="37"/>
      <c r="J30" s="37"/>
      <c r="K30" s="37"/>
      <c r="L30" s="37"/>
    </row>
    <row r="31" spans="2:12" x14ac:dyDescent="0.25">
      <c r="B31" s="38"/>
      <c r="C31" s="38"/>
      <c r="D31" s="37"/>
      <c r="E31" s="370"/>
      <c r="F31" s="370"/>
      <c r="G31" s="370"/>
      <c r="H31" s="37"/>
      <c r="I31" s="37"/>
      <c r="J31" s="37"/>
      <c r="K31" s="37"/>
      <c r="L31" s="37"/>
    </row>
    <row r="32" spans="2:12" x14ac:dyDescent="0.25">
      <c r="B32" s="38"/>
      <c r="C32" s="38"/>
      <c r="D32" s="37"/>
      <c r="E32" s="370"/>
      <c r="F32" s="370"/>
      <c r="G32" s="370"/>
      <c r="H32" s="37"/>
      <c r="I32" s="37"/>
      <c r="J32" s="37"/>
      <c r="K32" s="37"/>
      <c r="L32" s="37"/>
    </row>
    <row r="33" spans="2:12" x14ac:dyDescent="0.25">
      <c r="B33" s="38"/>
      <c r="C33" s="38"/>
      <c r="D33" s="37"/>
      <c r="E33" s="370"/>
      <c r="F33" s="370"/>
      <c r="G33" s="370"/>
      <c r="H33" s="37"/>
      <c r="I33" s="37"/>
      <c r="J33" s="37"/>
      <c r="K33" s="37"/>
      <c r="L33" s="37"/>
    </row>
    <row r="34" spans="2:12" x14ac:dyDescent="0.25">
      <c r="B34" s="38"/>
      <c r="C34" s="38"/>
      <c r="D34" s="37"/>
      <c r="E34" s="370"/>
      <c r="F34" s="370"/>
      <c r="G34" s="370"/>
      <c r="H34" s="37"/>
      <c r="I34" s="37"/>
      <c r="J34" s="37"/>
      <c r="K34" s="37"/>
      <c r="L34" s="37"/>
    </row>
    <row r="35" spans="2:12" ht="13" x14ac:dyDescent="0.3">
      <c r="B35" s="770"/>
      <c r="C35" s="770"/>
      <c r="D35" s="770"/>
      <c r="E35" s="14"/>
      <c r="F35" s="14"/>
      <c r="G35" s="36"/>
      <c r="H35" s="37"/>
      <c r="I35" s="37"/>
      <c r="J35" s="37"/>
      <c r="K35" s="37"/>
      <c r="L35" s="37"/>
    </row>
    <row r="36" spans="2:12" x14ac:dyDescent="0.25">
      <c r="B36" s="38"/>
      <c r="C36" s="38"/>
      <c r="D36" s="37"/>
      <c r="E36" s="371"/>
      <c r="F36" s="371"/>
      <c r="G36" s="371"/>
      <c r="H36" s="37"/>
      <c r="I36" s="37"/>
      <c r="J36" s="37"/>
      <c r="K36" s="37"/>
      <c r="L36" s="37"/>
    </row>
    <row r="37" spans="2:12" x14ac:dyDescent="0.25">
      <c r="B37" s="38"/>
      <c r="C37" s="38"/>
      <c r="D37" s="37"/>
      <c r="E37" s="371"/>
      <c r="F37" s="371"/>
      <c r="G37" s="371"/>
      <c r="H37" s="37"/>
      <c r="I37" s="37"/>
      <c r="J37" s="37"/>
      <c r="K37" s="37"/>
      <c r="L37" s="37"/>
    </row>
    <row r="38" spans="2:12" x14ac:dyDescent="0.25">
      <c r="B38" s="38"/>
      <c r="C38" s="38"/>
      <c r="D38" s="37"/>
      <c r="E38" s="371"/>
      <c r="F38" s="371"/>
      <c r="G38" s="371"/>
      <c r="H38" s="37"/>
      <c r="I38" s="37"/>
      <c r="J38" s="37"/>
      <c r="K38" s="37"/>
      <c r="L38" s="37"/>
    </row>
    <row r="39" spans="2:12" x14ac:dyDescent="0.25">
      <c r="B39" s="38"/>
      <c r="C39" s="38"/>
      <c r="D39" s="37"/>
      <c r="E39" s="371"/>
      <c r="F39" s="371"/>
      <c r="G39" s="371"/>
      <c r="H39" s="37"/>
      <c r="I39" s="37"/>
      <c r="J39" s="37"/>
      <c r="K39" s="37"/>
      <c r="L39" s="37"/>
    </row>
    <row r="40" spans="2:12" x14ac:dyDescent="0.25">
      <c r="B40" s="38"/>
      <c r="C40" s="38"/>
      <c r="D40" s="37"/>
      <c r="E40" s="371"/>
      <c r="F40" s="371"/>
      <c r="G40" s="371"/>
      <c r="H40" s="37"/>
      <c r="I40" s="37"/>
      <c r="J40" s="37"/>
      <c r="K40" s="37"/>
      <c r="L40" s="37"/>
    </row>
    <row r="41" spans="2:12" x14ac:dyDescent="0.25">
      <c r="B41" s="38"/>
      <c r="C41" s="38"/>
      <c r="D41" s="37"/>
      <c r="E41" s="371"/>
      <c r="F41" s="371"/>
      <c r="G41" s="371"/>
      <c r="H41" s="37"/>
      <c r="I41" s="37"/>
      <c r="J41" s="37"/>
      <c r="K41" s="37"/>
      <c r="L41" s="37"/>
    </row>
    <row r="42" spans="2:12" x14ac:dyDescent="0.25">
      <c r="B42" s="38"/>
      <c r="C42" s="38"/>
      <c r="D42" s="37"/>
      <c r="E42" s="371"/>
      <c r="F42" s="371"/>
      <c r="G42" s="371"/>
      <c r="H42" s="37"/>
      <c r="I42" s="37"/>
      <c r="J42" s="37"/>
      <c r="K42" s="37"/>
      <c r="L42" s="37"/>
    </row>
    <row r="43" spans="2:12" x14ac:dyDescent="0.25">
      <c r="B43" s="38"/>
      <c r="C43" s="38"/>
      <c r="D43" s="37"/>
      <c r="E43" s="371"/>
      <c r="F43" s="371"/>
      <c r="G43" s="371"/>
      <c r="H43" s="37"/>
      <c r="I43" s="37"/>
      <c r="J43" s="37"/>
      <c r="K43" s="37"/>
      <c r="L43" s="37"/>
    </row>
    <row r="44" spans="2:12" s="373" customFormat="1" ht="26.5" customHeight="1" x14ac:dyDescent="0.35">
      <c r="B44" s="306" t="s">
        <v>403</v>
      </c>
      <c r="D44" s="374"/>
      <c r="E44" s="374"/>
      <c r="F44" s="374"/>
      <c r="G44" s="374"/>
      <c r="H44" s="374"/>
      <c r="I44" s="374"/>
      <c r="J44" s="374"/>
      <c r="K44" s="374"/>
      <c r="L44" s="374"/>
    </row>
    <row r="45" spans="2:12" ht="13" thickBot="1" x14ac:dyDescent="0.3">
      <c r="B45" s="37"/>
      <c r="C45" s="37"/>
      <c r="D45" s="37"/>
      <c r="E45" s="37"/>
      <c r="F45" s="37"/>
      <c r="G45" s="37"/>
      <c r="H45" s="37"/>
      <c r="I45" s="37"/>
      <c r="J45" s="37"/>
      <c r="K45" s="37"/>
      <c r="L45" s="37"/>
    </row>
    <row r="46" spans="2:12" ht="13" x14ac:dyDescent="0.25">
      <c r="B46" s="797" t="s">
        <v>348</v>
      </c>
      <c r="C46" s="795" t="s">
        <v>350</v>
      </c>
      <c r="D46" s="795"/>
      <c r="E46" s="809" t="s">
        <v>352</v>
      </c>
      <c r="F46" s="810"/>
      <c r="G46" s="37"/>
      <c r="H46" s="37"/>
      <c r="I46" s="37"/>
      <c r="J46" s="37"/>
      <c r="K46" s="37"/>
      <c r="L46" s="37"/>
    </row>
    <row r="47" spans="2:12" ht="13" x14ac:dyDescent="0.25">
      <c r="B47" s="798"/>
      <c r="C47" s="375" t="s">
        <v>351</v>
      </c>
      <c r="D47" s="375" t="s">
        <v>349</v>
      </c>
      <c r="E47" s="375" t="s">
        <v>351</v>
      </c>
      <c r="F47" s="454" t="s">
        <v>349</v>
      </c>
      <c r="G47" s="37"/>
      <c r="H47" s="37"/>
      <c r="I47" s="37"/>
      <c r="J47" s="37"/>
      <c r="K47" s="37"/>
      <c r="L47" s="37"/>
    </row>
    <row r="48" spans="2:12" x14ac:dyDescent="0.25">
      <c r="B48" s="455" t="s">
        <v>328</v>
      </c>
      <c r="C48" s="377">
        <f t="shared" ref="C48:C55" si="0">SUMIF($J$68:$J$123,B48,$H$68:$H$123)</f>
        <v>1431.1969999999999</v>
      </c>
      <c r="D48" s="378">
        <f t="shared" ref="D48:D55" si="1">C48/$C$56</f>
        <v>4.6401505756658343E-2</v>
      </c>
      <c r="E48" s="377">
        <f t="shared" ref="E48:E55" si="2">SUMIF($J$68:$J$123,B48,$I$68:$I$123)</f>
        <v>0</v>
      </c>
      <c r="F48" s="456">
        <f t="shared" ref="F48:F55" si="3">E48/$E$56</f>
        <v>0</v>
      </c>
      <c r="G48" s="37"/>
      <c r="H48" s="37"/>
      <c r="I48" s="37"/>
      <c r="J48" s="37"/>
      <c r="K48" s="37"/>
      <c r="L48" s="37"/>
    </row>
    <row r="49" spans="1:12" x14ac:dyDescent="0.25">
      <c r="B49" s="455" t="s">
        <v>329</v>
      </c>
      <c r="C49" s="377">
        <f t="shared" si="0"/>
        <v>7426.4555</v>
      </c>
      <c r="D49" s="378">
        <f t="shared" si="1"/>
        <v>0.24077657906969971</v>
      </c>
      <c r="E49" s="377">
        <f t="shared" si="2"/>
        <v>16488.1456</v>
      </c>
      <c r="F49" s="456">
        <f t="shared" si="3"/>
        <v>0.97271911564141778</v>
      </c>
      <c r="G49" s="37"/>
      <c r="H49" s="37"/>
      <c r="I49" s="37"/>
      <c r="J49" s="37"/>
      <c r="K49" s="37"/>
      <c r="L49" s="37"/>
    </row>
    <row r="50" spans="1:12" x14ac:dyDescent="0.25">
      <c r="B50" s="455" t="s">
        <v>330</v>
      </c>
      <c r="C50" s="377">
        <f t="shared" si="0"/>
        <v>4987.0962</v>
      </c>
      <c r="D50" s="378">
        <f t="shared" si="1"/>
        <v>0.16168897295991325</v>
      </c>
      <c r="E50" s="377">
        <f t="shared" si="2"/>
        <v>98.117999999999995</v>
      </c>
      <c r="F50" s="456">
        <f t="shared" si="3"/>
        <v>5.7884771583109158E-3</v>
      </c>
      <c r="G50" s="37"/>
      <c r="H50" s="37"/>
      <c r="I50" s="37"/>
      <c r="J50" s="37"/>
      <c r="K50" s="37"/>
      <c r="L50" s="37"/>
    </row>
    <row r="51" spans="1:12" x14ac:dyDescent="0.25">
      <c r="B51" s="455" t="s">
        <v>338</v>
      </c>
      <c r="C51" s="377">
        <f t="shared" si="0"/>
        <v>11629.878299999998</v>
      </c>
      <c r="D51" s="378">
        <f t="shared" si="1"/>
        <v>0.37705771105353481</v>
      </c>
      <c r="E51" s="377">
        <f t="shared" si="2"/>
        <v>0</v>
      </c>
      <c r="F51" s="456">
        <f t="shared" si="3"/>
        <v>0</v>
      </c>
      <c r="G51" s="37"/>
      <c r="H51" s="37"/>
      <c r="I51" s="37"/>
      <c r="J51" s="37"/>
      <c r="K51" s="37"/>
      <c r="L51" s="37"/>
    </row>
    <row r="52" spans="1:12" x14ac:dyDescent="0.25">
      <c r="B52" s="455" t="s">
        <v>337</v>
      </c>
      <c r="C52" s="377">
        <f t="shared" si="0"/>
        <v>612.18779999999992</v>
      </c>
      <c r="D52" s="378">
        <f t="shared" si="1"/>
        <v>1.9848026320524709E-2</v>
      </c>
      <c r="E52" s="377">
        <f t="shared" si="2"/>
        <v>0</v>
      </c>
      <c r="F52" s="456">
        <f t="shared" si="3"/>
        <v>0</v>
      </c>
      <c r="H52" s="37"/>
      <c r="I52" s="37"/>
      <c r="J52" s="37"/>
      <c r="K52" s="37"/>
      <c r="L52" s="37"/>
    </row>
    <row r="53" spans="1:12" x14ac:dyDescent="0.25">
      <c r="B53" s="455" t="s">
        <v>341</v>
      </c>
      <c r="C53" s="377">
        <f t="shared" si="0"/>
        <v>12.5367</v>
      </c>
      <c r="D53" s="378">
        <f t="shared" si="1"/>
        <v>4.0645820052690064E-4</v>
      </c>
      <c r="E53" s="377">
        <f t="shared" si="2"/>
        <v>11.282999999999999</v>
      </c>
      <c r="F53" s="456">
        <f t="shared" si="3"/>
        <v>6.6564124602236146E-4</v>
      </c>
      <c r="H53" s="37"/>
      <c r="I53" s="37"/>
      <c r="J53" s="37"/>
      <c r="K53" s="37"/>
      <c r="L53" s="37"/>
    </row>
    <row r="54" spans="1:12" x14ac:dyDescent="0.25">
      <c r="B54" s="455" t="s">
        <v>340</v>
      </c>
      <c r="C54" s="377">
        <f t="shared" si="0"/>
        <v>0.1071</v>
      </c>
      <c r="D54" s="378">
        <f t="shared" si="1"/>
        <v>3.4723390745914842E-6</v>
      </c>
      <c r="E54" s="377">
        <f t="shared" si="2"/>
        <v>0</v>
      </c>
      <c r="F54" s="456">
        <f t="shared" si="3"/>
        <v>0</v>
      </c>
      <c r="H54" s="37"/>
      <c r="I54" s="37"/>
      <c r="J54" s="37"/>
      <c r="K54" s="37"/>
      <c r="L54" s="37"/>
    </row>
    <row r="55" spans="1:12" x14ac:dyDescent="0.25">
      <c r="B55" s="455" t="s">
        <v>339</v>
      </c>
      <c r="C55" s="377">
        <f t="shared" si="0"/>
        <v>4744.3033999999998</v>
      </c>
      <c r="D55" s="378">
        <f t="shared" si="1"/>
        <v>0.15381727430006753</v>
      </c>
      <c r="E55" s="377">
        <f t="shared" si="2"/>
        <v>353.02559999999994</v>
      </c>
      <c r="F55" s="456">
        <f t="shared" si="3"/>
        <v>2.0826765954249024E-2</v>
      </c>
      <c r="H55" s="37"/>
      <c r="I55" s="37"/>
      <c r="J55" s="37"/>
      <c r="K55" s="37"/>
      <c r="L55" s="37"/>
    </row>
    <row r="56" spans="1:12" ht="13.5" thickBot="1" x14ac:dyDescent="0.35">
      <c r="B56" s="457" t="s">
        <v>344</v>
      </c>
      <c r="C56" s="458">
        <f>SUM(C48:C55)</f>
        <v>30843.762000000002</v>
      </c>
      <c r="D56" s="553">
        <f>SUM(D48:D55)</f>
        <v>0.99999999999999989</v>
      </c>
      <c r="E56" s="458">
        <f>SUM(E48:E55)</f>
        <v>16950.572199999999</v>
      </c>
      <c r="F56" s="553">
        <f>SUM(F48:F55)</f>
        <v>1</v>
      </c>
      <c r="H56" s="37"/>
      <c r="I56" s="37"/>
      <c r="J56" s="37"/>
      <c r="K56" s="37"/>
      <c r="L56" s="37"/>
    </row>
    <row r="57" spans="1:12" x14ac:dyDescent="0.25">
      <c r="B57" s="37"/>
      <c r="C57" s="37"/>
      <c r="E57" s="37"/>
      <c r="F57" s="37"/>
      <c r="G57" s="37"/>
      <c r="H57" s="37"/>
      <c r="I57" s="37"/>
      <c r="J57" s="37"/>
      <c r="K57" s="37"/>
      <c r="L57" s="37"/>
    </row>
    <row r="58" spans="1:12" x14ac:dyDescent="0.25">
      <c r="B58" s="37"/>
      <c r="C58" s="37"/>
      <c r="D58" s="37"/>
      <c r="E58" s="37"/>
      <c r="F58" s="37"/>
      <c r="G58" s="37"/>
      <c r="H58" s="37"/>
      <c r="I58" s="37"/>
      <c r="J58" s="37"/>
      <c r="K58" s="37"/>
      <c r="L58" s="37"/>
    </row>
    <row r="59" spans="1:12" x14ac:dyDescent="0.25">
      <c r="B59" s="37"/>
      <c r="C59" s="37"/>
      <c r="D59" s="37"/>
      <c r="E59" s="37"/>
      <c r="F59" s="37"/>
      <c r="G59" s="37"/>
      <c r="H59" s="37"/>
      <c r="I59" s="37"/>
      <c r="J59" s="37"/>
      <c r="K59" s="37"/>
      <c r="L59" s="37"/>
    </row>
    <row r="60" spans="1:12" x14ac:dyDescent="0.25">
      <c r="B60" s="37"/>
      <c r="C60" s="37"/>
      <c r="D60" s="37"/>
      <c r="E60" s="37"/>
      <c r="F60" s="37"/>
      <c r="G60" s="37"/>
      <c r="H60" s="37"/>
      <c r="I60" s="37"/>
      <c r="J60" s="37"/>
      <c r="K60" s="37"/>
      <c r="L60" s="37"/>
    </row>
    <row r="61" spans="1:12" x14ac:dyDescent="0.25">
      <c r="B61" s="37"/>
      <c r="C61" s="37"/>
      <c r="D61" s="37"/>
      <c r="E61" s="37"/>
      <c r="F61" s="37"/>
      <c r="G61" s="37"/>
      <c r="H61" s="37"/>
      <c r="I61" s="37"/>
      <c r="J61" s="37"/>
      <c r="K61" s="37"/>
      <c r="L61" s="37"/>
    </row>
    <row r="62" spans="1:12" x14ac:dyDescent="0.25">
      <c r="B62" s="37"/>
      <c r="C62" s="37"/>
      <c r="D62" s="37"/>
      <c r="E62" s="37"/>
      <c r="F62" s="37"/>
      <c r="G62" s="37"/>
      <c r="H62" s="37"/>
      <c r="I62" s="37"/>
      <c r="J62" s="37"/>
      <c r="K62" s="37"/>
      <c r="L62" s="37"/>
    </row>
    <row r="63" spans="1:12" x14ac:dyDescent="0.25">
      <c r="B63" s="37"/>
      <c r="C63" s="37"/>
      <c r="D63" s="37"/>
      <c r="E63" s="37"/>
      <c r="F63" s="37"/>
      <c r="G63" s="37"/>
      <c r="H63" s="37"/>
      <c r="I63" s="37"/>
      <c r="J63" s="37"/>
      <c r="K63" s="37"/>
      <c r="L63" s="37"/>
    </row>
    <row r="64" spans="1:12" s="383" customFormat="1" ht="27.65" customHeight="1" x14ac:dyDescent="0.35">
      <c r="A64" s="382"/>
      <c r="B64" s="306" t="s">
        <v>461</v>
      </c>
      <c r="D64" s="384"/>
      <c r="E64" s="384"/>
      <c r="F64" s="384"/>
      <c r="G64" s="384"/>
      <c r="H64" s="384"/>
      <c r="I64" s="384"/>
      <c r="J64" s="384"/>
      <c r="K64" s="384"/>
      <c r="L64" s="384"/>
    </row>
    <row r="65" spans="1:12" s="404" customFormat="1" ht="19.5" customHeight="1" x14ac:dyDescent="0.35">
      <c r="A65" s="403"/>
      <c r="B65" s="386" t="s">
        <v>462</v>
      </c>
      <c r="D65" s="405"/>
      <c r="E65" s="405"/>
      <c r="F65" s="405"/>
      <c r="G65" s="405"/>
      <c r="H65" s="405"/>
      <c r="I65" s="405"/>
      <c r="J65" s="405"/>
      <c r="K65" s="405"/>
      <c r="L65" s="405"/>
    </row>
    <row r="66" spans="1:12" ht="13" thickBot="1" x14ac:dyDescent="0.3">
      <c r="B66" s="37"/>
      <c r="C66" s="37"/>
      <c r="D66" s="37"/>
      <c r="E66" s="37"/>
      <c r="F66" s="37"/>
      <c r="G66" s="37"/>
      <c r="H66" s="37"/>
      <c r="I66" s="37"/>
      <c r="J66" s="37"/>
      <c r="K66" s="37"/>
      <c r="L66" s="37"/>
    </row>
    <row r="67" spans="1:12" s="366" customFormat="1" ht="34" customHeight="1" x14ac:dyDescent="0.25">
      <c r="B67" s="493" t="s">
        <v>320</v>
      </c>
      <c r="C67" s="494" t="s">
        <v>321</v>
      </c>
      <c r="D67" s="494" t="s">
        <v>322</v>
      </c>
      <c r="E67" s="494" t="s">
        <v>323</v>
      </c>
      <c r="F67" s="494" t="s">
        <v>10</v>
      </c>
      <c r="G67" s="494" t="s">
        <v>324</v>
      </c>
      <c r="H67" s="494" t="s">
        <v>325</v>
      </c>
      <c r="I67" s="494" t="s">
        <v>326</v>
      </c>
      <c r="J67" s="495" t="s">
        <v>327</v>
      </c>
      <c r="L67" s="37"/>
    </row>
    <row r="68" spans="1:12" customFormat="1" ht="14.5" hidden="1" x14ac:dyDescent="0.35">
      <c r="B68" s="147" t="s">
        <v>146</v>
      </c>
      <c r="C68" s="104" t="s">
        <v>195</v>
      </c>
      <c r="D68" s="104" t="s">
        <v>200</v>
      </c>
      <c r="E68" s="104">
        <v>55633</v>
      </c>
      <c r="F68" s="104" t="s">
        <v>25</v>
      </c>
      <c r="G68" s="149"/>
      <c r="H68" s="104">
        <v>208.9939</v>
      </c>
      <c r="I68" s="104"/>
      <c r="J68" s="518" t="s">
        <v>337</v>
      </c>
      <c r="K68" s="366"/>
      <c r="L68" s="11"/>
    </row>
    <row r="69" spans="1:12" customFormat="1" ht="14.5" hidden="1" x14ac:dyDescent="0.35">
      <c r="B69" s="147" t="s">
        <v>146</v>
      </c>
      <c r="C69" s="104" t="s">
        <v>201</v>
      </c>
      <c r="D69" s="104" t="s">
        <v>202</v>
      </c>
      <c r="E69" s="104">
        <v>39</v>
      </c>
      <c r="F69" s="104" t="s">
        <v>175</v>
      </c>
      <c r="G69" s="149"/>
      <c r="H69" s="104">
        <v>12.7569</v>
      </c>
      <c r="I69" s="104"/>
      <c r="J69" s="518" t="s">
        <v>330</v>
      </c>
      <c r="K69" s="366"/>
      <c r="L69" s="11"/>
    </row>
    <row r="70" spans="1:12" customFormat="1" ht="14.5" hidden="1" x14ac:dyDescent="0.35">
      <c r="B70" s="147" t="s">
        <v>146</v>
      </c>
      <c r="C70" s="104" t="s">
        <v>201</v>
      </c>
      <c r="D70" s="104" t="s">
        <v>203</v>
      </c>
      <c r="E70" s="104">
        <v>208</v>
      </c>
      <c r="F70" s="104" t="s">
        <v>175</v>
      </c>
      <c r="G70" s="149"/>
      <c r="H70" s="104">
        <v>51.450899999999997</v>
      </c>
      <c r="I70" s="104"/>
      <c r="J70" s="518" t="s">
        <v>330</v>
      </c>
      <c r="K70" s="366"/>
      <c r="L70" s="11"/>
    </row>
    <row r="71" spans="1:12" customFormat="1" ht="14.5" hidden="1" x14ac:dyDescent="0.35">
      <c r="B71" s="147" t="s">
        <v>146</v>
      </c>
      <c r="C71" s="104" t="s">
        <v>201</v>
      </c>
      <c r="D71" s="104" t="s">
        <v>204</v>
      </c>
      <c r="E71" s="104">
        <v>54</v>
      </c>
      <c r="F71" s="104" t="s">
        <v>175</v>
      </c>
      <c r="G71" s="149"/>
      <c r="H71" s="104">
        <v>12.1282</v>
      </c>
      <c r="I71" s="104"/>
      <c r="J71" s="518" t="s">
        <v>330</v>
      </c>
      <c r="K71" s="366"/>
      <c r="L71" s="11"/>
    </row>
    <row r="72" spans="1:12" customFormat="1" ht="14.5" hidden="1" x14ac:dyDescent="0.35">
      <c r="B72" s="147" t="s">
        <v>157</v>
      </c>
      <c r="C72" s="104" t="s">
        <v>172</v>
      </c>
      <c r="D72" s="104" t="s">
        <v>205</v>
      </c>
      <c r="E72" s="104">
        <v>375</v>
      </c>
      <c r="F72" s="104" t="s">
        <v>171</v>
      </c>
      <c r="G72" s="149"/>
      <c r="H72" s="104">
        <v>1.4785999999999999</v>
      </c>
      <c r="I72" s="104"/>
      <c r="J72" s="518" t="s">
        <v>338</v>
      </c>
      <c r="K72" s="366"/>
      <c r="L72" s="11"/>
    </row>
    <row r="73" spans="1:12" s="5" customFormat="1" ht="25" hidden="1" customHeight="1" x14ac:dyDescent="0.35">
      <c r="B73" s="147" t="s">
        <v>146</v>
      </c>
      <c r="C73" s="104" t="s">
        <v>206</v>
      </c>
      <c r="D73" s="104" t="s">
        <v>207</v>
      </c>
      <c r="E73" s="104">
        <v>1410</v>
      </c>
      <c r="F73" s="104" t="s">
        <v>25</v>
      </c>
      <c r="G73" s="149"/>
      <c r="H73" s="104">
        <v>117.8732</v>
      </c>
      <c r="I73" s="104"/>
      <c r="J73" s="518" t="s">
        <v>337</v>
      </c>
      <c r="L73" s="34"/>
    </row>
    <row r="74" spans="1:12" customFormat="1" ht="14.5" hidden="1" x14ac:dyDescent="0.35">
      <c r="B74" s="147" t="s">
        <v>146</v>
      </c>
      <c r="C74" s="104" t="s">
        <v>206</v>
      </c>
      <c r="D74" s="104" t="s">
        <v>208</v>
      </c>
      <c r="E74" s="104">
        <v>2495</v>
      </c>
      <c r="F74" s="104" t="s">
        <v>25</v>
      </c>
      <c r="G74" s="149"/>
      <c r="H74" s="104">
        <v>285.32069999999999</v>
      </c>
      <c r="I74" s="104"/>
      <c r="J74" s="518" t="s">
        <v>337</v>
      </c>
      <c r="K74" s="366"/>
      <c r="L74" s="11"/>
    </row>
    <row r="75" spans="1:12" customFormat="1" ht="14.5" hidden="1" x14ac:dyDescent="0.35">
      <c r="B75" s="147" t="s">
        <v>157</v>
      </c>
      <c r="C75" s="104" t="s">
        <v>172</v>
      </c>
      <c r="D75" s="104" t="s">
        <v>205</v>
      </c>
      <c r="E75" s="104">
        <v>3905</v>
      </c>
      <c r="F75" s="104" t="s">
        <v>171</v>
      </c>
      <c r="G75" s="149"/>
      <c r="H75" s="104">
        <v>15.397399999999999</v>
      </c>
      <c r="I75" s="104"/>
      <c r="J75" s="518" t="s">
        <v>338</v>
      </c>
      <c r="K75" s="366"/>
      <c r="L75" s="11"/>
    </row>
    <row r="76" spans="1:12" customFormat="1" ht="14.5" hidden="1" x14ac:dyDescent="0.35">
      <c r="B76" s="147" t="s">
        <v>146</v>
      </c>
      <c r="C76" s="104" t="s">
        <v>206</v>
      </c>
      <c r="D76" s="104" t="s">
        <v>209</v>
      </c>
      <c r="E76" s="104">
        <v>192</v>
      </c>
      <c r="F76" s="104" t="s">
        <v>25</v>
      </c>
      <c r="G76" s="149"/>
      <c r="H76" s="104">
        <v>64.621399999999994</v>
      </c>
      <c r="I76" s="104"/>
      <c r="J76" s="518" t="s">
        <v>339</v>
      </c>
      <c r="K76" s="366"/>
      <c r="L76" s="11"/>
    </row>
    <row r="77" spans="1:12" customFormat="1" ht="14.5" x14ac:dyDescent="0.35">
      <c r="B77" s="147" t="s">
        <v>148</v>
      </c>
      <c r="C77" s="104" t="s">
        <v>210</v>
      </c>
      <c r="D77" s="104" t="s">
        <v>211</v>
      </c>
      <c r="E77" s="104">
        <v>1797</v>
      </c>
      <c r="F77" s="104" t="s">
        <v>25</v>
      </c>
      <c r="G77" s="149"/>
      <c r="H77" s="104">
        <v>128.03270000000001</v>
      </c>
      <c r="I77" s="104"/>
      <c r="J77" s="518" t="s">
        <v>338</v>
      </c>
      <c r="K77" s="366"/>
      <c r="L77" s="11"/>
    </row>
    <row r="78" spans="1:12" customFormat="1" ht="14.5" x14ac:dyDescent="0.35">
      <c r="B78" s="147" t="s">
        <v>148</v>
      </c>
      <c r="C78" s="104" t="s">
        <v>210</v>
      </c>
      <c r="D78" s="104" t="s">
        <v>212</v>
      </c>
      <c r="E78" s="104">
        <v>1347</v>
      </c>
      <c r="F78" s="104" t="s">
        <v>25</v>
      </c>
      <c r="G78" s="149"/>
      <c r="H78" s="104">
        <v>174.63589999999999</v>
      </c>
      <c r="I78" s="104"/>
      <c r="J78" s="518" t="s">
        <v>338</v>
      </c>
      <c r="K78" s="366"/>
      <c r="L78" s="11"/>
    </row>
    <row r="79" spans="1:12" customFormat="1" ht="14.5" x14ac:dyDescent="0.35">
      <c r="B79" s="147" t="s">
        <v>148</v>
      </c>
      <c r="C79" s="104" t="s">
        <v>210</v>
      </c>
      <c r="D79" s="104" t="s">
        <v>213</v>
      </c>
      <c r="E79" s="104">
        <v>90</v>
      </c>
      <c r="F79" s="104" t="s">
        <v>25</v>
      </c>
      <c r="G79" s="149"/>
      <c r="H79" s="104">
        <v>18.448599999999999</v>
      </c>
      <c r="I79" s="104"/>
      <c r="J79" s="518" t="s">
        <v>338</v>
      </c>
      <c r="K79" s="366"/>
      <c r="L79" s="11"/>
    </row>
    <row r="80" spans="1:12" customFormat="1" ht="14.5" x14ac:dyDescent="0.35">
      <c r="B80" s="147" t="s">
        <v>148</v>
      </c>
      <c r="C80" s="104" t="s">
        <v>210</v>
      </c>
      <c r="D80" s="104" t="s">
        <v>214</v>
      </c>
      <c r="E80" s="104">
        <v>157</v>
      </c>
      <c r="F80" s="104" t="s">
        <v>25</v>
      </c>
      <c r="G80" s="149"/>
      <c r="H80" s="104">
        <v>65.556899999999999</v>
      </c>
      <c r="I80" s="104"/>
      <c r="J80" s="518" t="s">
        <v>338</v>
      </c>
      <c r="K80" s="366"/>
      <c r="L80" s="11"/>
    </row>
    <row r="81" spans="2:12" customFormat="1" ht="14.5" x14ac:dyDescent="0.35">
      <c r="B81" s="147" t="s">
        <v>148</v>
      </c>
      <c r="C81" s="104" t="s">
        <v>167</v>
      </c>
      <c r="D81" s="104" t="s">
        <v>215</v>
      </c>
      <c r="E81" s="104">
        <v>11531</v>
      </c>
      <c r="F81" s="104" t="s">
        <v>25</v>
      </c>
      <c r="G81" s="149"/>
      <c r="H81" s="104">
        <v>68.626300000000001</v>
      </c>
      <c r="I81" s="104"/>
      <c r="J81" s="518" t="s">
        <v>339</v>
      </c>
      <c r="K81" s="366"/>
      <c r="L81" s="9"/>
    </row>
    <row r="82" spans="2:12" customFormat="1" ht="14.5" x14ac:dyDescent="0.35">
      <c r="B82" s="147" t="s">
        <v>148</v>
      </c>
      <c r="C82" s="104" t="s">
        <v>167</v>
      </c>
      <c r="D82" s="104" t="s">
        <v>216</v>
      </c>
      <c r="E82" s="104">
        <v>9951</v>
      </c>
      <c r="F82" s="104" t="s">
        <v>25</v>
      </c>
      <c r="G82" s="149"/>
      <c r="H82" s="104">
        <v>105.91370000000001</v>
      </c>
      <c r="I82" s="104"/>
      <c r="J82" s="518" t="s">
        <v>339</v>
      </c>
      <c r="K82" s="366"/>
      <c r="L82" s="9"/>
    </row>
    <row r="83" spans="2:12" customFormat="1" ht="14.5" x14ac:dyDescent="0.35">
      <c r="B83" s="147" t="s">
        <v>148</v>
      </c>
      <c r="C83" s="104" t="s">
        <v>167</v>
      </c>
      <c r="D83" s="104" t="s">
        <v>217</v>
      </c>
      <c r="E83" s="104">
        <v>11183</v>
      </c>
      <c r="F83" s="104" t="s">
        <v>25</v>
      </c>
      <c r="G83" s="149"/>
      <c r="H83" s="104">
        <v>211.6027</v>
      </c>
      <c r="I83" s="104"/>
      <c r="J83" s="518" t="s">
        <v>339</v>
      </c>
      <c r="K83" s="366"/>
      <c r="L83" s="9"/>
    </row>
    <row r="84" spans="2:12" customFormat="1" ht="14.5" x14ac:dyDescent="0.35">
      <c r="B84" s="147" t="s">
        <v>148</v>
      </c>
      <c r="C84" s="104" t="s">
        <v>167</v>
      </c>
      <c r="D84" s="104" t="s">
        <v>218</v>
      </c>
      <c r="E84" s="104">
        <v>4436</v>
      </c>
      <c r="F84" s="104" t="s">
        <v>25</v>
      </c>
      <c r="G84" s="149"/>
      <c r="H84" s="104">
        <v>124.81570000000001</v>
      </c>
      <c r="I84" s="104"/>
      <c r="J84" s="518" t="s">
        <v>339</v>
      </c>
      <c r="K84" s="366"/>
      <c r="L84" s="9"/>
    </row>
    <row r="85" spans="2:12" customFormat="1" ht="14.5" hidden="1" x14ac:dyDescent="0.35">
      <c r="B85" s="147" t="s">
        <v>157</v>
      </c>
      <c r="C85" s="104" t="s">
        <v>172</v>
      </c>
      <c r="D85" s="104" t="s">
        <v>173</v>
      </c>
      <c r="E85" s="104">
        <v>174</v>
      </c>
      <c r="F85" s="104" t="s">
        <v>171</v>
      </c>
      <c r="G85" s="149"/>
      <c r="H85" s="104">
        <v>44.462699999999998</v>
      </c>
      <c r="I85" s="104"/>
      <c r="J85" s="518" t="s">
        <v>338</v>
      </c>
      <c r="K85" s="366"/>
      <c r="L85" s="9"/>
    </row>
    <row r="86" spans="2:12" customFormat="1" ht="14.5" hidden="1" x14ac:dyDescent="0.35">
      <c r="B86" s="147" t="s">
        <v>151</v>
      </c>
      <c r="C86" s="104" t="s">
        <v>189</v>
      </c>
      <c r="D86" s="104" t="s">
        <v>194</v>
      </c>
      <c r="E86" s="104">
        <v>28532</v>
      </c>
      <c r="F86" s="104" t="s">
        <v>187</v>
      </c>
      <c r="G86" s="149"/>
      <c r="H86" s="104">
        <v>11.5412</v>
      </c>
      <c r="I86" s="104"/>
      <c r="J86" s="518" t="s">
        <v>339</v>
      </c>
      <c r="K86" s="366"/>
      <c r="L86" s="9"/>
    </row>
    <row r="87" spans="2:12" customFormat="1" ht="14.5" x14ac:dyDescent="0.35">
      <c r="B87" s="147" t="s">
        <v>148</v>
      </c>
      <c r="C87" s="104" t="s">
        <v>180</v>
      </c>
      <c r="D87" s="104" t="s">
        <v>219</v>
      </c>
      <c r="E87" s="104">
        <v>599</v>
      </c>
      <c r="F87" s="104" t="s">
        <v>175</v>
      </c>
      <c r="G87" s="149"/>
      <c r="H87" s="104">
        <v>383.03649999999999</v>
      </c>
      <c r="I87" s="104"/>
      <c r="J87" s="518" t="s">
        <v>338</v>
      </c>
      <c r="K87" s="366"/>
      <c r="L87" s="9"/>
    </row>
    <row r="88" spans="2:12" customFormat="1" ht="14.5" x14ac:dyDescent="0.35">
      <c r="B88" s="147" t="s">
        <v>148</v>
      </c>
      <c r="C88" s="104" t="s">
        <v>180</v>
      </c>
      <c r="D88" s="104" t="s">
        <v>220</v>
      </c>
      <c r="E88" s="104">
        <v>20</v>
      </c>
      <c r="F88" s="104" t="s">
        <v>175</v>
      </c>
      <c r="G88" s="149"/>
      <c r="H88" s="104">
        <v>20.372</v>
      </c>
      <c r="I88" s="104"/>
      <c r="J88" s="518" t="s">
        <v>338</v>
      </c>
      <c r="K88" s="366"/>
      <c r="L88" s="9"/>
    </row>
    <row r="89" spans="2:12" customFormat="1" ht="14.5" x14ac:dyDescent="0.35">
      <c r="B89" s="147" t="s">
        <v>148</v>
      </c>
      <c r="C89" s="104" t="s">
        <v>180</v>
      </c>
      <c r="D89" s="104" t="s">
        <v>221</v>
      </c>
      <c r="E89" s="104">
        <v>48</v>
      </c>
      <c r="F89" s="104" t="s">
        <v>175</v>
      </c>
      <c r="G89" s="149"/>
      <c r="H89" s="104">
        <v>36.845799999999997</v>
      </c>
      <c r="I89" s="104"/>
      <c r="J89" s="518" t="s">
        <v>338</v>
      </c>
      <c r="K89" s="366"/>
      <c r="L89" s="9"/>
    </row>
    <row r="90" spans="2:12" customFormat="1" ht="14.5" x14ac:dyDescent="0.35">
      <c r="B90" s="147" t="s">
        <v>148</v>
      </c>
      <c r="C90" s="104" t="s">
        <v>180</v>
      </c>
      <c r="D90" s="104" t="s">
        <v>222</v>
      </c>
      <c r="E90" s="104">
        <v>12</v>
      </c>
      <c r="F90" s="104" t="s">
        <v>175</v>
      </c>
      <c r="G90" s="149"/>
      <c r="H90" s="104">
        <v>15.0427</v>
      </c>
      <c r="I90" s="104"/>
      <c r="J90" s="518" t="s">
        <v>338</v>
      </c>
      <c r="K90" s="366"/>
      <c r="L90" s="9"/>
    </row>
    <row r="91" spans="2:12" customFormat="1" ht="14.5" x14ac:dyDescent="0.35">
      <c r="B91" s="147" t="s">
        <v>148</v>
      </c>
      <c r="C91" s="104" t="s">
        <v>180</v>
      </c>
      <c r="D91" s="104" t="s">
        <v>223</v>
      </c>
      <c r="E91" s="104">
        <v>29</v>
      </c>
      <c r="F91" s="104" t="s">
        <v>175</v>
      </c>
      <c r="G91" s="149"/>
      <c r="H91" s="104">
        <v>30.9848</v>
      </c>
      <c r="I91" s="104"/>
      <c r="J91" s="518" t="s">
        <v>338</v>
      </c>
      <c r="K91" s="366"/>
      <c r="L91" s="9"/>
    </row>
    <row r="92" spans="2:12" customFormat="1" ht="14.5" x14ac:dyDescent="0.35">
      <c r="B92" s="147" t="s">
        <v>148</v>
      </c>
      <c r="C92" s="104" t="s">
        <v>180</v>
      </c>
      <c r="D92" s="104" t="s">
        <v>224</v>
      </c>
      <c r="E92" s="104">
        <v>5</v>
      </c>
      <c r="F92" s="104" t="s">
        <v>175</v>
      </c>
      <c r="G92" s="149"/>
      <c r="H92" s="104">
        <v>8.8933</v>
      </c>
      <c r="I92" s="104"/>
      <c r="J92" s="518" t="s">
        <v>338</v>
      </c>
      <c r="K92" s="366"/>
      <c r="L92" s="9"/>
    </row>
    <row r="93" spans="2:12" customFormat="1" ht="14.5" x14ac:dyDescent="0.35">
      <c r="B93" s="147" t="s">
        <v>148</v>
      </c>
      <c r="C93" s="104" t="s">
        <v>225</v>
      </c>
      <c r="D93" s="104" t="s">
        <v>226</v>
      </c>
      <c r="E93" s="104">
        <v>195</v>
      </c>
      <c r="F93" s="104" t="s">
        <v>175</v>
      </c>
      <c r="G93" s="149"/>
      <c r="H93" s="104">
        <v>17.0898</v>
      </c>
      <c r="I93" s="104"/>
      <c r="J93" s="518" t="s">
        <v>338</v>
      </c>
      <c r="K93" s="366"/>
      <c r="L93" s="9"/>
    </row>
    <row r="94" spans="2:12" customFormat="1" ht="29" x14ac:dyDescent="0.35">
      <c r="B94" s="519" t="s">
        <v>148</v>
      </c>
      <c r="C94" s="102" t="s">
        <v>227</v>
      </c>
      <c r="D94" s="102" t="s">
        <v>228</v>
      </c>
      <c r="E94" s="102">
        <v>122</v>
      </c>
      <c r="F94" s="102" t="s">
        <v>175</v>
      </c>
      <c r="G94" s="150"/>
      <c r="H94" s="102">
        <v>6.4699999999999994E-2</v>
      </c>
      <c r="I94" s="102"/>
      <c r="J94" s="419" t="s">
        <v>340</v>
      </c>
      <c r="K94" s="366"/>
      <c r="L94" s="9"/>
    </row>
    <row r="95" spans="2:12" customFormat="1" ht="58" x14ac:dyDescent="0.35">
      <c r="B95" s="519" t="s">
        <v>148</v>
      </c>
      <c r="C95" s="102" t="s">
        <v>229</v>
      </c>
      <c r="D95" s="102" t="s">
        <v>230</v>
      </c>
      <c r="E95" s="102">
        <v>32</v>
      </c>
      <c r="F95" s="102" t="s">
        <v>175</v>
      </c>
      <c r="G95" s="150"/>
      <c r="H95" s="102">
        <v>129.6</v>
      </c>
      <c r="I95" s="102"/>
      <c r="J95" s="419" t="s">
        <v>339</v>
      </c>
      <c r="K95" s="366"/>
      <c r="L95" s="9"/>
    </row>
    <row r="96" spans="2:12" customFormat="1" ht="29" x14ac:dyDescent="0.35">
      <c r="B96" s="519" t="s">
        <v>148</v>
      </c>
      <c r="C96" s="102" t="s">
        <v>227</v>
      </c>
      <c r="D96" s="102" t="s">
        <v>228</v>
      </c>
      <c r="E96" s="102">
        <v>80</v>
      </c>
      <c r="F96" s="102" t="s">
        <v>175</v>
      </c>
      <c r="G96" s="150"/>
      <c r="H96" s="102">
        <v>4.24E-2</v>
      </c>
      <c r="I96" s="102"/>
      <c r="J96" s="419" t="s">
        <v>340</v>
      </c>
      <c r="K96" s="366"/>
      <c r="L96" s="9"/>
    </row>
    <row r="97" spans="2:12" customFormat="1" ht="43.5" x14ac:dyDescent="0.35">
      <c r="B97" s="519" t="s">
        <v>148</v>
      </c>
      <c r="C97" s="102" t="s">
        <v>210</v>
      </c>
      <c r="D97" s="102" t="s">
        <v>211</v>
      </c>
      <c r="E97" s="102">
        <v>700</v>
      </c>
      <c r="F97" s="102" t="s">
        <v>25</v>
      </c>
      <c r="G97" s="150"/>
      <c r="H97" s="102">
        <v>49.873600000000003</v>
      </c>
      <c r="I97" s="102"/>
      <c r="J97" s="419" t="s">
        <v>338</v>
      </c>
      <c r="K97" s="366"/>
      <c r="L97" s="9"/>
    </row>
    <row r="98" spans="2:12" ht="25" hidden="1" x14ac:dyDescent="0.25">
      <c r="B98" s="514" t="s">
        <v>150</v>
      </c>
      <c r="C98" s="407" t="s">
        <v>231</v>
      </c>
      <c r="D98" s="407" t="s">
        <v>232</v>
      </c>
      <c r="E98" s="407">
        <v>443519</v>
      </c>
      <c r="F98" s="407" t="s">
        <v>187</v>
      </c>
      <c r="G98" s="378"/>
      <c r="H98" s="407">
        <v>1065.3326</v>
      </c>
      <c r="I98" s="407"/>
      <c r="J98" s="520" t="s">
        <v>328</v>
      </c>
    </row>
    <row r="99" spans="2:12" ht="37.5" hidden="1" x14ac:dyDescent="0.25">
      <c r="B99" s="514" t="s">
        <v>150</v>
      </c>
      <c r="C99" s="407" t="s">
        <v>233</v>
      </c>
      <c r="D99" s="407" t="s">
        <v>234</v>
      </c>
      <c r="E99" s="407">
        <v>374223</v>
      </c>
      <c r="F99" s="407" t="s">
        <v>187</v>
      </c>
      <c r="G99" s="378"/>
      <c r="H99" s="407">
        <v>9099.9807000000001</v>
      </c>
      <c r="I99" s="407"/>
      <c r="J99" s="520" t="s">
        <v>338</v>
      </c>
    </row>
    <row r="100" spans="2:12" customFormat="1" ht="72.5" hidden="1" x14ac:dyDescent="0.35">
      <c r="B100" s="519" t="s">
        <v>151</v>
      </c>
      <c r="C100" s="102" t="s">
        <v>235</v>
      </c>
      <c r="D100" s="102" t="s">
        <v>236</v>
      </c>
      <c r="E100" s="102">
        <v>374223</v>
      </c>
      <c r="F100" s="102" t="s">
        <v>187</v>
      </c>
      <c r="G100" s="150">
        <v>2.04</v>
      </c>
      <c r="H100" s="102">
        <v>2552.9493000000002</v>
      </c>
      <c r="I100" s="102">
        <v>5208.0165999999999</v>
      </c>
      <c r="J100" s="419" t="s">
        <v>329</v>
      </c>
      <c r="K100" s="366"/>
      <c r="L100" s="9"/>
    </row>
    <row r="101" spans="2:12" customFormat="1" ht="72.5" hidden="1" x14ac:dyDescent="0.35">
      <c r="B101" s="519" t="s">
        <v>151</v>
      </c>
      <c r="C101" s="102" t="s">
        <v>235</v>
      </c>
      <c r="D101" s="102" t="s">
        <v>236</v>
      </c>
      <c r="E101" s="102">
        <v>374223</v>
      </c>
      <c r="F101" s="102" t="s">
        <v>187</v>
      </c>
      <c r="G101" s="150">
        <v>2.04</v>
      </c>
      <c r="H101" s="102">
        <v>2552.9493000000002</v>
      </c>
      <c r="I101" s="102">
        <v>5208.0165999999999</v>
      </c>
      <c r="J101" s="419" t="s">
        <v>329</v>
      </c>
      <c r="K101" s="366"/>
      <c r="L101" s="9"/>
    </row>
    <row r="102" spans="2:12" customFormat="1" ht="72.5" hidden="1" x14ac:dyDescent="0.35">
      <c r="B102" s="519" t="s">
        <v>151</v>
      </c>
      <c r="C102" s="102" t="s">
        <v>235</v>
      </c>
      <c r="D102" s="102" t="s">
        <v>237</v>
      </c>
      <c r="E102" s="102">
        <v>374223</v>
      </c>
      <c r="F102" s="102" t="s">
        <v>187</v>
      </c>
      <c r="G102" s="150">
        <v>2.04</v>
      </c>
      <c r="H102" s="102">
        <v>1982.6334999999999</v>
      </c>
      <c r="I102" s="102">
        <v>4044.5722000000001</v>
      </c>
      <c r="J102" s="419" t="s">
        <v>329</v>
      </c>
      <c r="K102" s="366"/>
      <c r="L102" s="9"/>
    </row>
    <row r="103" spans="2:12" customFormat="1" ht="43.5" hidden="1" x14ac:dyDescent="0.35">
      <c r="B103" s="519" t="s">
        <v>151</v>
      </c>
      <c r="C103" s="102" t="s">
        <v>238</v>
      </c>
      <c r="D103" s="102" t="s">
        <v>239</v>
      </c>
      <c r="E103" s="102">
        <v>1122669</v>
      </c>
      <c r="F103" s="102" t="s">
        <v>187</v>
      </c>
      <c r="G103" s="150">
        <v>6</v>
      </c>
      <c r="H103" s="102">
        <v>337.92340000000002</v>
      </c>
      <c r="I103" s="102">
        <v>2027.5401999999999</v>
      </c>
      <c r="J103" s="419" t="s">
        <v>329</v>
      </c>
      <c r="K103" s="366"/>
      <c r="L103" s="9"/>
    </row>
    <row r="104" spans="2:12" customFormat="1" ht="29" hidden="1" x14ac:dyDescent="0.35">
      <c r="B104" s="519" t="s">
        <v>147</v>
      </c>
      <c r="C104" s="102" t="s">
        <v>183</v>
      </c>
      <c r="D104" s="102" t="s">
        <v>184</v>
      </c>
      <c r="E104" s="102">
        <v>41713</v>
      </c>
      <c r="F104" s="102" t="s">
        <v>25</v>
      </c>
      <c r="G104" s="150"/>
      <c r="H104" s="102">
        <v>2566.2004000000002</v>
      </c>
      <c r="I104" s="102"/>
      <c r="J104" s="419" t="s">
        <v>330</v>
      </c>
      <c r="K104" s="366"/>
      <c r="L104" s="9"/>
    </row>
    <row r="105" spans="2:12" customFormat="1" ht="29" hidden="1" x14ac:dyDescent="0.35">
      <c r="B105" s="519" t="s">
        <v>147</v>
      </c>
      <c r="C105" s="102" t="s">
        <v>183</v>
      </c>
      <c r="D105" s="102" t="s">
        <v>240</v>
      </c>
      <c r="E105" s="102">
        <v>22094</v>
      </c>
      <c r="F105" s="102" t="s">
        <v>25</v>
      </c>
      <c r="G105" s="150"/>
      <c r="H105" s="102">
        <v>2167.2093</v>
      </c>
      <c r="I105" s="102"/>
      <c r="J105" s="419" t="s">
        <v>330</v>
      </c>
      <c r="K105" s="366"/>
      <c r="L105" s="9"/>
    </row>
    <row r="106" spans="2:12" customFormat="1" ht="29" hidden="1" x14ac:dyDescent="0.35">
      <c r="B106" s="519" t="s">
        <v>147</v>
      </c>
      <c r="C106" s="102" t="s">
        <v>183</v>
      </c>
      <c r="D106" s="102" t="s">
        <v>241</v>
      </c>
      <c r="E106" s="102">
        <v>356</v>
      </c>
      <c r="F106" s="102" t="s">
        <v>25</v>
      </c>
      <c r="G106" s="150"/>
      <c r="H106" s="102">
        <v>106.3728</v>
      </c>
      <c r="I106" s="102"/>
      <c r="J106" s="419" t="s">
        <v>338</v>
      </c>
      <c r="K106" s="366"/>
      <c r="L106" s="9"/>
    </row>
    <row r="107" spans="2:12" customFormat="1" ht="29" hidden="1" x14ac:dyDescent="0.35">
      <c r="B107" s="519" t="s">
        <v>154</v>
      </c>
      <c r="C107" s="102" t="s">
        <v>242</v>
      </c>
      <c r="D107" s="102" t="s">
        <v>243</v>
      </c>
      <c r="E107" s="102">
        <v>39</v>
      </c>
      <c r="F107" s="102" t="s">
        <v>175</v>
      </c>
      <c r="G107" s="150">
        <v>5</v>
      </c>
      <c r="H107" s="102">
        <v>0.92930000000000001</v>
      </c>
      <c r="I107" s="102">
        <v>4.6463999999999999</v>
      </c>
      <c r="J107" s="419" t="s">
        <v>339</v>
      </c>
      <c r="K107" s="366"/>
      <c r="L107" s="9"/>
    </row>
    <row r="108" spans="2:12" customFormat="1" ht="29" hidden="1" x14ac:dyDescent="0.35">
      <c r="B108" s="519" t="s">
        <v>154</v>
      </c>
      <c r="C108" s="102" t="s">
        <v>242</v>
      </c>
      <c r="D108" s="102" t="s">
        <v>244</v>
      </c>
      <c r="E108" s="102">
        <v>44672</v>
      </c>
      <c r="F108" s="102" t="s">
        <v>25</v>
      </c>
      <c r="G108" s="150">
        <v>5</v>
      </c>
      <c r="H108" s="102">
        <v>35.834400000000002</v>
      </c>
      <c r="I108" s="102">
        <v>179.172</v>
      </c>
      <c r="J108" s="419" t="s">
        <v>339</v>
      </c>
      <c r="K108" s="366"/>
      <c r="L108" s="9"/>
    </row>
    <row r="109" spans="2:12" customFormat="1" ht="14.5" hidden="1" x14ac:dyDescent="0.35">
      <c r="B109" s="519" t="s">
        <v>154</v>
      </c>
      <c r="C109" s="102" t="s">
        <v>242</v>
      </c>
      <c r="D109" s="102" t="s">
        <v>245</v>
      </c>
      <c r="E109" s="102">
        <v>37931</v>
      </c>
      <c r="F109" s="102" t="s">
        <v>25</v>
      </c>
      <c r="G109" s="150">
        <v>5</v>
      </c>
      <c r="H109" s="102">
        <v>33.467799999999997</v>
      </c>
      <c r="I109" s="102">
        <v>167.3389</v>
      </c>
      <c r="J109" s="419" t="s">
        <v>339</v>
      </c>
      <c r="K109" s="366"/>
      <c r="L109" s="9"/>
    </row>
    <row r="110" spans="2:12" customFormat="1" ht="29" hidden="1" x14ac:dyDescent="0.35">
      <c r="B110" s="519" t="s">
        <v>154</v>
      </c>
      <c r="C110" s="102" t="s">
        <v>246</v>
      </c>
      <c r="D110" s="102" t="s">
        <v>247</v>
      </c>
      <c r="E110" s="102">
        <v>4</v>
      </c>
      <c r="F110" s="102" t="s">
        <v>175</v>
      </c>
      <c r="G110" s="150">
        <v>0.9</v>
      </c>
      <c r="H110" s="102">
        <v>12.5367</v>
      </c>
      <c r="I110" s="102">
        <v>11.282999999999999</v>
      </c>
      <c r="J110" s="419" t="s">
        <v>341</v>
      </c>
      <c r="K110" s="366"/>
      <c r="L110" s="9"/>
    </row>
    <row r="111" spans="2:12" customFormat="1" ht="29" hidden="1" x14ac:dyDescent="0.35">
      <c r="B111" s="519" t="s">
        <v>157</v>
      </c>
      <c r="C111" s="102" t="s">
        <v>172</v>
      </c>
      <c r="D111" s="102" t="s">
        <v>173</v>
      </c>
      <c r="E111" s="102">
        <v>376.79</v>
      </c>
      <c r="F111" s="102" t="s">
        <v>171</v>
      </c>
      <c r="G111" s="150"/>
      <c r="H111" s="102">
        <v>96.282200000000003</v>
      </c>
      <c r="I111" s="102"/>
      <c r="J111" s="419" t="s">
        <v>338</v>
      </c>
      <c r="K111" s="366"/>
      <c r="L111" s="9"/>
    </row>
    <row r="112" spans="2:12" customFormat="1" ht="29" hidden="1" x14ac:dyDescent="0.35">
      <c r="B112" s="519" t="s">
        <v>154</v>
      </c>
      <c r="C112" s="102" t="s">
        <v>248</v>
      </c>
      <c r="D112" s="102" t="s">
        <v>249</v>
      </c>
      <c r="E112" s="102">
        <v>7526</v>
      </c>
      <c r="F112" s="102" t="s">
        <v>175</v>
      </c>
      <c r="G112" s="150">
        <v>1.5</v>
      </c>
      <c r="H112" s="102">
        <v>1.2456</v>
      </c>
      <c r="I112" s="102">
        <v>1.8683000000000001</v>
      </c>
      <c r="J112" s="419" t="s">
        <v>339</v>
      </c>
      <c r="K112" s="366"/>
      <c r="L112" s="9"/>
    </row>
    <row r="113" spans="2:12" customFormat="1" ht="14.5" hidden="1" x14ac:dyDescent="0.35">
      <c r="B113" s="519" t="s">
        <v>154</v>
      </c>
      <c r="C113" s="102" t="s">
        <v>250</v>
      </c>
      <c r="D113" s="102" t="s">
        <v>251</v>
      </c>
      <c r="E113" s="102">
        <v>137</v>
      </c>
      <c r="F113" s="102" t="s">
        <v>175</v>
      </c>
      <c r="G113" s="150"/>
      <c r="H113" s="102">
        <v>9.0700000000000003E-2</v>
      </c>
      <c r="I113" s="102"/>
      <c r="J113" s="419" t="s">
        <v>339</v>
      </c>
      <c r="K113" s="366"/>
      <c r="L113" s="9"/>
    </row>
    <row r="114" spans="2:12" customFormat="1" ht="29" hidden="1" x14ac:dyDescent="0.35">
      <c r="B114" s="519" t="s">
        <v>157</v>
      </c>
      <c r="C114" s="102" t="s">
        <v>172</v>
      </c>
      <c r="D114" s="102" t="s">
        <v>173</v>
      </c>
      <c r="E114" s="102">
        <v>186</v>
      </c>
      <c r="F114" s="102" t="s">
        <v>171</v>
      </c>
      <c r="G114" s="150"/>
      <c r="H114" s="102">
        <v>47.5291</v>
      </c>
      <c r="I114" s="102"/>
      <c r="J114" s="419" t="s">
        <v>338</v>
      </c>
      <c r="K114" s="366"/>
      <c r="L114" s="9"/>
    </row>
    <row r="115" spans="2:12" customFormat="1" ht="29" x14ac:dyDescent="0.35">
      <c r="B115" s="519" t="s">
        <v>148</v>
      </c>
      <c r="C115" s="102" t="s">
        <v>180</v>
      </c>
      <c r="D115" s="102" t="s">
        <v>188</v>
      </c>
      <c r="E115" s="102">
        <v>506</v>
      </c>
      <c r="F115" s="102" t="s">
        <v>175</v>
      </c>
      <c r="G115" s="150"/>
      <c r="H115" s="102">
        <v>1269.5622000000001</v>
      </c>
      <c r="I115" s="102"/>
      <c r="J115" s="419" t="s">
        <v>338</v>
      </c>
      <c r="K115" s="366"/>
      <c r="L115" s="9"/>
    </row>
    <row r="116" spans="2:12" customFormat="1" ht="29" hidden="1" x14ac:dyDescent="0.35">
      <c r="B116" s="519" t="s">
        <v>154</v>
      </c>
      <c r="C116" s="102" t="s">
        <v>246</v>
      </c>
      <c r="D116" s="102" t="s">
        <v>252</v>
      </c>
      <c r="E116" s="102">
        <v>790</v>
      </c>
      <c r="F116" s="102" t="s">
        <v>187</v>
      </c>
      <c r="G116" s="150">
        <v>0.9</v>
      </c>
      <c r="H116" s="102">
        <v>109.02</v>
      </c>
      <c r="I116" s="102">
        <v>98.117999999999995</v>
      </c>
      <c r="J116" s="419" t="s">
        <v>330</v>
      </c>
      <c r="K116" s="366"/>
      <c r="L116" s="9"/>
    </row>
    <row r="117" spans="2:12" customFormat="1" ht="44.15" hidden="1" customHeight="1" x14ac:dyDescent="0.35">
      <c r="B117" s="519" t="s">
        <v>146</v>
      </c>
      <c r="C117" s="102" t="s">
        <v>195</v>
      </c>
      <c r="D117" s="102" t="s">
        <v>196</v>
      </c>
      <c r="E117" s="102">
        <v>6481</v>
      </c>
      <c r="F117" s="102" t="s">
        <v>25</v>
      </c>
      <c r="G117" s="150"/>
      <c r="H117" s="102">
        <v>68.330500000000001</v>
      </c>
      <c r="I117" s="102"/>
      <c r="J117" s="419" t="s">
        <v>330</v>
      </c>
      <c r="K117" s="366"/>
      <c r="L117" s="9"/>
    </row>
    <row r="118" spans="2:12" customFormat="1" ht="29" hidden="1" x14ac:dyDescent="0.35">
      <c r="B118" s="519" t="s">
        <v>155</v>
      </c>
      <c r="C118" s="102" t="s">
        <v>179</v>
      </c>
      <c r="D118" s="102" t="s">
        <v>253</v>
      </c>
      <c r="E118" s="102">
        <v>271968</v>
      </c>
      <c r="F118" s="102" t="s">
        <v>25</v>
      </c>
      <c r="G118" s="150"/>
      <c r="H118" s="102">
        <v>1644.8625</v>
      </c>
      <c r="I118" s="102"/>
      <c r="J118" s="419" t="s">
        <v>339</v>
      </c>
      <c r="K118" s="366"/>
      <c r="L118" s="9"/>
    </row>
    <row r="119" spans="2:12" customFormat="1" ht="29" hidden="1" x14ac:dyDescent="0.35">
      <c r="B119" s="519" t="s">
        <v>149</v>
      </c>
      <c r="C119" s="102" t="s">
        <v>169</v>
      </c>
      <c r="D119" s="102" t="s">
        <v>254</v>
      </c>
      <c r="E119" s="102">
        <v>56554</v>
      </c>
      <c r="F119" s="102" t="s">
        <v>171</v>
      </c>
      <c r="G119" s="150"/>
      <c r="H119" s="102">
        <v>214.08519999999999</v>
      </c>
      <c r="I119" s="102"/>
      <c r="J119" s="419" t="s">
        <v>328</v>
      </c>
      <c r="K119" s="366"/>
      <c r="L119" s="9"/>
    </row>
    <row r="120" spans="2:12" customFormat="1" ht="29" hidden="1" x14ac:dyDescent="0.35">
      <c r="B120" s="519" t="s">
        <v>149</v>
      </c>
      <c r="C120" s="102" t="s">
        <v>169</v>
      </c>
      <c r="D120" s="102" t="s">
        <v>254</v>
      </c>
      <c r="E120" s="102">
        <v>4603.2</v>
      </c>
      <c r="F120" s="102" t="s">
        <v>171</v>
      </c>
      <c r="G120" s="150"/>
      <c r="H120" s="102">
        <v>17.4254</v>
      </c>
      <c r="I120" s="102"/>
      <c r="J120" s="419" t="s">
        <v>328</v>
      </c>
      <c r="K120" s="366"/>
      <c r="L120" s="9"/>
    </row>
    <row r="121" spans="2:12" customFormat="1" ht="29" hidden="1" x14ac:dyDescent="0.35">
      <c r="B121" s="519" t="s">
        <v>149</v>
      </c>
      <c r="C121" s="102" t="s">
        <v>169</v>
      </c>
      <c r="D121" s="102" t="s">
        <v>254</v>
      </c>
      <c r="E121" s="102">
        <v>1150.8</v>
      </c>
      <c r="F121" s="102" t="s">
        <v>171</v>
      </c>
      <c r="G121" s="150"/>
      <c r="H121" s="102">
        <v>4.3563999999999998</v>
      </c>
      <c r="I121" s="102"/>
      <c r="J121" s="419" t="s">
        <v>328</v>
      </c>
      <c r="K121" s="366"/>
      <c r="L121" s="9"/>
    </row>
    <row r="122" spans="2:12" customFormat="1" ht="43.5" hidden="1" x14ac:dyDescent="0.35">
      <c r="B122" s="519" t="s">
        <v>157</v>
      </c>
      <c r="C122" s="102" t="s">
        <v>255</v>
      </c>
      <c r="D122" s="102" t="s">
        <v>256</v>
      </c>
      <c r="E122" s="102">
        <v>17501</v>
      </c>
      <c r="F122" s="102" t="s">
        <v>178</v>
      </c>
      <c r="G122" s="150"/>
      <c r="H122" s="102">
        <v>129.9974</v>
      </c>
      <c r="I122" s="102"/>
      <c r="J122" s="419" t="s">
        <v>328</v>
      </c>
      <c r="K122" s="366"/>
      <c r="L122" s="9"/>
    </row>
    <row r="123" spans="2:12" customFormat="1" ht="58" x14ac:dyDescent="0.35">
      <c r="B123" s="521" t="s">
        <v>148</v>
      </c>
      <c r="C123" s="152" t="s">
        <v>182</v>
      </c>
      <c r="D123" s="152" t="s">
        <v>257</v>
      </c>
      <c r="E123" s="152">
        <v>31156</v>
      </c>
      <c r="F123" s="152" t="s">
        <v>25</v>
      </c>
      <c r="G123" s="153"/>
      <c r="H123" s="152">
        <v>2311.1520999999998</v>
      </c>
      <c r="I123" s="152"/>
      <c r="J123" s="419" t="s">
        <v>339</v>
      </c>
      <c r="K123" s="366"/>
      <c r="L123" s="9"/>
    </row>
    <row r="124" spans="2:12" customFormat="1" ht="15" hidden="1" thickBot="1" x14ac:dyDescent="0.4">
      <c r="B124" s="522" t="s">
        <v>344</v>
      </c>
      <c r="C124" s="523"/>
      <c r="D124" s="523"/>
      <c r="E124" s="523"/>
      <c r="F124" s="523"/>
      <c r="G124" s="524"/>
      <c r="H124" s="525">
        <f>SUM(H68:H123)</f>
        <v>30843.762000000002</v>
      </c>
      <c r="I124" s="526">
        <f>SUM(I68:I123)</f>
        <v>16950.572199999995</v>
      </c>
      <c r="J124" s="527" t="s">
        <v>90</v>
      </c>
      <c r="K124" s="366"/>
      <c r="L124" s="9"/>
    </row>
  </sheetData>
  <autoFilter ref="B67:K124" xr:uid="{EA0BF8BE-2173-47F9-AD67-D4D3E0197A79}">
    <filterColumn colId="0">
      <filters>
        <filter val="Series 500 - Drainage and surface ducts"/>
      </filters>
    </filterColumn>
  </autoFilter>
  <mergeCells count="26">
    <mergeCell ref="E46:F46"/>
    <mergeCell ref="B12:B13"/>
    <mergeCell ref="B14:B15"/>
    <mergeCell ref="B11:C11"/>
    <mergeCell ref="R4:R5"/>
    <mergeCell ref="C46:D46"/>
    <mergeCell ref="B46:B47"/>
    <mergeCell ref="B25:D25"/>
    <mergeCell ref="B29:D29"/>
    <mergeCell ref="B35:D35"/>
    <mergeCell ref="N4:O4"/>
    <mergeCell ref="I4:M4"/>
    <mergeCell ref="I7:L7"/>
    <mergeCell ref="B24:G24"/>
    <mergeCell ref="B4:B5"/>
    <mergeCell ref="C4:C5"/>
    <mergeCell ref="B16:B19"/>
    <mergeCell ref="B20:B23"/>
    <mergeCell ref="P4:Q4"/>
    <mergeCell ref="P5:Q5"/>
    <mergeCell ref="P6:Q6"/>
    <mergeCell ref="B9:C9"/>
    <mergeCell ref="D4:D5"/>
    <mergeCell ref="G4:H4"/>
    <mergeCell ref="E4:E5"/>
    <mergeCell ref="B10:C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D3A3-1CAF-452B-9B8A-11553480F6ED}">
  <sheetPr>
    <tabColor rgb="FF00353E"/>
  </sheetPr>
  <dimension ref="A1:Q183"/>
  <sheetViews>
    <sheetView showGridLines="0" zoomScale="70" zoomScaleNormal="70" workbookViewId="0">
      <selection activeCell="B6" sqref="B6:B10"/>
    </sheetView>
  </sheetViews>
  <sheetFormatPr defaultColWidth="8.7265625" defaultRowHeight="14" x14ac:dyDescent="0.3"/>
  <cols>
    <col min="1" max="1" width="8.81640625" style="118" customWidth="1"/>
    <col min="2" max="2" width="41.453125" style="117" customWidth="1"/>
    <col min="3" max="3" width="21.1796875" style="117" customWidth="1"/>
    <col min="4" max="5" width="21.453125" style="117" customWidth="1"/>
    <col min="6" max="6" width="15.26953125" style="117" customWidth="1"/>
    <col min="7" max="7" width="16" style="117" customWidth="1"/>
    <col min="8" max="8" width="16.453125" style="117" customWidth="1"/>
    <col min="9" max="9" width="18.1796875" style="117" customWidth="1"/>
    <col min="10" max="10" width="22.7265625" style="117" customWidth="1"/>
    <col min="11" max="11" width="21.26953125" style="117" customWidth="1"/>
    <col min="12" max="12" width="21.54296875" style="118" customWidth="1"/>
    <col min="13" max="13" width="27.81640625" style="118" customWidth="1"/>
    <col min="14" max="14" width="27" style="118" customWidth="1"/>
    <col min="15" max="15" width="11.81640625" style="118" customWidth="1"/>
    <col min="16" max="16" width="13.1796875" style="118" customWidth="1"/>
    <col min="17" max="17" width="19.1796875" style="118" customWidth="1"/>
    <col min="18" max="16384" width="8.7265625" style="118"/>
  </cols>
  <sheetData>
    <row r="1" spans="1:17" s="135" customFormat="1" ht="23.15" customHeight="1" x14ac:dyDescent="0.35">
      <c r="A1" s="58"/>
      <c r="B1" s="306" t="s">
        <v>473</v>
      </c>
      <c r="C1" s="58"/>
      <c r="D1" s="134"/>
      <c r="E1" s="134"/>
      <c r="F1" s="134"/>
      <c r="G1" s="134"/>
      <c r="H1" s="134"/>
      <c r="I1" s="134"/>
      <c r="J1" s="134"/>
      <c r="K1" s="134"/>
    </row>
    <row r="2" spans="1:17" s="135" customFormat="1" ht="18" customHeight="1" x14ac:dyDescent="0.35">
      <c r="B2" s="259" t="s">
        <v>475</v>
      </c>
      <c r="C2" s="58"/>
      <c r="D2" s="58"/>
      <c r="E2" s="58"/>
      <c r="F2" s="134"/>
      <c r="G2" s="134"/>
      <c r="H2" s="134"/>
      <c r="I2" s="134"/>
    </row>
    <row r="3" spans="1:17" ht="39.65" customHeight="1" thickBot="1" x14ac:dyDescent="0.45">
      <c r="B3" s="298" t="s">
        <v>443</v>
      </c>
      <c r="I3" s="299" t="s">
        <v>444</v>
      </c>
      <c r="L3" s="117"/>
      <c r="O3" s="117"/>
      <c r="P3" s="117"/>
    </row>
    <row r="4" spans="1:17" ht="33.65" customHeight="1" x14ac:dyDescent="0.3">
      <c r="B4" s="771" t="s">
        <v>37</v>
      </c>
      <c r="C4" s="773" t="s">
        <v>76</v>
      </c>
      <c r="D4" s="773" t="s">
        <v>381</v>
      </c>
      <c r="E4" s="773" t="s">
        <v>677</v>
      </c>
      <c r="F4" s="773" t="s">
        <v>679</v>
      </c>
      <c r="G4" s="791" t="s">
        <v>680</v>
      </c>
      <c r="I4" s="786" t="s">
        <v>69</v>
      </c>
      <c r="J4" s="787"/>
      <c r="K4" s="788" t="s">
        <v>70</v>
      </c>
      <c r="L4" s="787"/>
      <c r="M4" s="794" t="s">
        <v>342</v>
      </c>
      <c r="N4" s="794"/>
      <c r="O4" s="788" t="s">
        <v>678</v>
      </c>
      <c r="P4" s="787"/>
      <c r="Q4" s="791" t="s">
        <v>382</v>
      </c>
    </row>
    <row r="5" spans="1:17" s="300" customFormat="1" ht="24.75" customHeight="1" x14ac:dyDescent="0.3">
      <c r="B5" s="772"/>
      <c r="C5" s="774"/>
      <c r="D5" s="774"/>
      <c r="E5" s="774"/>
      <c r="F5" s="774"/>
      <c r="G5" s="792"/>
      <c r="H5" s="117"/>
      <c r="I5" s="64" t="s">
        <v>71</v>
      </c>
      <c r="J5" s="65" t="s">
        <v>72</v>
      </c>
      <c r="K5" s="66" t="s">
        <v>73</v>
      </c>
      <c r="L5" s="67" t="s">
        <v>74</v>
      </c>
      <c r="M5" s="155" t="s">
        <v>343</v>
      </c>
      <c r="N5" s="155" t="s">
        <v>345</v>
      </c>
      <c r="O5" s="826" t="s">
        <v>673</v>
      </c>
      <c r="P5" s="827"/>
      <c r="Q5" s="792"/>
    </row>
    <row r="6" spans="1:17" s="528" customFormat="1" ht="15" customHeight="1" x14ac:dyDescent="0.3">
      <c r="B6" s="401" t="s">
        <v>64</v>
      </c>
      <c r="C6" s="174">
        <f>'Structure dimensions'!C71</f>
        <v>908.8</v>
      </c>
      <c r="D6" s="175">
        <f>SUM(I6:L6)</f>
        <v>430.94220000000001</v>
      </c>
      <c r="E6" s="175">
        <f>Q6</f>
        <v>886.81639999999993</v>
      </c>
      <c r="F6" s="408">
        <f>D6/C6</f>
        <v>0.47418816021126764</v>
      </c>
      <c r="G6" s="410">
        <f>E6/C6</f>
        <v>0.97581029929577467</v>
      </c>
      <c r="H6" s="414"/>
      <c r="I6" s="178">
        <f>I87</f>
        <v>151.04219999999998</v>
      </c>
      <c r="J6" s="179">
        <v>18.899999999999999</v>
      </c>
      <c r="K6" s="631">
        <v>226.4</v>
      </c>
      <c r="L6" s="632">
        <v>34.6</v>
      </c>
      <c r="M6" s="179">
        <f>J87</f>
        <v>223.0942</v>
      </c>
      <c r="N6" s="179">
        <v>0</v>
      </c>
      <c r="O6" s="824">
        <f>'Operational Energy'!J9+'Operational Energy'!H14</f>
        <v>232.77999999999997</v>
      </c>
      <c r="P6" s="825"/>
      <c r="Q6" s="63">
        <f>SUM(I6:P6)</f>
        <v>886.81639999999993</v>
      </c>
    </row>
    <row r="7" spans="1:17" s="528" customFormat="1" ht="15" customHeight="1" x14ac:dyDescent="0.3">
      <c r="B7" s="401" t="s">
        <v>65</v>
      </c>
      <c r="C7" s="174">
        <f>'Structure dimensions'!C72</f>
        <v>1059.5999999999999</v>
      </c>
      <c r="D7" s="175">
        <f>SUM(I7:L7)</f>
        <v>510.22200000000004</v>
      </c>
      <c r="E7" s="175">
        <f t="shared" ref="E7:E10" si="0">Q7</f>
        <v>1139.577</v>
      </c>
      <c r="F7" s="408">
        <f>D7/C7</f>
        <v>0.48152321630804085</v>
      </c>
      <c r="G7" s="410">
        <f t="shared" ref="G7:G10" si="1">E7/C7</f>
        <v>1.0754784824462063</v>
      </c>
      <c r="H7" s="414"/>
      <c r="I7" s="178">
        <f>I111</f>
        <v>180.22200000000001</v>
      </c>
      <c r="J7" s="179">
        <v>22.1</v>
      </c>
      <c r="K7" s="631">
        <v>267.60000000000002</v>
      </c>
      <c r="L7" s="632">
        <v>40.299999999999997</v>
      </c>
      <c r="M7" s="179">
        <f>J111</f>
        <v>263.65500000000003</v>
      </c>
      <c r="N7" s="179">
        <v>0</v>
      </c>
      <c r="O7" s="822">
        <f>'Operational Energy'!J8</f>
        <v>365.7</v>
      </c>
      <c r="P7" s="823"/>
      <c r="Q7" s="63">
        <f t="shared" ref="Q7:Q9" si="2">SUM(I7:P7)</f>
        <v>1139.577</v>
      </c>
    </row>
    <row r="8" spans="1:17" s="528" customFormat="1" ht="15" customHeight="1" x14ac:dyDescent="0.3">
      <c r="B8" s="401" t="s">
        <v>66</v>
      </c>
      <c r="C8" s="174">
        <f>'Structure dimensions'!C73</f>
        <v>1273.0999999999999</v>
      </c>
      <c r="D8" s="175">
        <f>SUM(I8:L8)</f>
        <v>606.3273999999999</v>
      </c>
      <c r="E8" s="175">
        <f t="shared" si="0"/>
        <v>1351.3831999999998</v>
      </c>
      <c r="F8" s="408">
        <f>D8/C8</f>
        <v>0.47626062367449529</v>
      </c>
      <c r="G8" s="410">
        <f t="shared" si="1"/>
        <v>1.0614902207210744</v>
      </c>
      <c r="H8" s="414"/>
      <c r="I8" s="204">
        <f>I135</f>
        <v>228.62739999999999</v>
      </c>
      <c r="J8" s="179">
        <v>26.5</v>
      </c>
      <c r="K8" s="631">
        <v>329.9</v>
      </c>
      <c r="L8" s="633">
        <v>21.3</v>
      </c>
      <c r="M8" s="179">
        <f>J135</f>
        <v>324.49579999999992</v>
      </c>
      <c r="N8" s="179">
        <v>0</v>
      </c>
      <c r="O8" s="822">
        <f>'Operational Energy'!J6</f>
        <v>420.56</v>
      </c>
      <c r="P8" s="823"/>
      <c r="Q8" s="63">
        <f t="shared" si="2"/>
        <v>1351.3831999999998</v>
      </c>
    </row>
    <row r="9" spans="1:17" s="528" customFormat="1" ht="15" customHeight="1" x14ac:dyDescent="0.3">
      <c r="B9" s="401" t="s">
        <v>67</v>
      </c>
      <c r="C9" s="174">
        <f>'Structure dimensions'!C74</f>
        <v>777.4</v>
      </c>
      <c r="D9" s="175">
        <f t="shared" ref="D9" si="3">SUM(I9:L9)</f>
        <v>389.83429999999998</v>
      </c>
      <c r="E9" s="175">
        <f t="shared" si="0"/>
        <v>1090.7072000000001</v>
      </c>
      <c r="F9" s="408">
        <f>D9/C9</f>
        <v>0.50145909441728842</v>
      </c>
      <c r="G9" s="410">
        <f t="shared" si="1"/>
        <v>1.4030192950861848</v>
      </c>
      <c r="H9" s="353"/>
      <c r="I9" s="178">
        <f>I159</f>
        <v>137.83430000000001</v>
      </c>
      <c r="J9" s="179">
        <v>16.2</v>
      </c>
      <c r="K9" s="631">
        <v>206.2</v>
      </c>
      <c r="L9" s="633">
        <v>29.6</v>
      </c>
      <c r="M9" s="179">
        <f>J159</f>
        <v>202.81290000000001</v>
      </c>
      <c r="N9" s="179">
        <v>0</v>
      </c>
      <c r="O9" s="822">
        <f>'Operational Energy'!J5+'Operational Energy'!H15</f>
        <v>498.06</v>
      </c>
      <c r="P9" s="823"/>
      <c r="Q9" s="63">
        <f t="shared" si="2"/>
        <v>1090.7072000000001</v>
      </c>
    </row>
    <row r="10" spans="1:17" s="528" customFormat="1" ht="15" customHeight="1" thickBot="1" x14ac:dyDescent="0.35">
      <c r="B10" s="411" t="s">
        <v>68</v>
      </c>
      <c r="C10" s="176">
        <f>'Structure dimensions'!C75</f>
        <v>697</v>
      </c>
      <c r="D10" s="177">
        <f>SUM(I10:L10)</f>
        <v>349.95440000000002</v>
      </c>
      <c r="E10" s="177">
        <f t="shared" si="0"/>
        <v>678.76600000000008</v>
      </c>
      <c r="F10" s="409">
        <f>D10/C10</f>
        <v>0.50208665710186517</v>
      </c>
      <c r="G10" s="412">
        <f t="shared" si="1"/>
        <v>0.97383931133428991</v>
      </c>
      <c r="H10" s="414"/>
      <c r="I10" s="197">
        <f>I183</f>
        <v>123.75440000000002</v>
      </c>
      <c r="J10" s="198">
        <v>14.5</v>
      </c>
      <c r="K10" s="634">
        <v>185.2</v>
      </c>
      <c r="L10" s="635">
        <v>26.5</v>
      </c>
      <c r="M10" s="198">
        <f>J183</f>
        <v>182.53160000000003</v>
      </c>
      <c r="N10" s="198">
        <v>0</v>
      </c>
      <c r="O10" s="820">
        <f>'Operational Energy'!J7</f>
        <v>146.28</v>
      </c>
      <c r="P10" s="821"/>
      <c r="Q10" s="63">
        <f>SUM(I10:P10)</f>
        <v>678.76600000000008</v>
      </c>
    </row>
    <row r="11" spans="1:17" ht="15" thickTop="1" thickBot="1" x14ac:dyDescent="0.35">
      <c r="B11" s="417" t="s">
        <v>2</v>
      </c>
      <c r="C11" s="328"/>
      <c r="D11" s="172">
        <f>SUM(D6:D10)</f>
        <v>2287.2802999999999</v>
      </c>
      <c r="E11" s="172">
        <f>SUM(E6:E10)</f>
        <v>5147.2497999999996</v>
      </c>
      <c r="F11" s="172"/>
      <c r="G11" s="173"/>
      <c r="I11" s="194" t="s">
        <v>81</v>
      </c>
      <c r="J11" s="72">
        <f>SUM(I6:J10)</f>
        <v>919.6803000000001</v>
      </c>
      <c r="K11" s="195" t="s">
        <v>81</v>
      </c>
      <c r="L11" s="72">
        <f>SUM(K6:L10)</f>
        <v>1367.6</v>
      </c>
      <c r="M11" s="184" t="s">
        <v>346</v>
      </c>
      <c r="N11" s="196">
        <f>SUM(M6:N10)</f>
        <v>1196.5895</v>
      </c>
      <c r="O11" s="184" t="s">
        <v>346</v>
      </c>
      <c r="P11" s="446">
        <f>SUM(O6:P10)</f>
        <v>1663.3799999999999</v>
      </c>
      <c r="Q11" s="79">
        <f>SUM(Q6:Q10)</f>
        <v>5147.2497999999996</v>
      </c>
    </row>
    <row r="12" spans="1:17" ht="14.5" thickBot="1" x14ac:dyDescent="0.35">
      <c r="B12" s="770"/>
      <c r="C12" s="770"/>
      <c r="D12" s="770"/>
      <c r="E12" s="15"/>
      <c r="F12" s="14"/>
      <c r="G12" s="14"/>
      <c r="H12" s="14"/>
      <c r="I12" s="118" t="s">
        <v>682</v>
      </c>
      <c r="J12" s="18"/>
      <c r="K12" s="18"/>
    </row>
    <row r="13" spans="1:17" ht="30" customHeight="1" x14ac:dyDescent="0.3">
      <c r="B13" s="828" t="s">
        <v>383</v>
      </c>
      <c r="C13" s="829"/>
      <c r="D13" s="354" t="s">
        <v>384</v>
      </c>
      <c r="E13" s="355" t="s">
        <v>10</v>
      </c>
      <c r="F13" s="19"/>
      <c r="G13" s="19"/>
      <c r="H13" s="19"/>
      <c r="K13" s="18"/>
    </row>
    <row r="14" spans="1:17" ht="30" customHeight="1" x14ac:dyDescent="0.3">
      <c r="B14" s="830" t="s">
        <v>9</v>
      </c>
      <c r="C14" s="831"/>
      <c r="D14" s="174">
        <v>5</v>
      </c>
      <c r="E14" s="301" t="s">
        <v>385</v>
      </c>
      <c r="F14" s="19"/>
      <c r="G14" s="19"/>
      <c r="H14" s="19"/>
      <c r="K14" s="18"/>
    </row>
    <row r="15" spans="1:17" ht="30" customHeight="1" x14ac:dyDescent="0.3">
      <c r="B15" s="775" t="s">
        <v>675</v>
      </c>
      <c r="C15" s="344" t="s">
        <v>623</v>
      </c>
      <c r="D15" s="174">
        <f>D11/D14</f>
        <v>457.45605999999998</v>
      </c>
      <c r="E15" s="301" t="s">
        <v>414</v>
      </c>
      <c r="F15" s="19"/>
      <c r="G15" s="19"/>
      <c r="H15" s="19"/>
      <c r="K15" s="18"/>
    </row>
    <row r="16" spans="1:17" ht="30" customHeight="1" x14ac:dyDescent="0.3">
      <c r="B16" s="775"/>
      <c r="C16" s="344" t="s">
        <v>674</v>
      </c>
      <c r="D16" s="174">
        <f>E11/D14</f>
        <v>1029.4499599999999</v>
      </c>
      <c r="E16" s="301" t="s">
        <v>414</v>
      </c>
      <c r="F16" s="19"/>
      <c r="G16" s="19"/>
      <c r="H16" s="19"/>
      <c r="K16" s="18"/>
    </row>
    <row r="17" spans="2:11" ht="30" customHeight="1" x14ac:dyDescent="0.3">
      <c r="B17" s="775" t="s">
        <v>683</v>
      </c>
      <c r="C17" s="344" t="s">
        <v>623</v>
      </c>
      <c r="D17" s="185">
        <f>AVERAGE(F6:F10)</f>
        <v>0.48710355034259145</v>
      </c>
      <c r="E17" s="301" t="s">
        <v>415</v>
      </c>
      <c r="F17" s="19"/>
      <c r="G17" s="19"/>
      <c r="H17" s="19"/>
      <c r="K17" s="18"/>
    </row>
    <row r="18" spans="2:11" ht="30" customHeight="1" x14ac:dyDescent="0.3">
      <c r="B18" s="775"/>
      <c r="C18" s="344" t="s">
        <v>674</v>
      </c>
      <c r="D18" s="185">
        <f>AVERAGE(G6:G10)</f>
        <v>1.0979275217767062</v>
      </c>
      <c r="E18" s="301" t="s">
        <v>415</v>
      </c>
      <c r="F18" s="19"/>
      <c r="G18" s="19"/>
      <c r="H18" s="19"/>
      <c r="K18" s="18"/>
    </row>
    <row r="19" spans="2:11" ht="30" customHeight="1" x14ac:dyDescent="0.3">
      <c r="B19" s="777" t="s">
        <v>676</v>
      </c>
      <c r="C19" s="344" t="s">
        <v>3</v>
      </c>
      <c r="D19" s="429">
        <f>J11/E11</f>
        <v>0.17867411447565654</v>
      </c>
      <c r="E19" s="301" t="s">
        <v>388</v>
      </c>
      <c r="F19" s="19"/>
      <c r="G19" s="19"/>
      <c r="H19" s="19"/>
      <c r="K19" s="18"/>
    </row>
    <row r="20" spans="2:11" ht="30" customHeight="1" x14ac:dyDescent="0.3">
      <c r="B20" s="778"/>
      <c r="C20" s="344" t="s">
        <v>4</v>
      </c>
      <c r="D20" s="429">
        <f>L11/E11</f>
        <v>0.26569528449930679</v>
      </c>
      <c r="E20" s="301" t="s">
        <v>388</v>
      </c>
      <c r="F20" s="19"/>
      <c r="G20" s="19"/>
      <c r="H20" s="19"/>
      <c r="K20" s="18"/>
    </row>
    <row r="21" spans="2:11" ht="30" customHeight="1" x14ac:dyDescent="0.3">
      <c r="B21" s="778"/>
      <c r="C21" s="344" t="s">
        <v>627</v>
      </c>
      <c r="D21" s="429">
        <f>N11/E11</f>
        <v>0.23247162008729402</v>
      </c>
      <c r="E21" s="301" t="s">
        <v>388</v>
      </c>
      <c r="F21" s="19"/>
      <c r="G21" s="19"/>
      <c r="H21" s="19"/>
      <c r="K21" s="18"/>
    </row>
    <row r="22" spans="2:11" ht="30" customHeight="1" x14ac:dyDescent="0.3">
      <c r="B22" s="779"/>
      <c r="C22" s="344" t="s">
        <v>672</v>
      </c>
      <c r="D22" s="429">
        <f>P11/E11</f>
        <v>0.3231589809377427</v>
      </c>
      <c r="E22" s="301" t="s">
        <v>388</v>
      </c>
      <c r="F22" s="19"/>
      <c r="G22" s="19"/>
      <c r="H22" s="19"/>
      <c r="K22" s="18"/>
    </row>
    <row r="23" spans="2:11" x14ac:dyDescent="0.3">
      <c r="B23" s="777" t="s">
        <v>683</v>
      </c>
      <c r="C23" s="344" t="s">
        <v>3</v>
      </c>
      <c r="D23" s="185">
        <f>D18*D19</f>
        <v>0.19617122771190509</v>
      </c>
      <c r="E23" s="301" t="s">
        <v>681</v>
      </c>
      <c r="F23" s="21"/>
      <c r="G23" s="21"/>
      <c r="H23" s="21"/>
      <c r="I23" s="21"/>
      <c r="J23" s="18"/>
      <c r="K23" s="18"/>
    </row>
    <row r="24" spans="2:11" x14ac:dyDescent="0.3">
      <c r="B24" s="778"/>
      <c r="C24" s="344" t="s">
        <v>4</v>
      </c>
      <c r="D24" s="185">
        <f>D18*D20</f>
        <v>0.2917141652580808</v>
      </c>
      <c r="E24" s="301" t="s">
        <v>681</v>
      </c>
      <c r="F24" s="21"/>
      <c r="G24" s="21"/>
      <c r="H24" s="21"/>
      <c r="I24" s="21"/>
      <c r="J24" s="18"/>
      <c r="K24" s="18"/>
    </row>
    <row r="25" spans="2:11" x14ac:dyDescent="0.3">
      <c r="B25" s="778"/>
      <c r="C25" s="344" t="s">
        <v>627</v>
      </c>
      <c r="D25" s="185">
        <f>D18*D21</f>
        <v>0.25523698972585868</v>
      </c>
      <c r="E25" s="301" t="s">
        <v>681</v>
      </c>
      <c r="F25" s="21"/>
      <c r="G25" s="21"/>
      <c r="H25" s="21"/>
      <c r="I25" s="21"/>
      <c r="J25" s="18"/>
      <c r="K25" s="18"/>
    </row>
    <row r="26" spans="2:11" ht="30" customHeight="1" thickBot="1" x14ac:dyDescent="0.35">
      <c r="B26" s="780"/>
      <c r="C26" s="346" t="s">
        <v>672</v>
      </c>
      <c r="D26" s="187">
        <f>D18*D22</f>
        <v>0.3548051390808617</v>
      </c>
      <c r="E26" s="303" t="s">
        <v>681</v>
      </c>
      <c r="F26" s="19"/>
      <c r="G26" s="19"/>
      <c r="H26" s="19"/>
      <c r="K26" s="18"/>
    </row>
    <row r="27" spans="2:11" x14ac:dyDescent="0.3">
      <c r="B27" s="37"/>
      <c r="C27" s="37"/>
      <c r="D27" s="18"/>
      <c r="E27" s="18"/>
      <c r="F27" s="21"/>
      <c r="G27" s="21"/>
      <c r="H27" s="21"/>
      <c r="I27" s="21"/>
      <c r="J27" s="18"/>
      <c r="K27" s="18"/>
    </row>
    <row r="28" spans="2:11" ht="19" customHeight="1" x14ac:dyDescent="0.3">
      <c r="B28" s="37"/>
      <c r="C28" s="37"/>
      <c r="D28" s="18"/>
      <c r="E28" s="18"/>
      <c r="F28" s="21"/>
      <c r="G28" s="21"/>
      <c r="H28" s="21"/>
      <c r="I28" s="21"/>
      <c r="J28" s="18"/>
      <c r="K28" s="18"/>
    </row>
    <row r="29" spans="2:11" ht="19" customHeight="1" x14ac:dyDescent="0.3">
      <c r="B29" s="37"/>
      <c r="C29" s="37"/>
      <c r="D29" s="18"/>
      <c r="E29" s="18"/>
      <c r="F29" s="23"/>
      <c r="G29" s="23"/>
      <c r="H29" s="23"/>
      <c r="I29" s="23"/>
      <c r="J29" s="18"/>
      <c r="K29" s="529"/>
    </row>
    <row r="30" spans="2:11" ht="19" customHeight="1" x14ac:dyDescent="0.3">
      <c r="B30" s="33"/>
      <c r="C30" s="33"/>
      <c r="D30" s="26"/>
      <c r="E30" s="26"/>
      <c r="F30" s="27"/>
      <c r="G30" s="27"/>
      <c r="H30" s="27"/>
      <c r="I30" s="27"/>
      <c r="J30" s="18"/>
      <c r="K30" s="18"/>
    </row>
    <row r="31" spans="2:11" ht="19" customHeight="1" x14ac:dyDescent="0.3">
      <c r="B31" s="18"/>
      <c r="C31" s="18"/>
      <c r="D31" s="18"/>
      <c r="E31" s="18"/>
      <c r="F31" s="18"/>
      <c r="G31" s="18"/>
      <c r="H31" s="18"/>
      <c r="I31" s="18"/>
      <c r="J31" s="18"/>
      <c r="K31" s="18"/>
    </row>
    <row r="32" spans="2:11" ht="19" customHeight="1" x14ac:dyDescent="0.3">
      <c r="B32" s="769"/>
      <c r="C32" s="769"/>
      <c r="D32" s="769"/>
      <c r="E32" s="769"/>
      <c r="F32" s="769"/>
      <c r="G32" s="769"/>
      <c r="H32" s="769"/>
      <c r="I32" s="769"/>
      <c r="J32" s="18"/>
      <c r="K32" s="18"/>
    </row>
    <row r="33" spans="1:17" ht="19" customHeight="1" x14ac:dyDescent="0.3">
      <c r="B33" s="770"/>
      <c r="C33" s="770"/>
      <c r="D33" s="770"/>
      <c r="E33" s="15"/>
      <c r="F33" s="14"/>
      <c r="G33" s="14"/>
      <c r="H33" s="14"/>
      <c r="I33" s="36"/>
      <c r="J33" s="18"/>
      <c r="K33" s="18"/>
    </row>
    <row r="34" spans="1:17" ht="19" customHeight="1" x14ac:dyDescent="0.3">
      <c r="B34" s="38"/>
      <c r="C34" s="38"/>
      <c r="D34" s="18"/>
      <c r="E34" s="18"/>
      <c r="F34" s="19"/>
      <c r="G34" s="19"/>
      <c r="H34" s="19"/>
      <c r="I34" s="19"/>
      <c r="J34" s="18"/>
      <c r="K34" s="18"/>
    </row>
    <row r="35" spans="1:17" ht="19" customHeight="1" x14ac:dyDescent="0.3">
      <c r="B35" s="38"/>
      <c r="C35" s="38"/>
      <c r="D35" s="18"/>
      <c r="E35" s="18"/>
      <c r="F35" s="19"/>
      <c r="G35" s="19"/>
      <c r="H35" s="19"/>
      <c r="I35" s="19"/>
      <c r="J35" s="18"/>
      <c r="K35" s="18"/>
    </row>
    <row r="36" spans="1:17" ht="19" customHeight="1" x14ac:dyDescent="0.3">
      <c r="B36" s="38"/>
      <c r="C36" s="38"/>
      <c r="D36" s="18"/>
      <c r="E36" s="18"/>
      <c r="F36" s="19"/>
      <c r="G36" s="19"/>
      <c r="H36" s="19"/>
      <c r="I36" s="19"/>
      <c r="J36" s="18"/>
      <c r="K36" s="18"/>
    </row>
    <row r="37" spans="1:17" ht="19" customHeight="1" x14ac:dyDescent="0.3">
      <c r="B37" s="770"/>
      <c r="C37" s="770"/>
      <c r="D37" s="770"/>
      <c r="E37" s="15"/>
      <c r="F37" s="14"/>
      <c r="G37" s="14"/>
      <c r="H37" s="14"/>
      <c r="I37" s="36"/>
      <c r="J37" s="18"/>
      <c r="K37" s="18"/>
    </row>
    <row r="38" spans="1:17" ht="19" customHeight="1" x14ac:dyDescent="0.3">
      <c r="B38" s="38"/>
      <c r="C38" s="38"/>
      <c r="D38" s="18"/>
      <c r="E38" s="18"/>
      <c r="F38" s="21"/>
      <c r="G38" s="21"/>
      <c r="H38" s="21"/>
      <c r="I38" s="21"/>
      <c r="J38" s="18"/>
      <c r="K38" s="18"/>
    </row>
    <row r="39" spans="1:17" ht="19" customHeight="1" x14ac:dyDescent="0.3">
      <c r="B39" s="38"/>
      <c r="C39" s="38"/>
      <c r="D39" s="18"/>
      <c r="E39" s="18"/>
      <c r="F39" s="21"/>
      <c r="G39" s="21"/>
      <c r="H39" s="21"/>
      <c r="I39" s="21"/>
      <c r="J39" s="18"/>
      <c r="K39" s="18"/>
    </row>
    <row r="40" spans="1:17" ht="19" customHeight="1" x14ac:dyDescent="0.3">
      <c r="B40" s="38"/>
      <c r="C40" s="38"/>
      <c r="D40" s="18"/>
      <c r="E40" s="18"/>
      <c r="F40" s="21"/>
      <c r="G40" s="21"/>
      <c r="H40" s="21"/>
      <c r="I40" s="21"/>
      <c r="J40" s="18"/>
      <c r="K40" s="18"/>
    </row>
    <row r="41" spans="1:17" ht="19" customHeight="1" x14ac:dyDescent="0.3">
      <c r="B41" s="38"/>
      <c r="C41" s="38"/>
      <c r="D41" s="18"/>
      <c r="E41" s="18"/>
      <c r="F41" s="21"/>
      <c r="G41" s="21"/>
      <c r="H41" s="21"/>
      <c r="I41" s="21"/>
      <c r="J41" s="18"/>
      <c r="K41" s="18"/>
    </row>
    <row r="42" spans="1:17" ht="19" customHeight="1" x14ac:dyDescent="0.3">
      <c r="B42" s="38"/>
      <c r="C42" s="38"/>
      <c r="D42" s="18"/>
      <c r="E42" s="18"/>
      <c r="F42" s="21"/>
      <c r="G42" s="21"/>
      <c r="H42" s="21"/>
      <c r="I42" s="21"/>
      <c r="J42" s="18"/>
      <c r="K42" s="18"/>
    </row>
    <row r="43" spans="1:17" ht="19" customHeight="1" x14ac:dyDescent="0.3">
      <c r="B43" s="770"/>
      <c r="C43" s="770"/>
      <c r="D43" s="770"/>
      <c r="E43" s="15"/>
      <c r="F43" s="14"/>
      <c r="G43" s="14"/>
      <c r="H43" s="14"/>
      <c r="I43" s="36"/>
      <c r="J43" s="18"/>
      <c r="K43" s="18"/>
    </row>
    <row r="44" spans="1:17" ht="19" customHeight="1" x14ac:dyDescent="0.3">
      <c r="B44" s="38"/>
      <c r="C44" s="38"/>
      <c r="D44" s="18"/>
      <c r="E44" s="18"/>
      <c r="F44" s="23"/>
      <c r="G44" s="23"/>
      <c r="H44" s="23"/>
      <c r="I44" s="23"/>
      <c r="J44" s="18"/>
      <c r="K44" s="18"/>
    </row>
    <row r="45" spans="1:17" s="361" customFormat="1" ht="28" customHeight="1" x14ac:dyDescent="0.35">
      <c r="A45" s="359"/>
      <c r="B45" s="306" t="s">
        <v>403</v>
      </c>
      <c r="C45" s="359"/>
      <c r="D45" s="360"/>
      <c r="E45" s="360"/>
      <c r="F45" s="360"/>
      <c r="G45" s="360"/>
      <c r="H45" s="360"/>
      <c r="I45" s="360"/>
      <c r="J45" s="360"/>
      <c r="K45" s="360"/>
      <c r="L45" s="360"/>
      <c r="M45" s="360"/>
      <c r="N45" s="360"/>
      <c r="O45" s="360"/>
      <c r="P45" s="360"/>
      <c r="Q45" s="360"/>
    </row>
    <row r="46" spans="1:17" ht="14.5" thickBot="1" x14ac:dyDescent="0.35">
      <c r="B46" s="18"/>
      <c r="C46" s="18"/>
      <c r="D46" s="18"/>
      <c r="E46" s="18"/>
      <c r="F46" s="18"/>
      <c r="G46" s="18"/>
      <c r="H46" s="18"/>
      <c r="I46" s="18"/>
      <c r="J46" s="18"/>
      <c r="K46" s="18"/>
      <c r="L46" s="18"/>
      <c r="M46" s="18"/>
      <c r="N46" s="18"/>
      <c r="O46" s="18"/>
      <c r="P46" s="18"/>
      <c r="Q46" s="18"/>
    </row>
    <row r="47" spans="1:17" x14ac:dyDescent="0.3">
      <c r="B47" s="783" t="s">
        <v>348</v>
      </c>
      <c r="C47" s="785" t="s">
        <v>350</v>
      </c>
      <c r="D47" s="785"/>
      <c r="E47" s="785" t="s">
        <v>352</v>
      </c>
      <c r="F47" s="832"/>
      <c r="G47" s="18"/>
      <c r="H47" s="18"/>
      <c r="I47" s="18"/>
      <c r="J47" s="18"/>
      <c r="K47" s="18"/>
      <c r="L47" s="18"/>
      <c r="M47" s="18"/>
      <c r="N47" s="18"/>
      <c r="O47" s="18"/>
      <c r="P47" s="18"/>
      <c r="Q47" s="18"/>
    </row>
    <row r="48" spans="1:17" x14ac:dyDescent="0.3">
      <c r="B48" s="784"/>
      <c r="C48" s="156" t="s">
        <v>351</v>
      </c>
      <c r="D48" s="156" t="s">
        <v>349</v>
      </c>
      <c r="E48" s="156" t="s">
        <v>351</v>
      </c>
      <c r="F48" s="447" t="s">
        <v>349</v>
      </c>
      <c r="G48" s="18"/>
      <c r="H48" s="18"/>
      <c r="I48" s="18"/>
      <c r="J48" s="18"/>
      <c r="K48" s="18"/>
      <c r="L48" s="18"/>
      <c r="M48" s="18"/>
      <c r="N48" s="18"/>
      <c r="O48" s="18"/>
      <c r="P48" s="18"/>
      <c r="Q48" s="18"/>
    </row>
    <row r="49" spans="1:17" ht="24" customHeight="1" x14ac:dyDescent="0.3">
      <c r="B49" s="462" t="s">
        <v>328</v>
      </c>
      <c r="C49" s="310">
        <f t="shared" ref="C49:C56" si="4">SUMIF($K$64:$K$182,B49,$I$64:$I$182)</f>
        <v>172.84839999999997</v>
      </c>
      <c r="D49" s="311">
        <f>C49/$C$57</f>
        <v>0.21041088873342426</v>
      </c>
      <c r="E49" s="310">
        <f t="shared" ref="E49:E56" si="5">SUMIF($K$64:$K$182,B49,$J$64:$J$182)</f>
        <v>180.18530000000001</v>
      </c>
      <c r="F49" s="463">
        <f>E49/$E$57</f>
        <v>0.15058238435152577</v>
      </c>
      <c r="G49" s="18"/>
      <c r="H49" s="18"/>
      <c r="I49" s="18"/>
      <c r="J49" s="18"/>
      <c r="K49" s="18"/>
      <c r="L49" s="18"/>
      <c r="M49" s="18"/>
      <c r="N49" s="18"/>
      <c r="O49" s="18"/>
      <c r="P49" s="18"/>
      <c r="Q49" s="18"/>
    </row>
    <row r="50" spans="1:17" ht="24" customHeight="1" x14ac:dyDescent="0.3">
      <c r="B50" s="462" t="s">
        <v>329</v>
      </c>
      <c r="C50" s="310">
        <f t="shared" si="4"/>
        <v>456.75109999999995</v>
      </c>
      <c r="D50" s="311">
        <f t="shared" ref="D50:D56" si="6">C50/$C$57</f>
        <v>0.55600980327830141</v>
      </c>
      <c r="E50" s="310">
        <f t="shared" si="5"/>
        <v>1001.0226999999999</v>
      </c>
      <c r="F50" s="463">
        <f t="shared" ref="F50:F56" si="7">E50/$E$57</f>
        <v>0.83656316556346189</v>
      </c>
      <c r="G50" s="18"/>
      <c r="H50" s="18"/>
      <c r="I50" s="18"/>
      <c r="J50" s="18"/>
      <c r="K50" s="18"/>
      <c r="L50" s="18"/>
      <c r="M50" s="18"/>
      <c r="N50" s="18"/>
      <c r="O50" s="18"/>
      <c r="P50" s="18"/>
      <c r="Q50" s="18"/>
    </row>
    <row r="51" spans="1:17" ht="24" customHeight="1" x14ac:dyDescent="0.3">
      <c r="B51" s="462" t="s">
        <v>330</v>
      </c>
      <c r="C51" s="310">
        <f t="shared" si="4"/>
        <v>0</v>
      </c>
      <c r="D51" s="311">
        <f t="shared" si="6"/>
        <v>0</v>
      </c>
      <c r="E51" s="310">
        <f t="shared" si="5"/>
        <v>0</v>
      </c>
      <c r="F51" s="463">
        <f t="shared" si="7"/>
        <v>0</v>
      </c>
      <c r="G51" s="18"/>
      <c r="H51" s="18"/>
      <c r="I51" s="18"/>
      <c r="J51" s="18"/>
      <c r="K51" s="18"/>
      <c r="L51" s="18"/>
      <c r="M51" s="18"/>
      <c r="N51" s="18"/>
      <c r="O51" s="18"/>
      <c r="P51" s="18"/>
      <c r="Q51" s="18"/>
    </row>
    <row r="52" spans="1:17" ht="24" customHeight="1" x14ac:dyDescent="0.3">
      <c r="B52" s="462" t="s">
        <v>338</v>
      </c>
      <c r="C52" s="310">
        <f t="shared" si="4"/>
        <v>95.289299999999969</v>
      </c>
      <c r="D52" s="311">
        <f t="shared" si="6"/>
        <v>0.11599706042859455</v>
      </c>
      <c r="E52" s="310">
        <f t="shared" si="5"/>
        <v>0</v>
      </c>
      <c r="F52" s="463">
        <f t="shared" si="7"/>
        <v>0</v>
      </c>
      <c r="G52" s="362"/>
      <c r="H52" s="362"/>
      <c r="I52" s="18"/>
      <c r="J52" s="18"/>
      <c r="K52" s="18"/>
      <c r="L52" s="18"/>
      <c r="M52" s="18"/>
      <c r="N52" s="18"/>
      <c r="O52" s="18"/>
      <c r="P52" s="18"/>
      <c r="Q52" s="18"/>
    </row>
    <row r="53" spans="1:17" ht="24" customHeight="1" x14ac:dyDescent="0.3">
      <c r="B53" s="462" t="s">
        <v>337</v>
      </c>
      <c r="C53" s="310">
        <f t="shared" si="4"/>
        <v>0</v>
      </c>
      <c r="D53" s="311">
        <f t="shared" si="6"/>
        <v>0</v>
      </c>
      <c r="E53" s="310">
        <f t="shared" si="5"/>
        <v>0</v>
      </c>
      <c r="F53" s="463">
        <f t="shared" si="7"/>
        <v>0</v>
      </c>
      <c r="G53" s="362"/>
      <c r="H53" s="362"/>
      <c r="I53" s="18"/>
      <c r="J53" s="18"/>
      <c r="K53" s="18"/>
      <c r="L53" s="18"/>
      <c r="M53" s="18"/>
      <c r="N53" s="18"/>
      <c r="O53" s="18"/>
      <c r="P53" s="18"/>
      <c r="Q53" s="18"/>
    </row>
    <row r="54" spans="1:17" ht="24" customHeight="1" x14ac:dyDescent="0.3">
      <c r="B54" s="462" t="s">
        <v>341</v>
      </c>
      <c r="C54" s="310">
        <f t="shared" si="4"/>
        <v>0</v>
      </c>
      <c r="D54" s="311">
        <f t="shared" si="6"/>
        <v>0</v>
      </c>
      <c r="E54" s="310">
        <f t="shared" si="5"/>
        <v>0</v>
      </c>
      <c r="F54" s="463">
        <f t="shared" si="7"/>
        <v>0</v>
      </c>
      <c r="G54" s="362"/>
      <c r="H54" s="362"/>
      <c r="I54" s="18"/>
      <c r="J54" s="18"/>
      <c r="K54" s="18"/>
      <c r="L54" s="18"/>
      <c r="M54" s="18"/>
      <c r="N54" s="18"/>
      <c r="O54" s="18"/>
      <c r="P54" s="18"/>
      <c r="Q54" s="18"/>
    </row>
    <row r="55" spans="1:17" ht="24" customHeight="1" x14ac:dyDescent="0.3">
      <c r="B55" s="462" t="s">
        <v>340</v>
      </c>
      <c r="C55" s="310">
        <f t="shared" si="4"/>
        <v>20.428100000000001</v>
      </c>
      <c r="D55" s="311">
        <f t="shared" si="6"/>
        <v>2.4867425305269038E-2</v>
      </c>
      <c r="E55" s="310">
        <f t="shared" si="5"/>
        <v>0</v>
      </c>
      <c r="F55" s="463">
        <f t="shared" si="7"/>
        <v>0</v>
      </c>
      <c r="G55" s="362"/>
      <c r="H55" s="362"/>
      <c r="I55" s="18"/>
      <c r="J55" s="18"/>
      <c r="K55" s="18"/>
      <c r="L55" s="18"/>
      <c r="M55" s="18"/>
      <c r="N55" s="18"/>
      <c r="O55" s="18"/>
      <c r="P55" s="18"/>
      <c r="Q55" s="18"/>
    </row>
    <row r="56" spans="1:17" ht="24" customHeight="1" x14ac:dyDescent="0.3">
      <c r="B56" s="462" t="s">
        <v>339</v>
      </c>
      <c r="C56" s="310">
        <f t="shared" si="4"/>
        <v>76.163399999999996</v>
      </c>
      <c r="D56" s="311">
        <f t="shared" si="6"/>
        <v>9.2714822254410731E-2</v>
      </c>
      <c r="E56" s="310">
        <f t="shared" si="5"/>
        <v>15.381499999999999</v>
      </c>
      <c r="F56" s="463">
        <f t="shared" si="7"/>
        <v>1.2854450085012447E-2</v>
      </c>
      <c r="G56" s="362"/>
      <c r="H56" s="362"/>
      <c r="I56" s="18"/>
      <c r="J56" s="18"/>
      <c r="K56" s="18"/>
      <c r="L56" s="18"/>
      <c r="M56" s="18"/>
      <c r="N56" s="18"/>
      <c r="O56" s="18"/>
      <c r="P56" s="18"/>
      <c r="Q56" s="18"/>
    </row>
    <row r="57" spans="1:17" ht="24" customHeight="1" thickBot="1" x14ac:dyDescent="0.35">
      <c r="B57" s="464" t="s">
        <v>344</v>
      </c>
      <c r="C57" s="465">
        <f>SUM(C49:C56)</f>
        <v>821.48029999999994</v>
      </c>
      <c r="D57" s="553">
        <f>SUM(D49:D56)</f>
        <v>1</v>
      </c>
      <c r="E57" s="465">
        <f>SUM(E49:E56)</f>
        <v>1196.5894999999998</v>
      </c>
      <c r="F57" s="553">
        <f>SUM(F49:F56)</f>
        <v>1.0000000000000002</v>
      </c>
      <c r="G57" s="430"/>
      <c r="H57" s="430"/>
      <c r="I57" s="18"/>
      <c r="J57" s="18"/>
      <c r="K57" s="18"/>
      <c r="L57" s="18"/>
      <c r="M57" s="18"/>
      <c r="N57" s="18"/>
      <c r="O57" s="18"/>
      <c r="P57" s="18"/>
      <c r="Q57" s="18"/>
    </row>
    <row r="58" spans="1:17" x14ac:dyDescent="0.3">
      <c r="B58" s="18"/>
      <c r="C58" s="18"/>
      <c r="E58" s="18"/>
      <c r="F58" s="18"/>
      <c r="G58" s="18"/>
      <c r="H58" s="18"/>
      <c r="I58" s="18"/>
      <c r="J58" s="18"/>
      <c r="K58" s="18"/>
      <c r="L58" s="18"/>
      <c r="M58" s="18"/>
      <c r="N58" s="18"/>
      <c r="O58" s="18"/>
      <c r="P58" s="18"/>
      <c r="Q58" s="18"/>
    </row>
    <row r="59" spans="1:17" x14ac:dyDescent="0.3">
      <c r="B59" s="38"/>
      <c r="C59" s="38"/>
      <c r="D59" s="18"/>
      <c r="E59" s="18"/>
      <c r="F59" s="23"/>
      <c r="G59" s="23"/>
      <c r="H59" s="23"/>
      <c r="I59" s="23"/>
      <c r="J59" s="18"/>
      <c r="K59" s="18"/>
    </row>
    <row r="60" spans="1:17" s="309" customFormat="1" ht="27.65" customHeight="1" x14ac:dyDescent="0.35">
      <c r="A60" s="305"/>
      <c r="B60" s="306" t="s">
        <v>461</v>
      </c>
      <c r="C60" s="307"/>
      <c r="D60" s="308"/>
      <c r="E60" s="308"/>
      <c r="F60" s="308"/>
      <c r="G60" s="308"/>
      <c r="H60" s="308"/>
      <c r="I60" s="308"/>
      <c r="J60" s="308"/>
      <c r="K60" s="308"/>
      <c r="L60" s="308"/>
      <c r="M60" s="308"/>
      <c r="O60" s="308"/>
      <c r="P60" s="308"/>
    </row>
    <row r="61" spans="1:17" s="317" customFormat="1" ht="19.5" customHeight="1" x14ac:dyDescent="0.35">
      <c r="A61" s="313"/>
      <c r="B61" s="314" t="s">
        <v>462</v>
      </c>
      <c r="C61" s="315"/>
      <c r="D61" s="316"/>
      <c r="E61" s="316"/>
      <c r="F61" s="316"/>
      <c r="G61" s="316"/>
      <c r="H61" s="316"/>
      <c r="I61" s="316"/>
      <c r="J61" s="316"/>
      <c r="K61" s="316"/>
      <c r="L61" s="316"/>
      <c r="M61" s="316"/>
      <c r="O61" s="316"/>
      <c r="P61" s="316"/>
    </row>
    <row r="62" spans="1:17" ht="14.5" thickBot="1" x14ac:dyDescent="0.35">
      <c r="B62" s="38"/>
      <c r="C62" s="38"/>
      <c r="D62" s="18"/>
      <c r="E62" s="18"/>
      <c r="F62" s="23"/>
      <c r="G62" s="23"/>
      <c r="H62" s="23"/>
      <c r="I62" s="23"/>
      <c r="J62" s="18"/>
      <c r="K62" s="18"/>
    </row>
    <row r="63" spans="1:17" ht="34.5" x14ac:dyDescent="0.3">
      <c r="B63" s="467" t="s">
        <v>137</v>
      </c>
      <c r="C63" s="468" t="s">
        <v>320</v>
      </c>
      <c r="D63" s="468" t="s">
        <v>321</v>
      </c>
      <c r="E63" s="468" t="s">
        <v>322</v>
      </c>
      <c r="F63" s="468" t="s">
        <v>323</v>
      </c>
      <c r="G63" s="468" t="s">
        <v>10</v>
      </c>
      <c r="H63" s="468" t="s">
        <v>324</v>
      </c>
      <c r="I63" s="468" t="s">
        <v>325</v>
      </c>
      <c r="J63" s="468" t="s">
        <v>326</v>
      </c>
      <c r="K63" s="469" t="s">
        <v>327</v>
      </c>
    </row>
    <row r="64" spans="1:17" ht="42" x14ac:dyDescent="0.3">
      <c r="B64" s="806" t="s">
        <v>64</v>
      </c>
      <c r="C64" s="319" t="s">
        <v>148</v>
      </c>
      <c r="D64" s="319" t="s">
        <v>167</v>
      </c>
      <c r="E64" s="319" t="s">
        <v>215</v>
      </c>
      <c r="F64" s="319">
        <v>431</v>
      </c>
      <c r="G64" s="319" t="s">
        <v>25</v>
      </c>
      <c r="H64" s="320"/>
      <c r="I64" s="319">
        <v>2.5651000000000002</v>
      </c>
      <c r="J64" s="319"/>
      <c r="K64" s="478" t="s">
        <v>339</v>
      </c>
    </row>
    <row r="65" spans="2:16" ht="42" x14ac:dyDescent="0.3">
      <c r="B65" s="806"/>
      <c r="C65" s="319" t="s">
        <v>148</v>
      </c>
      <c r="D65" s="319" t="s">
        <v>167</v>
      </c>
      <c r="E65" s="319" t="s">
        <v>216</v>
      </c>
      <c r="F65" s="319">
        <v>391</v>
      </c>
      <c r="G65" s="319" t="s">
        <v>25</v>
      </c>
      <c r="H65" s="320"/>
      <c r="I65" s="319">
        <v>4.1616</v>
      </c>
      <c r="J65" s="319"/>
      <c r="K65" s="478" t="s">
        <v>339</v>
      </c>
    </row>
    <row r="66" spans="2:16" ht="42" x14ac:dyDescent="0.3">
      <c r="B66" s="806"/>
      <c r="C66" s="319" t="s">
        <v>148</v>
      </c>
      <c r="D66" s="319" t="s">
        <v>167</v>
      </c>
      <c r="E66" s="319" t="s">
        <v>217</v>
      </c>
      <c r="F66" s="319">
        <v>123</v>
      </c>
      <c r="G66" s="319" t="s">
        <v>25</v>
      </c>
      <c r="H66" s="320"/>
      <c r="I66" s="319">
        <v>2.3273999999999999</v>
      </c>
      <c r="J66" s="319"/>
      <c r="K66" s="478" t="s">
        <v>339</v>
      </c>
    </row>
    <row r="67" spans="2:16" ht="42" x14ac:dyDescent="0.3">
      <c r="B67" s="806"/>
      <c r="C67" s="319" t="s">
        <v>148</v>
      </c>
      <c r="D67" s="319" t="s">
        <v>167</v>
      </c>
      <c r="E67" s="319" t="s">
        <v>218</v>
      </c>
      <c r="F67" s="319">
        <v>78</v>
      </c>
      <c r="G67" s="319" t="s">
        <v>25</v>
      </c>
      <c r="H67" s="320"/>
      <c r="I67" s="319">
        <v>2.1947000000000001</v>
      </c>
      <c r="J67" s="319"/>
      <c r="K67" s="478" t="s">
        <v>339</v>
      </c>
    </row>
    <row r="68" spans="2:16" ht="42" x14ac:dyDescent="0.3">
      <c r="B68" s="806"/>
      <c r="C68" s="319" t="s">
        <v>148</v>
      </c>
      <c r="D68" s="319" t="s">
        <v>167</v>
      </c>
      <c r="E68" s="319" t="s">
        <v>258</v>
      </c>
      <c r="F68" s="319">
        <v>25</v>
      </c>
      <c r="G68" s="319" t="s">
        <v>25</v>
      </c>
      <c r="H68" s="320"/>
      <c r="I68" s="319">
        <v>1.2903</v>
      </c>
      <c r="J68" s="319"/>
      <c r="K68" s="478" t="s">
        <v>339</v>
      </c>
    </row>
    <row r="69" spans="2:16" ht="28" x14ac:dyDescent="0.3">
      <c r="B69" s="806"/>
      <c r="C69" s="319" t="s">
        <v>149</v>
      </c>
      <c r="D69" s="319" t="s">
        <v>169</v>
      </c>
      <c r="E69" s="319" t="s">
        <v>254</v>
      </c>
      <c r="F69" s="319">
        <v>272</v>
      </c>
      <c r="G69" s="319" t="s">
        <v>171</v>
      </c>
      <c r="H69" s="320"/>
      <c r="I69" s="319">
        <v>1.0297000000000001</v>
      </c>
      <c r="J69" s="319"/>
      <c r="K69" s="478" t="s">
        <v>328</v>
      </c>
    </row>
    <row r="70" spans="2:16" ht="27" customHeight="1" x14ac:dyDescent="0.3">
      <c r="B70" s="806"/>
      <c r="C70" s="319" t="s">
        <v>149</v>
      </c>
      <c r="D70" s="319" t="s">
        <v>169</v>
      </c>
      <c r="E70" s="319" t="s">
        <v>254</v>
      </c>
      <c r="F70" s="319">
        <v>136</v>
      </c>
      <c r="G70" s="319" t="s">
        <v>171</v>
      </c>
      <c r="H70" s="320"/>
      <c r="I70" s="319">
        <v>0.51480000000000004</v>
      </c>
      <c r="J70" s="319"/>
      <c r="K70" s="478" t="s">
        <v>328</v>
      </c>
    </row>
    <row r="71" spans="2:16" ht="42" x14ac:dyDescent="0.3">
      <c r="B71" s="806"/>
      <c r="C71" s="319" t="s">
        <v>151</v>
      </c>
      <c r="D71" s="319" t="s">
        <v>189</v>
      </c>
      <c r="E71" s="319" t="s">
        <v>747</v>
      </c>
      <c r="F71" s="319">
        <v>1100</v>
      </c>
      <c r="G71" s="319" t="s">
        <v>187</v>
      </c>
      <c r="H71" s="320"/>
      <c r="I71" s="319">
        <v>0.44500000000000001</v>
      </c>
      <c r="J71" s="319"/>
      <c r="K71" s="478" t="s">
        <v>339</v>
      </c>
    </row>
    <row r="72" spans="2:16" ht="56" x14ac:dyDescent="0.3">
      <c r="B72" s="806"/>
      <c r="C72" s="319" t="s">
        <v>148</v>
      </c>
      <c r="D72" s="319" t="s">
        <v>180</v>
      </c>
      <c r="E72" s="319" t="s">
        <v>219</v>
      </c>
      <c r="F72" s="319">
        <v>7</v>
      </c>
      <c r="G72" s="319" t="s">
        <v>175</v>
      </c>
      <c r="H72" s="320"/>
      <c r="I72" s="319">
        <v>4.4762000000000004</v>
      </c>
      <c r="J72" s="319"/>
      <c r="K72" s="478" t="s">
        <v>338</v>
      </c>
    </row>
    <row r="73" spans="2:16" ht="56" x14ac:dyDescent="0.3">
      <c r="B73" s="806"/>
      <c r="C73" s="319" t="s">
        <v>148</v>
      </c>
      <c r="D73" s="319" t="s">
        <v>180</v>
      </c>
      <c r="E73" s="319" t="s">
        <v>220</v>
      </c>
      <c r="F73" s="319">
        <v>4</v>
      </c>
      <c r="G73" s="319" t="s">
        <v>175</v>
      </c>
      <c r="H73" s="320"/>
      <c r="I73" s="319">
        <v>4.0743999999999998</v>
      </c>
      <c r="J73" s="319"/>
      <c r="K73" s="478" t="s">
        <v>338</v>
      </c>
    </row>
    <row r="74" spans="2:16" ht="42" x14ac:dyDescent="0.3">
      <c r="B74" s="806"/>
      <c r="C74" s="319" t="s">
        <v>148</v>
      </c>
      <c r="D74" s="319" t="s">
        <v>225</v>
      </c>
      <c r="E74" s="319" t="s">
        <v>226</v>
      </c>
      <c r="F74" s="319">
        <v>6</v>
      </c>
      <c r="G74" s="319" t="s">
        <v>175</v>
      </c>
      <c r="H74" s="320"/>
      <c r="I74" s="319">
        <v>0.52580000000000005</v>
      </c>
      <c r="J74" s="319"/>
      <c r="K74" s="478" t="s">
        <v>338</v>
      </c>
    </row>
    <row r="75" spans="2:16" ht="28" x14ac:dyDescent="0.3">
      <c r="B75" s="806"/>
      <c r="C75" s="319" t="s">
        <v>148</v>
      </c>
      <c r="D75" s="319" t="s">
        <v>227</v>
      </c>
      <c r="E75" s="319" t="s">
        <v>228</v>
      </c>
      <c r="F75" s="319">
        <v>3</v>
      </c>
      <c r="G75" s="319" t="s">
        <v>175</v>
      </c>
      <c r="H75" s="320"/>
      <c r="I75" s="319">
        <v>1.6000000000000001E-3</v>
      </c>
      <c r="J75" s="319"/>
      <c r="K75" s="478" t="s">
        <v>340</v>
      </c>
    </row>
    <row r="76" spans="2:16" s="321" customFormat="1" ht="25" customHeight="1" x14ac:dyDescent="0.3">
      <c r="B76" s="806"/>
      <c r="C76" s="319" t="s">
        <v>150</v>
      </c>
      <c r="D76" s="319" t="s">
        <v>231</v>
      </c>
      <c r="E76" s="319" t="s">
        <v>232</v>
      </c>
      <c r="F76" s="319">
        <v>6391</v>
      </c>
      <c r="G76" s="319" t="s">
        <v>187</v>
      </c>
      <c r="H76" s="320"/>
      <c r="I76" s="319">
        <v>15.3512</v>
      </c>
      <c r="J76" s="319"/>
      <c r="K76" s="478" t="s">
        <v>328</v>
      </c>
      <c r="O76" s="118"/>
      <c r="P76" s="118"/>
    </row>
    <row r="77" spans="2:16" ht="70" x14ac:dyDescent="0.3">
      <c r="B77" s="806"/>
      <c r="C77" s="319" t="s">
        <v>151</v>
      </c>
      <c r="D77" s="319" t="s">
        <v>235</v>
      </c>
      <c r="E77" s="319" t="s">
        <v>236</v>
      </c>
      <c r="F77" s="319">
        <v>6391</v>
      </c>
      <c r="G77" s="319" t="s">
        <v>187</v>
      </c>
      <c r="H77" s="320">
        <v>2.04</v>
      </c>
      <c r="I77" s="319">
        <v>43.599400000000003</v>
      </c>
      <c r="J77" s="319">
        <v>88.942800000000005</v>
      </c>
      <c r="K77" s="478" t="s">
        <v>329</v>
      </c>
    </row>
    <row r="78" spans="2:16" ht="70" x14ac:dyDescent="0.3">
      <c r="B78" s="806"/>
      <c r="C78" s="319" t="s">
        <v>151</v>
      </c>
      <c r="D78" s="319" t="s">
        <v>235</v>
      </c>
      <c r="E78" s="319" t="s">
        <v>236</v>
      </c>
      <c r="F78" s="319">
        <v>6391</v>
      </c>
      <c r="G78" s="319" t="s">
        <v>187</v>
      </c>
      <c r="H78" s="320">
        <v>2.04</v>
      </c>
      <c r="I78" s="319">
        <v>43.599400000000003</v>
      </c>
      <c r="J78" s="319">
        <v>88.942800000000005</v>
      </c>
      <c r="K78" s="478" t="s">
        <v>329</v>
      </c>
    </row>
    <row r="79" spans="2:16" ht="56" x14ac:dyDescent="0.3">
      <c r="B79" s="806"/>
      <c r="C79" s="319" t="s">
        <v>151</v>
      </c>
      <c r="D79" s="319" t="s">
        <v>235</v>
      </c>
      <c r="E79" s="319" t="s">
        <v>259</v>
      </c>
      <c r="F79" s="319">
        <v>6391</v>
      </c>
      <c r="G79" s="319" t="s">
        <v>187</v>
      </c>
      <c r="H79" s="320">
        <v>2.04</v>
      </c>
      <c r="I79" s="319">
        <v>9.4395000000000007</v>
      </c>
      <c r="J79" s="319">
        <v>19.256599999999999</v>
      </c>
      <c r="K79" s="478" t="s">
        <v>329</v>
      </c>
    </row>
    <row r="80" spans="2:16" ht="42" x14ac:dyDescent="0.3">
      <c r="B80" s="806"/>
      <c r="C80" s="319" t="s">
        <v>151</v>
      </c>
      <c r="D80" s="319" t="s">
        <v>238</v>
      </c>
      <c r="E80" s="319" t="s">
        <v>239</v>
      </c>
      <c r="F80" s="319">
        <v>12782</v>
      </c>
      <c r="G80" s="319" t="s">
        <v>187</v>
      </c>
      <c r="H80" s="320">
        <v>6</v>
      </c>
      <c r="I80" s="319">
        <v>3.8473999999999999</v>
      </c>
      <c r="J80" s="319">
        <v>23.084299999999999</v>
      </c>
      <c r="K80" s="478" t="s">
        <v>329</v>
      </c>
    </row>
    <row r="81" spans="2:17" ht="42" x14ac:dyDescent="0.3">
      <c r="B81" s="806"/>
      <c r="C81" s="319" t="s">
        <v>154</v>
      </c>
      <c r="D81" s="319" t="s">
        <v>242</v>
      </c>
      <c r="E81" s="319" t="s">
        <v>244</v>
      </c>
      <c r="F81" s="319">
        <v>715</v>
      </c>
      <c r="G81" s="319" t="s">
        <v>25</v>
      </c>
      <c r="H81" s="320">
        <v>5</v>
      </c>
      <c r="I81" s="319">
        <v>0.57350000000000001</v>
      </c>
      <c r="J81" s="319">
        <v>2.8677000000000001</v>
      </c>
      <c r="K81" s="478" t="s">
        <v>339</v>
      </c>
    </row>
    <row r="82" spans="2:17" ht="42" x14ac:dyDescent="0.3">
      <c r="B82" s="806"/>
      <c r="C82" s="319" t="s">
        <v>155</v>
      </c>
      <c r="D82" s="319" t="s">
        <v>179</v>
      </c>
      <c r="E82" s="319" t="s">
        <v>253</v>
      </c>
      <c r="F82" s="319">
        <v>110</v>
      </c>
      <c r="G82" s="319" t="s">
        <v>25</v>
      </c>
      <c r="H82" s="320"/>
      <c r="I82" s="319">
        <v>0.6653</v>
      </c>
      <c r="J82" s="319"/>
      <c r="K82" s="478" t="s">
        <v>339</v>
      </c>
    </row>
    <row r="83" spans="2:17" ht="56" x14ac:dyDescent="0.3">
      <c r="B83" s="806"/>
      <c r="C83" s="319" t="s">
        <v>157</v>
      </c>
      <c r="D83" s="319" t="s">
        <v>255</v>
      </c>
      <c r="E83" s="319" t="s">
        <v>256</v>
      </c>
      <c r="F83" s="319">
        <v>0.2</v>
      </c>
      <c r="G83" s="319" t="s">
        <v>178</v>
      </c>
      <c r="H83" s="320"/>
      <c r="I83" s="319">
        <v>1.5E-3</v>
      </c>
      <c r="J83" s="319"/>
      <c r="K83" s="478" t="s">
        <v>328</v>
      </c>
    </row>
    <row r="84" spans="2:17" ht="28" x14ac:dyDescent="0.3">
      <c r="B84" s="806"/>
      <c r="C84" s="319" t="s">
        <v>157</v>
      </c>
      <c r="D84" s="319" t="s">
        <v>172</v>
      </c>
      <c r="E84" s="319" t="s">
        <v>173</v>
      </c>
      <c r="F84" s="319">
        <v>6</v>
      </c>
      <c r="G84" s="319" t="s">
        <v>171</v>
      </c>
      <c r="H84" s="320"/>
      <c r="I84" s="319">
        <v>1.5331999999999999</v>
      </c>
      <c r="J84" s="319"/>
      <c r="K84" s="478" t="s">
        <v>338</v>
      </c>
    </row>
    <row r="85" spans="2:17" ht="28" x14ac:dyDescent="0.3">
      <c r="B85" s="806"/>
      <c r="C85" s="319" t="s">
        <v>148</v>
      </c>
      <c r="D85" s="319" t="s">
        <v>180</v>
      </c>
      <c r="E85" s="319" t="s">
        <v>188</v>
      </c>
      <c r="F85" s="319">
        <v>2</v>
      </c>
      <c r="G85" s="319" t="s">
        <v>175</v>
      </c>
      <c r="H85" s="320"/>
      <c r="I85" s="319">
        <v>5.0179999999999998</v>
      </c>
      <c r="J85" s="319"/>
      <c r="K85" s="478" t="s">
        <v>338</v>
      </c>
    </row>
    <row r="86" spans="2:17" ht="42" x14ac:dyDescent="0.3">
      <c r="B86" s="806"/>
      <c r="C86" s="319" t="s">
        <v>159</v>
      </c>
      <c r="D86" s="319" t="s">
        <v>260</v>
      </c>
      <c r="E86" s="319" t="s">
        <v>261</v>
      </c>
      <c r="F86" s="319">
        <v>99</v>
      </c>
      <c r="G86" s="319" t="s">
        <v>187</v>
      </c>
      <c r="H86" s="320"/>
      <c r="I86" s="319">
        <v>3.8071999999999999</v>
      </c>
      <c r="J86" s="319"/>
      <c r="K86" s="478" t="s">
        <v>340</v>
      </c>
    </row>
    <row r="87" spans="2:17" x14ac:dyDescent="0.3">
      <c r="B87" s="504" t="s">
        <v>344</v>
      </c>
      <c r="C87" s="481"/>
      <c r="D87" s="481"/>
      <c r="E87" s="481"/>
      <c r="F87" s="481"/>
      <c r="G87" s="481"/>
      <c r="H87" s="489"/>
      <c r="I87" s="482">
        <f>SUM(I64:I86)</f>
        <v>151.04219999999998</v>
      </c>
      <c r="J87" s="482">
        <f>SUM(J64:J86)</f>
        <v>223.0942</v>
      </c>
      <c r="K87" s="479" t="s">
        <v>90</v>
      </c>
      <c r="M87" s="117"/>
      <c r="N87" s="117"/>
      <c r="O87" s="117"/>
      <c r="P87" s="117"/>
      <c r="Q87" s="117"/>
    </row>
    <row r="88" spans="2:17" ht="37.5" customHeight="1" x14ac:dyDescent="0.3">
      <c r="B88" s="806" t="s">
        <v>65</v>
      </c>
      <c r="C88" s="319" t="s">
        <v>148</v>
      </c>
      <c r="D88" s="319" t="s">
        <v>167</v>
      </c>
      <c r="E88" s="319" t="s">
        <v>215</v>
      </c>
      <c r="F88" s="319">
        <v>510</v>
      </c>
      <c r="G88" s="319" t="s">
        <v>25</v>
      </c>
      <c r="H88" s="320"/>
      <c r="I88" s="319">
        <v>3.0352000000000001</v>
      </c>
      <c r="J88" s="319"/>
      <c r="K88" s="478" t="s">
        <v>339</v>
      </c>
    </row>
    <row r="89" spans="2:17" ht="42" x14ac:dyDescent="0.3">
      <c r="B89" s="806"/>
      <c r="C89" s="319" t="s">
        <v>148</v>
      </c>
      <c r="D89" s="319" t="s">
        <v>167</v>
      </c>
      <c r="E89" s="319" t="s">
        <v>216</v>
      </c>
      <c r="F89" s="319">
        <v>462</v>
      </c>
      <c r="G89" s="319" t="s">
        <v>25</v>
      </c>
      <c r="H89" s="320"/>
      <c r="I89" s="319">
        <v>4.9173</v>
      </c>
      <c r="J89" s="319"/>
      <c r="K89" s="478" t="s">
        <v>339</v>
      </c>
    </row>
    <row r="90" spans="2:17" ht="42" x14ac:dyDescent="0.3">
      <c r="B90" s="806"/>
      <c r="C90" s="319" t="s">
        <v>148</v>
      </c>
      <c r="D90" s="319" t="s">
        <v>167</v>
      </c>
      <c r="E90" s="319" t="s">
        <v>217</v>
      </c>
      <c r="F90" s="319">
        <v>145</v>
      </c>
      <c r="G90" s="319" t="s">
        <v>25</v>
      </c>
      <c r="H90" s="320"/>
      <c r="I90" s="319">
        <v>2.7437</v>
      </c>
      <c r="J90" s="319"/>
      <c r="K90" s="478" t="s">
        <v>339</v>
      </c>
    </row>
    <row r="91" spans="2:17" ht="42" x14ac:dyDescent="0.3">
      <c r="B91" s="806"/>
      <c r="C91" s="319" t="s">
        <v>148</v>
      </c>
      <c r="D91" s="319" t="s">
        <v>167</v>
      </c>
      <c r="E91" s="319" t="s">
        <v>218</v>
      </c>
      <c r="F91" s="319">
        <v>92</v>
      </c>
      <c r="G91" s="319" t="s">
        <v>25</v>
      </c>
      <c r="H91" s="320"/>
      <c r="I91" s="319">
        <v>2.5886</v>
      </c>
      <c r="J91" s="319"/>
      <c r="K91" s="478" t="s">
        <v>339</v>
      </c>
    </row>
    <row r="92" spans="2:17" ht="42" x14ac:dyDescent="0.3">
      <c r="B92" s="806"/>
      <c r="C92" s="319" t="s">
        <v>148</v>
      </c>
      <c r="D92" s="319" t="s">
        <v>167</v>
      </c>
      <c r="E92" s="319" t="s">
        <v>258</v>
      </c>
      <c r="F92" s="319">
        <v>29</v>
      </c>
      <c r="G92" s="319" t="s">
        <v>25</v>
      </c>
      <c r="H92" s="320"/>
      <c r="I92" s="319">
        <v>1.4967999999999999</v>
      </c>
      <c r="J92" s="319"/>
      <c r="K92" s="478" t="s">
        <v>339</v>
      </c>
    </row>
    <row r="93" spans="2:17" ht="28" x14ac:dyDescent="0.3">
      <c r="B93" s="806"/>
      <c r="C93" s="319" t="s">
        <v>149</v>
      </c>
      <c r="D93" s="319" t="s">
        <v>169</v>
      </c>
      <c r="E93" s="319" t="s">
        <v>254</v>
      </c>
      <c r="F93" s="319">
        <v>321</v>
      </c>
      <c r="G93" s="319" t="s">
        <v>171</v>
      </c>
      <c r="H93" s="320"/>
      <c r="I93" s="319">
        <v>1.2151000000000001</v>
      </c>
      <c r="J93" s="319"/>
      <c r="K93" s="478" t="s">
        <v>328</v>
      </c>
    </row>
    <row r="94" spans="2:17" ht="28" x14ac:dyDescent="0.3">
      <c r="B94" s="806"/>
      <c r="C94" s="319" t="s">
        <v>149</v>
      </c>
      <c r="D94" s="319" t="s">
        <v>169</v>
      </c>
      <c r="E94" s="319" t="s">
        <v>254</v>
      </c>
      <c r="F94" s="319">
        <v>161</v>
      </c>
      <c r="G94" s="319" t="s">
        <v>171</v>
      </c>
      <c r="H94" s="320"/>
      <c r="I94" s="319">
        <v>0.60950000000000004</v>
      </c>
      <c r="J94" s="319"/>
      <c r="K94" s="478" t="s">
        <v>328</v>
      </c>
    </row>
    <row r="95" spans="2:17" ht="42" x14ac:dyDescent="0.3">
      <c r="B95" s="806"/>
      <c r="C95" s="319" t="s">
        <v>151</v>
      </c>
      <c r="D95" s="319" t="s">
        <v>189</v>
      </c>
      <c r="E95" s="319" t="s">
        <v>747</v>
      </c>
      <c r="F95" s="319">
        <v>1300</v>
      </c>
      <c r="G95" s="319" t="s">
        <v>187</v>
      </c>
      <c r="H95" s="320"/>
      <c r="I95" s="319">
        <v>0.52580000000000005</v>
      </c>
      <c r="J95" s="319"/>
      <c r="K95" s="478" t="s">
        <v>339</v>
      </c>
    </row>
    <row r="96" spans="2:17" ht="56" x14ac:dyDescent="0.3">
      <c r="B96" s="806"/>
      <c r="C96" s="319" t="s">
        <v>148</v>
      </c>
      <c r="D96" s="319" t="s">
        <v>180</v>
      </c>
      <c r="E96" s="319" t="s">
        <v>219</v>
      </c>
      <c r="F96" s="319">
        <v>8</v>
      </c>
      <c r="G96" s="319" t="s">
        <v>175</v>
      </c>
      <c r="H96" s="320"/>
      <c r="I96" s="319">
        <v>5.1157000000000004</v>
      </c>
      <c r="J96" s="319"/>
      <c r="K96" s="478" t="s">
        <v>338</v>
      </c>
    </row>
    <row r="97" spans="2:17" ht="56" x14ac:dyDescent="0.3">
      <c r="B97" s="806"/>
      <c r="C97" s="319" t="s">
        <v>148</v>
      </c>
      <c r="D97" s="319" t="s">
        <v>180</v>
      </c>
      <c r="E97" s="319" t="s">
        <v>220</v>
      </c>
      <c r="F97" s="319">
        <v>5</v>
      </c>
      <c r="G97" s="319" t="s">
        <v>175</v>
      </c>
      <c r="H97" s="320"/>
      <c r="I97" s="319">
        <v>5.093</v>
      </c>
      <c r="J97" s="319"/>
      <c r="K97" s="478" t="s">
        <v>338</v>
      </c>
    </row>
    <row r="98" spans="2:17" ht="42" x14ac:dyDescent="0.3">
      <c r="B98" s="806"/>
      <c r="C98" s="319" t="s">
        <v>148</v>
      </c>
      <c r="D98" s="319" t="s">
        <v>225</v>
      </c>
      <c r="E98" s="319" t="s">
        <v>226</v>
      </c>
      <c r="F98" s="319">
        <v>8</v>
      </c>
      <c r="G98" s="319" t="s">
        <v>175</v>
      </c>
      <c r="H98" s="320"/>
      <c r="I98" s="319">
        <v>0.70109999999999995</v>
      </c>
      <c r="J98" s="319"/>
      <c r="K98" s="478" t="s">
        <v>338</v>
      </c>
    </row>
    <row r="99" spans="2:17" ht="28" x14ac:dyDescent="0.3">
      <c r="B99" s="806"/>
      <c r="C99" s="319" t="s">
        <v>148</v>
      </c>
      <c r="D99" s="319" t="s">
        <v>227</v>
      </c>
      <c r="E99" s="319" t="s">
        <v>228</v>
      </c>
      <c r="F99" s="319">
        <v>3</v>
      </c>
      <c r="G99" s="319" t="s">
        <v>175</v>
      </c>
      <c r="H99" s="320"/>
      <c r="I99" s="319">
        <v>1.6000000000000001E-3</v>
      </c>
      <c r="J99" s="319"/>
      <c r="K99" s="478" t="s">
        <v>340</v>
      </c>
    </row>
    <row r="100" spans="2:17" ht="56" x14ac:dyDescent="0.3">
      <c r="B100" s="806"/>
      <c r="C100" s="319" t="s">
        <v>150</v>
      </c>
      <c r="D100" s="319" t="s">
        <v>231</v>
      </c>
      <c r="E100" s="319" t="s">
        <v>232</v>
      </c>
      <c r="F100" s="319">
        <v>7553</v>
      </c>
      <c r="G100" s="319" t="s">
        <v>187</v>
      </c>
      <c r="H100" s="320"/>
      <c r="I100" s="319">
        <v>18.142299999999999</v>
      </c>
      <c r="J100" s="319"/>
      <c r="K100" s="478" t="s">
        <v>328</v>
      </c>
    </row>
    <row r="101" spans="2:17" ht="70" x14ac:dyDescent="0.3">
      <c r="B101" s="806"/>
      <c r="C101" s="319" t="s">
        <v>151</v>
      </c>
      <c r="D101" s="319" t="s">
        <v>235</v>
      </c>
      <c r="E101" s="319" t="s">
        <v>236</v>
      </c>
      <c r="F101" s="319">
        <v>7553</v>
      </c>
      <c r="G101" s="319" t="s">
        <v>187</v>
      </c>
      <c r="H101" s="320">
        <v>2.04</v>
      </c>
      <c r="I101" s="319">
        <v>51.526600000000002</v>
      </c>
      <c r="J101" s="319">
        <v>105.1142</v>
      </c>
      <c r="K101" s="478" t="s">
        <v>329</v>
      </c>
    </row>
    <row r="102" spans="2:17" ht="70" x14ac:dyDescent="0.3">
      <c r="B102" s="806"/>
      <c r="C102" s="319" t="s">
        <v>151</v>
      </c>
      <c r="D102" s="319" t="s">
        <v>235</v>
      </c>
      <c r="E102" s="319" t="s">
        <v>236</v>
      </c>
      <c r="F102" s="319">
        <v>7553</v>
      </c>
      <c r="G102" s="319" t="s">
        <v>187</v>
      </c>
      <c r="H102" s="320">
        <v>2.04</v>
      </c>
      <c r="I102" s="319">
        <v>51.526600000000002</v>
      </c>
      <c r="J102" s="319">
        <v>105.1142</v>
      </c>
      <c r="K102" s="478" t="s">
        <v>329</v>
      </c>
    </row>
    <row r="103" spans="2:17" ht="56" x14ac:dyDescent="0.3">
      <c r="B103" s="806"/>
      <c r="C103" s="319" t="s">
        <v>151</v>
      </c>
      <c r="D103" s="319" t="s">
        <v>235</v>
      </c>
      <c r="E103" s="319" t="s">
        <v>259</v>
      </c>
      <c r="F103" s="319">
        <v>7553</v>
      </c>
      <c r="G103" s="319" t="s">
        <v>187</v>
      </c>
      <c r="H103" s="320">
        <v>2.04</v>
      </c>
      <c r="I103" s="319">
        <v>11.155799999999999</v>
      </c>
      <c r="J103" s="319">
        <v>22.7578</v>
      </c>
      <c r="K103" s="478" t="s">
        <v>329</v>
      </c>
    </row>
    <row r="104" spans="2:17" ht="42" x14ac:dyDescent="0.3">
      <c r="B104" s="806"/>
      <c r="C104" s="319" t="s">
        <v>151</v>
      </c>
      <c r="D104" s="319" t="s">
        <v>238</v>
      </c>
      <c r="E104" s="319" t="s">
        <v>239</v>
      </c>
      <c r="F104" s="319">
        <v>15105</v>
      </c>
      <c r="G104" s="319" t="s">
        <v>187</v>
      </c>
      <c r="H104" s="320">
        <v>6</v>
      </c>
      <c r="I104" s="319">
        <v>4.5465999999999998</v>
      </c>
      <c r="J104" s="319">
        <v>27.279599999999999</v>
      </c>
      <c r="K104" s="478" t="s">
        <v>329</v>
      </c>
    </row>
    <row r="105" spans="2:17" ht="42" x14ac:dyDescent="0.3">
      <c r="B105" s="806"/>
      <c r="C105" s="319" t="s">
        <v>154</v>
      </c>
      <c r="D105" s="319" t="s">
        <v>242</v>
      </c>
      <c r="E105" s="319" t="s">
        <v>244</v>
      </c>
      <c r="F105" s="319">
        <v>845</v>
      </c>
      <c r="G105" s="319" t="s">
        <v>25</v>
      </c>
      <c r="H105" s="320">
        <v>5</v>
      </c>
      <c r="I105" s="319">
        <v>0.67779999999999996</v>
      </c>
      <c r="J105" s="319">
        <v>3.3892000000000002</v>
      </c>
      <c r="K105" s="478" t="s">
        <v>339</v>
      </c>
    </row>
    <row r="106" spans="2:17" ht="42" x14ac:dyDescent="0.3">
      <c r="B106" s="806"/>
      <c r="C106" s="319" t="s">
        <v>155</v>
      </c>
      <c r="D106" s="319" t="s">
        <v>179</v>
      </c>
      <c r="E106" s="319" t="s">
        <v>253</v>
      </c>
      <c r="F106" s="319">
        <v>130</v>
      </c>
      <c r="G106" s="319" t="s">
        <v>25</v>
      </c>
      <c r="H106" s="320"/>
      <c r="I106" s="319">
        <v>0.78620000000000001</v>
      </c>
      <c r="J106" s="319"/>
      <c r="K106" s="478" t="s">
        <v>339</v>
      </c>
    </row>
    <row r="107" spans="2:17" ht="56" x14ac:dyDescent="0.3">
      <c r="B107" s="806"/>
      <c r="C107" s="319" t="s">
        <v>157</v>
      </c>
      <c r="D107" s="319" t="s">
        <v>255</v>
      </c>
      <c r="E107" s="319" t="s">
        <v>256</v>
      </c>
      <c r="F107" s="319">
        <v>0.2</v>
      </c>
      <c r="G107" s="319" t="s">
        <v>178</v>
      </c>
      <c r="H107" s="320"/>
      <c r="I107" s="319">
        <v>1.5E-3</v>
      </c>
      <c r="J107" s="319"/>
      <c r="K107" s="478" t="s">
        <v>328</v>
      </c>
    </row>
    <row r="108" spans="2:17" ht="28" x14ac:dyDescent="0.3">
      <c r="B108" s="806"/>
      <c r="C108" s="319" t="s">
        <v>157</v>
      </c>
      <c r="D108" s="319" t="s">
        <v>172</v>
      </c>
      <c r="E108" s="319" t="s">
        <v>173</v>
      </c>
      <c r="F108" s="319">
        <v>7</v>
      </c>
      <c r="G108" s="319" t="s">
        <v>171</v>
      </c>
      <c r="H108" s="320"/>
      <c r="I108" s="319">
        <v>1.7887</v>
      </c>
      <c r="J108" s="319"/>
      <c r="K108" s="478" t="s">
        <v>338</v>
      </c>
    </row>
    <row r="109" spans="2:17" ht="28" x14ac:dyDescent="0.3">
      <c r="B109" s="806"/>
      <c r="C109" s="319" t="s">
        <v>148</v>
      </c>
      <c r="D109" s="319" t="s">
        <v>180</v>
      </c>
      <c r="E109" s="319" t="s">
        <v>188</v>
      </c>
      <c r="F109" s="319">
        <v>3</v>
      </c>
      <c r="G109" s="319" t="s">
        <v>175</v>
      </c>
      <c r="H109" s="320"/>
      <c r="I109" s="319">
        <v>7.5270000000000001</v>
      </c>
      <c r="J109" s="319"/>
      <c r="K109" s="478" t="s">
        <v>338</v>
      </c>
    </row>
    <row r="110" spans="2:17" ht="42" x14ac:dyDescent="0.3">
      <c r="B110" s="806"/>
      <c r="C110" s="319" t="s">
        <v>159</v>
      </c>
      <c r="D110" s="319" t="s">
        <v>260</v>
      </c>
      <c r="E110" s="319" t="s">
        <v>261</v>
      </c>
      <c r="F110" s="319">
        <v>117</v>
      </c>
      <c r="G110" s="319" t="s">
        <v>187</v>
      </c>
      <c r="H110" s="320"/>
      <c r="I110" s="319">
        <v>4.4995000000000003</v>
      </c>
      <c r="J110" s="319"/>
      <c r="K110" s="478" t="s">
        <v>340</v>
      </c>
    </row>
    <row r="111" spans="2:17" x14ac:dyDescent="0.3">
      <c r="B111" s="504" t="s">
        <v>344</v>
      </c>
      <c r="C111" s="322"/>
      <c r="D111" s="322"/>
      <c r="E111" s="481"/>
      <c r="F111" s="481"/>
      <c r="G111" s="481"/>
      <c r="H111" s="489"/>
      <c r="I111" s="482">
        <f>SUM(I88:I110)</f>
        <v>180.22200000000001</v>
      </c>
      <c r="J111" s="482">
        <f>SUM(J88:J110)</f>
        <v>263.65500000000003</v>
      </c>
      <c r="K111" s="479" t="s">
        <v>90</v>
      </c>
      <c r="M111" s="117"/>
      <c r="N111" s="117"/>
      <c r="O111" s="117"/>
      <c r="P111" s="117"/>
      <c r="Q111" s="117"/>
    </row>
    <row r="112" spans="2:17" ht="42" x14ac:dyDescent="0.3">
      <c r="B112" s="806" t="s">
        <v>66</v>
      </c>
      <c r="C112" s="319" t="s">
        <v>148</v>
      </c>
      <c r="D112" s="319" t="s">
        <v>167</v>
      </c>
      <c r="E112" s="319" t="s">
        <v>215</v>
      </c>
      <c r="F112" s="319">
        <v>627</v>
      </c>
      <c r="G112" s="319" t="s">
        <v>25</v>
      </c>
      <c r="H112" s="320"/>
      <c r="I112" s="319">
        <v>3.7315999999999998</v>
      </c>
      <c r="J112" s="319"/>
      <c r="K112" s="478" t="s">
        <v>339</v>
      </c>
    </row>
    <row r="113" spans="2:11" ht="42" x14ac:dyDescent="0.3">
      <c r="B113" s="806"/>
      <c r="C113" s="319" t="s">
        <v>148</v>
      </c>
      <c r="D113" s="319" t="s">
        <v>167</v>
      </c>
      <c r="E113" s="319" t="s">
        <v>216</v>
      </c>
      <c r="F113" s="319">
        <v>568</v>
      </c>
      <c r="G113" s="319" t="s">
        <v>25</v>
      </c>
      <c r="H113" s="320"/>
      <c r="I113" s="319">
        <v>6.0454999999999997</v>
      </c>
      <c r="J113" s="319"/>
      <c r="K113" s="478" t="s">
        <v>339</v>
      </c>
    </row>
    <row r="114" spans="2:11" ht="42" x14ac:dyDescent="0.3">
      <c r="B114" s="806"/>
      <c r="C114" s="319" t="s">
        <v>148</v>
      </c>
      <c r="D114" s="319" t="s">
        <v>167</v>
      </c>
      <c r="E114" s="319" t="s">
        <v>217</v>
      </c>
      <c r="F114" s="319">
        <v>178</v>
      </c>
      <c r="G114" s="319" t="s">
        <v>25</v>
      </c>
      <c r="H114" s="320"/>
      <c r="I114" s="319">
        <v>3.3681000000000001</v>
      </c>
      <c r="J114" s="319"/>
      <c r="K114" s="478" t="s">
        <v>339</v>
      </c>
    </row>
    <row r="115" spans="2:11" ht="42" x14ac:dyDescent="0.3">
      <c r="B115" s="806"/>
      <c r="C115" s="319" t="s">
        <v>148</v>
      </c>
      <c r="D115" s="319" t="s">
        <v>167</v>
      </c>
      <c r="E115" s="319" t="s">
        <v>218</v>
      </c>
      <c r="F115" s="319">
        <v>113</v>
      </c>
      <c r="G115" s="319" t="s">
        <v>25</v>
      </c>
      <c r="H115" s="320"/>
      <c r="I115" s="319">
        <v>3.1795</v>
      </c>
      <c r="J115" s="319"/>
      <c r="K115" s="478" t="s">
        <v>339</v>
      </c>
    </row>
    <row r="116" spans="2:11" ht="42" x14ac:dyDescent="0.3">
      <c r="B116" s="806"/>
      <c r="C116" s="319" t="s">
        <v>148</v>
      </c>
      <c r="D116" s="319" t="s">
        <v>167</v>
      </c>
      <c r="E116" s="319" t="s">
        <v>258</v>
      </c>
      <c r="F116" s="319">
        <v>36</v>
      </c>
      <c r="G116" s="319" t="s">
        <v>25</v>
      </c>
      <c r="H116" s="320"/>
      <c r="I116" s="319">
        <v>1.8581000000000001</v>
      </c>
      <c r="J116" s="319"/>
      <c r="K116" s="478" t="s">
        <v>339</v>
      </c>
    </row>
    <row r="117" spans="2:11" ht="28" x14ac:dyDescent="0.3">
      <c r="B117" s="806"/>
      <c r="C117" s="319" t="s">
        <v>149</v>
      </c>
      <c r="D117" s="319" t="s">
        <v>169</v>
      </c>
      <c r="E117" s="319" t="s">
        <v>254</v>
      </c>
      <c r="F117" s="319">
        <v>396</v>
      </c>
      <c r="G117" s="319" t="s">
        <v>171</v>
      </c>
      <c r="H117" s="320"/>
      <c r="I117" s="319">
        <v>1.4991000000000001</v>
      </c>
      <c r="J117" s="319"/>
      <c r="K117" s="478" t="s">
        <v>328</v>
      </c>
    </row>
    <row r="118" spans="2:11" ht="28" x14ac:dyDescent="0.3">
      <c r="B118" s="806"/>
      <c r="C118" s="319" t="s">
        <v>149</v>
      </c>
      <c r="D118" s="319" t="s">
        <v>169</v>
      </c>
      <c r="E118" s="319" t="s">
        <v>254</v>
      </c>
      <c r="F118" s="319">
        <v>198</v>
      </c>
      <c r="G118" s="319" t="s">
        <v>171</v>
      </c>
      <c r="H118" s="320"/>
      <c r="I118" s="319">
        <v>0.74950000000000006</v>
      </c>
      <c r="J118" s="319"/>
      <c r="K118" s="478" t="s">
        <v>328</v>
      </c>
    </row>
    <row r="119" spans="2:11" ht="42" x14ac:dyDescent="0.3">
      <c r="B119" s="806"/>
      <c r="C119" s="319" t="s">
        <v>151</v>
      </c>
      <c r="D119" s="319" t="s">
        <v>189</v>
      </c>
      <c r="E119" s="319" t="s">
        <v>747</v>
      </c>
      <c r="F119" s="319">
        <v>1600</v>
      </c>
      <c r="G119" s="319" t="s">
        <v>187</v>
      </c>
      <c r="H119" s="320"/>
      <c r="I119" s="319">
        <v>0.6472</v>
      </c>
      <c r="J119" s="319"/>
      <c r="K119" s="478" t="s">
        <v>339</v>
      </c>
    </row>
    <row r="120" spans="2:11" ht="56" x14ac:dyDescent="0.3">
      <c r="B120" s="806"/>
      <c r="C120" s="319" t="s">
        <v>148</v>
      </c>
      <c r="D120" s="319" t="s">
        <v>180</v>
      </c>
      <c r="E120" s="319" t="s">
        <v>223</v>
      </c>
      <c r="F120" s="319">
        <v>10</v>
      </c>
      <c r="G120" s="319" t="s">
        <v>175</v>
      </c>
      <c r="H120" s="320"/>
      <c r="I120" s="319">
        <v>10.6844</v>
      </c>
      <c r="J120" s="319"/>
      <c r="K120" s="478" t="s">
        <v>338</v>
      </c>
    </row>
    <row r="121" spans="2:11" ht="56" x14ac:dyDescent="0.3">
      <c r="B121" s="806"/>
      <c r="C121" s="319" t="s">
        <v>148</v>
      </c>
      <c r="D121" s="319" t="s">
        <v>180</v>
      </c>
      <c r="E121" s="319" t="s">
        <v>224</v>
      </c>
      <c r="F121" s="319">
        <v>6</v>
      </c>
      <c r="G121" s="319" t="s">
        <v>175</v>
      </c>
      <c r="H121" s="320"/>
      <c r="I121" s="319">
        <v>10.672000000000001</v>
      </c>
      <c r="J121" s="319"/>
      <c r="K121" s="478" t="s">
        <v>338</v>
      </c>
    </row>
    <row r="122" spans="2:11" ht="42" x14ac:dyDescent="0.3">
      <c r="B122" s="806"/>
      <c r="C122" s="319" t="s">
        <v>148</v>
      </c>
      <c r="D122" s="319" t="s">
        <v>225</v>
      </c>
      <c r="E122" s="319" t="s">
        <v>226</v>
      </c>
      <c r="F122" s="319">
        <v>9</v>
      </c>
      <c r="G122" s="319" t="s">
        <v>175</v>
      </c>
      <c r="H122" s="320"/>
      <c r="I122" s="319">
        <v>0.78879999999999995</v>
      </c>
      <c r="J122" s="319"/>
      <c r="K122" s="478" t="s">
        <v>338</v>
      </c>
    </row>
    <row r="123" spans="2:11" ht="28" x14ac:dyDescent="0.3">
      <c r="B123" s="806"/>
      <c r="C123" s="319" t="s">
        <v>148</v>
      </c>
      <c r="D123" s="319" t="s">
        <v>227</v>
      </c>
      <c r="E123" s="319" t="s">
        <v>228</v>
      </c>
      <c r="F123" s="319">
        <v>4</v>
      </c>
      <c r="G123" s="319" t="s">
        <v>175</v>
      </c>
      <c r="H123" s="320"/>
      <c r="I123" s="319">
        <v>2.0999999999999999E-3</v>
      </c>
      <c r="J123" s="319"/>
      <c r="K123" s="478" t="s">
        <v>340</v>
      </c>
    </row>
    <row r="124" spans="2:11" ht="56" x14ac:dyDescent="0.3">
      <c r="B124" s="806"/>
      <c r="C124" s="319" t="s">
        <v>150</v>
      </c>
      <c r="D124" s="319" t="s">
        <v>231</v>
      </c>
      <c r="E124" s="319" t="s">
        <v>232</v>
      </c>
      <c r="F124" s="319">
        <v>9296</v>
      </c>
      <c r="G124" s="319" t="s">
        <v>187</v>
      </c>
      <c r="H124" s="320"/>
      <c r="I124" s="319">
        <v>22.329000000000001</v>
      </c>
      <c r="J124" s="319"/>
      <c r="K124" s="478" t="s">
        <v>328</v>
      </c>
    </row>
    <row r="125" spans="2:11" ht="70" x14ac:dyDescent="0.3">
      <c r="B125" s="806"/>
      <c r="C125" s="319" t="s">
        <v>151</v>
      </c>
      <c r="D125" s="319" t="s">
        <v>235</v>
      </c>
      <c r="E125" s="319" t="s">
        <v>236</v>
      </c>
      <c r="F125" s="319">
        <v>9296</v>
      </c>
      <c r="G125" s="319" t="s">
        <v>187</v>
      </c>
      <c r="H125" s="320">
        <v>2.04</v>
      </c>
      <c r="I125" s="319">
        <v>63.417299999999997</v>
      </c>
      <c r="J125" s="319">
        <v>129.37129999999999</v>
      </c>
      <c r="K125" s="478" t="s">
        <v>329</v>
      </c>
    </row>
    <row r="126" spans="2:11" ht="70" x14ac:dyDescent="0.3">
      <c r="B126" s="806"/>
      <c r="C126" s="319" t="s">
        <v>151</v>
      </c>
      <c r="D126" s="319" t="s">
        <v>235</v>
      </c>
      <c r="E126" s="319" t="s">
        <v>236</v>
      </c>
      <c r="F126" s="319">
        <v>9296</v>
      </c>
      <c r="G126" s="319" t="s">
        <v>187</v>
      </c>
      <c r="H126" s="320">
        <v>2.04</v>
      </c>
      <c r="I126" s="319">
        <v>63.417299999999997</v>
      </c>
      <c r="J126" s="319">
        <v>129.37129999999999</v>
      </c>
      <c r="K126" s="478" t="s">
        <v>329</v>
      </c>
    </row>
    <row r="127" spans="2:11" ht="56" x14ac:dyDescent="0.3">
      <c r="B127" s="806"/>
      <c r="C127" s="319" t="s">
        <v>151</v>
      </c>
      <c r="D127" s="319" t="s">
        <v>235</v>
      </c>
      <c r="E127" s="319" t="s">
        <v>259</v>
      </c>
      <c r="F127" s="319">
        <v>9295</v>
      </c>
      <c r="G127" s="319" t="s">
        <v>187</v>
      </c>
      <c r="H127" s="320">
        <v>2.04</v>
      </c>
      <c r="I127" s="319">
        <v>13.7287</v>
      </c>
      <c r="J127" s="319">
        <v>28.006599999999999</v>
      </c>
      <c r="K127" s="478" t="s">
        <v>329</v>
      </c>
    </row>
    <row r="128" spans="2:11" ht="42" x14ac:dyDescent="0.3">
      <c r="B128" s="806"/>
      <c r="C128" s="319" t="s">
        <v>151</v>
      </c>
      <c r="D128" s="319" t="s">
        <v>238</v>
      </c>
      <c r="E128" s="319" t="s">
        <v>239</v>
      </c>
      <c r="F128" s="319">
        <v>18591</v>
      </c>
      <c r="G128" s="319" t="s">
        <v>187</v>
      </c>
      <c r="H128" s="320">
        <v>6</v>
      </c>
      <c r="I128" s="319">
        <v>5.5959000000000003</v>
      </c>
      <c r="J128" s="319">
        <v>33.575299999999999</v>
      </c>
      <c r="K128" s="478" t="s">
        <v>329</v>
      </c>
    </row>
    <row r="129" spans="2:17" ht="42" x14ac:dyDescent="0.3">
      <c r="B129" s="806"/>
      <c r="C129" s="319" t="s">
        <v>154</v>
      </c>
      <c r="D129" s="319" t="s">
        <v>242</v>
      </c>
      <c r="E129" s="319" t="s">
        <v>244</v>
      </c>
      <c r="F129" s="319">
        <v>1040</v>
      </c>
      <c r="G129" s="319" t="s">
        <v>25</v>
      </c>
      <c r="H129" s="320">
        <v>5</v>
      </c>
      <c r="I129" s="319">
        <v>0.83430000000000004</v>
      </c>
      <c r="J129" s="319">
        <v>4.1712999999999996</v>
      </c>
      <c r="K129" s="478" t="s">
        <v>339</v>
      </c>
    </row>
    <row r="130" spans="2:17" ht="42" x14ac:dyDescent="0.3">
      <c r="B130" s="806"/>
      <c r="C130" s="319" t="s">
        <v>155</v>
      </c>
      <c r="D130" s="319" t="s">
        <v>179</v>
      </c>
      <c r="E130" s="319" t="s">
        <v>253</v>
      </c>
      <c r="F130" s="319">
        <v>160</v>
      </c>
      <c r="G130" s="319" t="s">
        <v>25</v>
      </c>
      <c r="H130" s="320"/>
      <c r="I130" s="319">
        <v>0.9677</v>
      </c>
      <c r="J130" s="319"/>
      <c r="K130" s="478" t="s">
        <v>339</v>
      </c>
    </row>
    <row r="131" spans="2:17" ht="56" x14ac:dyDescent="0.3">
      <c r="B131" s="806"/>
      <c r="C131" s="319" t="s">
        <v>157</v>
      </c>
      <c r="D131" s="319" t="s">
        <v>255</v>
      </c>
      <c r="E131" s="319" t="s">
        <v>256</v>
      </c>
      <c r="F131" s="319">
        <v>0.3</v>
      </c>
      <c r="G131" s="319" t="s">
        <v>178</v>
      </c>
      <c r="H131" s="320"/>
      <c r="I131" s="319">
        <v>2.2000000000000001E-3</v>
      </c>
      <c r="J131" s="319"/>
      <c r="K131" s="478" t="s">
        <v>328</v>
      </c>
    </row>
    <row r="132" spans="2:17" ht="28" x14ac:dyDescent="0.3">
      <c r="B132" s="806"/>
      <c r="C132" s="319" t="s">
        <v>148</v>
      </c>
      <c r="D132" s="319" t="s">
        <v>180</v>
      </c>
      <c r="E132" s="319" t="s">
        <v>188</v>
      </c>
      <c r="F132" s="319">
        <v>3</v>
      </c>
      <c r="G132" s="319" t="s">
        <v>175</v>
      </c>
      <c r="H132" s="320"/>
      <c r="I132" s="319">
        <v>7.5270000000000001</v>
      </c>
      <c r="J132" s="319"/>
      <c r="K132" s="478" t="s">
        <v>338</v>
      </c>
    </row>
    <row r="133" spans="2:17" ht="42" x14ac:dyDescent="0.3">
      <c r="B133" s="806"/>
      <c r="C133" s="319" t="s">
        <v>159</v>
      </c>
      <c r="D133" s="319" t="s">
        <v>260</v>
      </c>
      <c r="E133" s="319" t="s">
        <v>261</v>
      </c>
      <c r="F133" s="319">
        <v>144</v>
      </c>
      <c r="G133" s="319" t="s">
        <v>187</v>
      </c>
      <c r="H133" s="320"/>
      <c r="I133" s="319">
        <v>5.5377999999999998</v>
      </c>
      <c r="J133" s="319"/>
      <c r="K133" s="478" t="s">
        <v>340</v>
      </c>
    </row>
    <row r="134" spans="2:17" ht="28" x14ac:dyDescent="0.3">
      <c r="B134" s="806"/>
      <c r="C134" s="319" t="s">
        <v>157</v>
      </c>
      <c r="D134" s="319" t="s">
        <v>172</v>
      </c>
      <c r="E134" s="319" t="s">
        <v>173</v>
      </c>
      <c r="F134" s="319">
        <v>8</v>
      </c>
      <c r="G134" s="319" t="s">
        <v>171</v>
      </c>
      <c r="H134" s="320"/>
      <c r="I134" s="319">
        <v>2.0442999999999998</v>
      </c>
      <c r="J134" s="319"/>
      <c r="K134" s="478" t="s">
        <v>338</v>
      </c>
    </row>
    <row r="135" spans="2:17" ht="14.15" customHeight="1" x14ac:dyDescent="0.3">
      <c r="B135" s="504" t="s">
        <v>344</v>
      </c>
      <c r="C135" s="481"/>
      <c r="D135" s="481"/>
      <c r="E135" s="481"/>
      <c r="F135" s="481"/>
      <c r="G135" s="481"/>
      <c r="H135" s="489"/>
      <c r="I135" s="482">
        <f>SUM(I112:I134)</f>
        <v>228.62739999999999</v>
      </c>
      <c r="J135" s="482">
        <f>SUM(J112:J134)</f>
        <v>324.49579999999992</v>
      </c>
      <c r="K135" s="479" t="s">
        <v>90</v>
      </c>
      <c r="M135" s="117"/>
      <c r="N135" s="117"/>
      <c r="O135" s="117"/>
      <c r="P135" s="117"/>
      <c r="Q135" s="117"/>
    </row>
    <row r="136" spans="2:17" ht="60.75" customHeight="1" x14ac:dyDescent="0.3">
      <c r="B136" s="806" t="s">
        <v>67</v>
      </c>
      <c r="C136" s="319" t="s">
        <v>148</v>
      </c>
      <c r="D136" s="319" t="s">
        <v>167</v>
      </c>
      <c r="E136" s="319" t="s">
        <v>215</v>
      </c>
      <c r="F136" s="319">
        <v>392</v>
      </c>
      <c r="G136" s="319" t="s">
        <v>25</v>
      </c>
      <c r="H136" s="320"/>
      <c r="I136" s="319">
        <v>2.3330000000000002</v>
      </c>
      <c r="J136" s="319"/>
      <c r="K136" s="478" t="s">
        <v>339</v>
      </c>
    </row>
    <row r="137" spans="2:17" ht="42" x14ac:dyDescent="0.3">
      <c r="B137" s="806"/>
      <c r="C137" s="319" t="s">
        <v>148</v>
      </c>
      <c r="D137" s="319" t="s">
        <v>167</v>
      </c>
      <c r="E137" s="319" t="s">
        <v>216</v>
      </c>
      <c r="F137" s="319">
        <v>355</v>
      </c>
      <c r="G137" s="319" t="s">
        <v>25</v>
      </c>
      <c r="H137" s="320"/>
      <c r="I137" s="319">
        <v>3.7785000000000002</v>
      </c>
      <c r="J137" s="319"/>
      <c r="K137" s="478" t="s">
        <v>339</v>
      </c>
    </row>
    <row r="138" spans="2:17" ht="42" x14ac:dyDescent="0.3">
      <c r="B138" s="806"/>
      <c r="C138" s="319" t="s">
        <v>148</v>
      </c>
      <c r="D138" s="319" t="s">
        <v>167</v>
      </c>
      <c r="E138" s="319" t="s">
        <v>217</v>
      </c>
      <c r="F138" s="319">
        <v>111</v>
      </c>
      <c r="G138" s="319" t="s">
        <v>25</v>
      </c>
      <c r="H138" s="320"/>
      <c r="I138" s="319">
        <v>2.1002999999999998</v>
      </c>
      <c r="J138" s="319"/>
      <c r="K138" s="478" t="s">
        <v>339</v>
      </c>
    </row>
    <row r="139" spans="2:17" ht="42" x14ac:dyDescent="0.3">
      <c r="B139" s="806"/>
      <c r="C139" s="319" t="s">
        <v>148</v>
      </c>
      <c r="D139" s="319" t="s">
        <v>167</v>
      </c>
      <c r="E139" s="319" t="s">
        <v>218</v>
      </c>
      <c r="F139" s="319">
        <v>71</v>
      </c>
      <c r="G139" s="319" t="s">
        <v>25</v>
      </c>
      <c r="H139" s="320"/>
      <c r="I139" s="319">
        <v>1.9977</v>
      </c>
      <c r="J139" s="319"/>
      <c r="K139" s="478" t="s">
        <v>339</v>
      </c>
    </row>
    <row r="140" spans="2:17" ht="42" x14ac:dyDescent="0.3">
      <c r="B140" s="806"/>
      <c r="C140" s="319" t="s">
        <v>148</v>
      </c>
      <c r="D140" s="319" t="s">
        <v>167</v>
      </c>
      <c r="E140" s="319" t="s">
        <v>258</v>
      </c>
      <c r="F140" s="319">
        <v>23</v>
      </c>
      <c r="G140" s="319" t="s">
        <v>25</v>
      </c>
      <c r="H140" s="320"/>
      <c r="I140" s="319">
        <v>1.1871</v>
      </c>
      <c r="J140" s="319"/>
      <c r="K140" s="478" t="s">
        <v>339</v>
      </c>
    </row>
    <row r="141" spans="2:17" ht="28" x14ac:dyDescent="0.3">
      <c r="B141" s="806"/>
      <c r="C141" s="319" t="s">
        <v>149</v>
      </c>
      <c r="D141" s="319" t="s">
        <v>169</v>
      </c>
      <c r="E141" s="319" t="s">
        <v>254</v>
      </c>
      <c r="F141" s="319">
        <v>247</v>
      </c>
      <c r="G141" s="319" t="s">
        <v>171</v>
      </c>
      <c r="H141" s="320"/>
      <c r="I141" s="319">
        <v>0.93500000000000005</v>
      </c>
      <c r="J141" s="319"/>
      <c r="K141" s="478" t="s">
        <v>328</v>
      </c>
    </row>
    <row r="142" spans="2:17" ht="28" x14ac:dyDescent="0.3">
      <c r="B142" s="806"/>
      <c r="C142" s="319" t="s">
        <v>149</v>
      </c>
      <c r="D142" s="319" t="s">
        <v>169</v>
      </c>
      <c r="E142" s="319" t="s">
        <v>254</v>
      </c>
      <c r="F142" s="319">
        <v>124</v>
      </c>
      <c r="G142" s="319" t="s">
        <v>171</v>
      </c>
      <c r="H142" s="320"/>
      <c r="I142" s="319">
        <v>0.46939999999999998</v>
      </c>
      <c r="J142" s="319"/>
      <c r="K142" s="478" t="s">
        <v>328</v>
      </c>
    </row>
    <row r="143" spans="2:17" ht="42" x14ac:dyDescent="0.3">
      <c r="B143" s="806"/>
      <c r="C143" s="319" t="s">
        <v>151</v>
      </c>
      <c r="D143" s="319" t="s">
        <v>189</v>
      </c>
      <c r="E143" s="319" t="s">
        <v>747</v>
      </c>
      <c r="F143" s="319">
        <v>1000</v>
      </c>
      <c r="G143" s="319" t="s">
        <v>187</v>
      </c>
      <c r="H143" s="320"/>
      <c r="I143" s="319">
        <v>0.40450000000000003</v>
      </c>
      <c r="J143" s="319"/>
      <c r="K143" s="478" t="s">
        <v>339</v>
      </c>
    </row>
    <row r="144" spans="2:17" ht="56" x14ac:dyDescent="0.3">
      <c r="B144" s="806"/>
      <c r="C144" s="319" t="s">
        <v>148</v>
      </c>
      <c r="D144" s="319" t="s">
        <v>180</v>
      </c>
      <c r="E144" s="319" t="s">
        <v>219</v>
      </c>
      <c r="F144" s="319">
        <v>6</v>
      </c>
      <c r="G144" s="319" t="s">
        <v>175</v>
      </c>
      <c r="H144" s="320"/>
      <c r="I144" s="319">
        <v>3.8368000000000002</v>
      </c>
      <c r="J144" s="319"/>
      <c r="K144" s="478" t="s">
        <v>338</v>
      </c>
    </row>
    <row r="145" spans="2:17" ht="56" x14ac:dyDescent="0.3">
      <c r="B145" s="806"/>
      <c r="C145" s="319" t="s">
        <v>148</v>
      </c>
      <c r="D145" s="319" t="s">
        <v>180</v>
      </c>
      <c r="E145" s="319" t="s">
        <v>220</v>
      </c>
      <c r="F145" s="319">
        <v>4</v>
      </c>
      <c r="G145" s="319" t="s">
        <v>175</v>
      </c>
      <c r="H145" s="320"/>
      <c r="I145" s="319">
        <v>4.0743999999999998</v>
      </c>
      <c r="J145" s="319"/>
      <c r="K145" s="478" t="s">
        <v>338</v>
      </c>
    </row>
    <row r="146" spans="2:17" ht="42" x14ac:dyDescent="0.3">
      <c r="B146" s="806"/>
      <c r="C146" s="319" t="s">
        <v>148</v>
      </c>
      <c r="D146" s="319" t="s">
        <v>225</v>
      </c>
      <c r="E146" s="319" t="s">
        <v>226</v>
      </c>
      <c r="F146" s="319">
        <v>6</v>
      </c>
      <c r="G146" s="319" t="s">
        <v>175</v>
      </c>
      <c r="H146" s="320"/>
      <c r="I146" s="319">
        <v>0.52580000000000005</v>
      </c>
      <c r="J146" s="319"/>
      <c r="K146" s="478" t="s">
        <v>338</v>
      </c>
    </row>
    <row r="147" spans="2:17" ht="28" x14ac:dyDescent="0.3">
      <c r="B147" s="806"/>
      <c r="C147" s="319" t="s">
        <v>148</v>
      </c>
      <c r="D147" s="319" t="s">
        <v>227</v>
      </c>
      <c r="E147" s="319" t="s">
        <v>228</v>
      </c>
      <c r="F147" s="319">
        <v>2</v>
      </c>
      <c r="G147" s="319" t="s">
        <v>175</v>
      </c>
      <c r="H147" s="320"/>
      <c r="I147" s="319">
        <v>1.1000000000000001E-3</v>
      </c>
      <c r="J147" s="319"/>
      <c r="K147" s="478" t="s">
        <v>340</v>
      </c>
    </row>
    <row r="148" spans="2:17" ht="56" x14ac:dyDescent="0.3">
      <c r="B148" s="806"/>
      <c r="C148" s="319" t="s">
        <v>150</v>
      </c>
      <c r="D148" s="319" t="s">
        <v>231</v>
      </c>
      <c r="E148" s="319" t="s">
        <v>232</v>
      </c>
      <c r="F148" s="319">
        <v>5810</v>
      </c>
      <c r="G148" s="319" t="s">
        <v>187</v>
      </c>
      <c r="H148" s="320"/>
      <c r="I148" s="319">
        <v>13.9556</v>
      </c>
      <c r="J148" s="319"/>
      <c r="K148" s="478" t="s">
        <v>328</v>
      </c>
    </row>
    <row r="149" spans="2:17" ht="70" x14ac:dyDescent="0.3">
      <c r="B149" s="806"/>
      <c r="C149" s="319" t="s">
        <v>151</v>
      </c>
      <c r="D149" s="319" t="s">
        <v>235</v>
      </c>
      <c r="E149" s="319" t="s">
        <v>236</v>
      </c>
      <c r="F149" s="319">
        <v>5810</v>
      </c>
      <c r="G149" s="319" t="s">
        <v>187</v>
      </c>
      <c r="H149" s="320">
        <v>2.04</v>
      </c>
      <c r="I149" s="319">
        <v>39.635800000000003</v>
      </c>
      <c r="J149" s="319">
        <v>80.857100000000003</v>
      </c>
      <c r="K149" s="478" t="s">
        <v>329</v>
      </c>
    </row>
    <row r="150" spans="2:17" ht="70" x14ac:dyDescent="0.3">
      <c r="B150" s="806"/>
      <c r="C150" s="319" t="s">
        <v>151</v>
      </c>
      <c r="D150" s="319" t="s">
        <v>235</v>
      </c>
      <c r="E150" s="319" t="s">
        <v>236</v>
      </c>
      <c r="F150" s="319">
        <v>5810</v>
      </c>
      <c r="G150" s="319" t="s">
        <v>187</v>
      </c>
      <c r="H150" s="320">
        <v>2.04</v>
      </c>
      <c r="I150" s="319">
        <v>39.635800000000003</v>
      </c>
      <c r="J150" s="319">
        <v>80.857100000000003</v>
      </c>
      <c r="K150" s="478" t="s">
        <v>329</v>
      </c>
    </row>
    <row r="151" spans="2:17" ht="56" x14ac:dyDescent="0.3">
      <c r="B151" s="806"/>
      <c r="C151" s="319" t="s">
        <v>151</v>
      </c>
      <c r="D151" s="319" t="s">
        <v>235</v>
      </c>
      <c r="E151" s="319" t="s">
        <v>259</v>
      </c>
      <c r="F151" s="319">
        <v>5810</v>
      </c>
      <c r="G151" s="319" t="s">
        <v>187</v>
      </c>
      <c r="H151" s="320">
        <v>2.04</v>
      </c>
      <c r="I151" s="319">
        <v>8.5814000000000004</v>
      </c>
      <c r="J151" s="319">
        <v>17.506</v>
      </c>
      <c r="K151" s="478" t="s">
        <v>329</v>
      </c>
    </row>
    <row r="152" spans="2:17" ht="42" x14ac:dyDescent="0.3">
      <c r="B152" s="806"/>
      <c r="C152" s="319" t="s">
        <v>151</v>
      </c>
      <c r="D152" s="319" t="s">
        <v>238</v>
      </c>
      <c r="E152" s="319" t="s">
        <v>239</v>
      </c>
      <c r="F152" s="319">
        <v>11620</v>
      </c>
      <c r="G152" s="319" t="s">
        <v>187</v>
      </c>
      <c r="H152" s="320">
        <v>6</v>
      </c>
      <c r="I152" s="319">
        <v>3.4975999999999998</v>
      </c>
      <c r="J152" s="319">
        <v>20.985700000000001</v>
      </c>
      <c r="K152" s="478" t="s">
        <v>329</v>
      </c>
    </row>
    <row r="153" spans="2:17" ht="42" x14ac:dyDescent="0.3">
      <c r="B153" s="806"/>
      <c r="C153" s="319" t="s">
        <v>154</v>
      </c>
      <c r="D153" s="319" t="s">
        <v>242</v>
      </c>
      <c r="E153" s="319" t="s">
        <v>244</v>
      </c>
      <c r="F153" s="319">
        <v>650</v>
      </c>
      <c r="G153" s="319" t="s">
        <v>25</v>
      </c>
      <c r="H153" s="320">
        <v>5</v>
      </c>
      <c r="I153" s="319">
        <v>0.52139999999999997</v>
      </c>
      <c r="J153" s="319">
        <v>2.6070000000000002</v>
      </c>
      <c r="K153" s="478" t="s">
        <v>339</v>
      </c>
    </row>
    <row r="154" spans="2:17" ht="42" x14ac:dyDescent="0.3">
      <c r="B154" s="806"/>
      <c r="C154" s="319" t="s">
        <v>155</v>
      </c>
      <c r="D154" s="319" t="s">
        <v>179</v>
      </c>
      <c r="E154" s="319" t="s">
        <v>253</v>
      </c>
      <c r="F154" s="319">
        <v>100</v>
      </c>
      <c r="G154" s="319" t="s">
        <v>25</v>
      </c>
      <c r="H154" s="320"/>
      <c r="I154" s="319">
        <v>0.6048</v>
      </c>
      <c r="J154" s="319"/>
      <c r="K154" s="478" t="s">
        <v>339</v>
      </c>
    </row>
    <row r="155" spans="2:17" ht="56" x14ac:dyDescent="0.3">
      <c r="B155" s="806"/>
      <c r="C155" s="319" t="s">
        <v>157</v>
      </c>
      <c r="D155" s="319" t="s">
        <v>255</v>
      </c>
      <c r="E155" s="319" t="s">
        <v>256</v>
      </c>
      <c r="F155" s="319">
        <v>0.2</v>
      </c>
      <c r="G155" s="319" t="s">
        <v>178</v>
      </c>
      <c r="H155" s="320"/>
      <c r="I155" s="319">
        <v>1.5E-3</v>
      </c>
      <c r="J155" s="319"/>
      <c r="K155" s="478" t="s">
        <v>328</v>
      </c>
    </row>
    <row r="156" spans="2:17" ht="28" x14ac:dyDescent="0.3">
      <c r="B156" s="806"/>
      <c r="C156" s="319" t="s">
        <v>157</v>
      </c>
      <c r="D156" s="319" t="s">
        <v>172</v>
      </c>
      <c r="E156" s="319" t="s">
        <v>173</v>
      </c>
      <c r="F156" s="319">
        <v>5</v>
      </c>
      <c r="G156" s="319" t="s">
        <v>171</v>
      </c>
      <c r="H156" s="320"/>
      <c r="I156" s="319">
        <v>1.2777000000000001</v>
      </c>
      <c r="J156" s="319"/>
      <c r="K156" s="478" t="s">
        <v>338</v>
      </c>
    </row>
    <row r="157" spans="2:17" ht="28" x14ac:dyDescent="0.3">
      <c r="B157" s="806"/>
      <c r="C157" s="319" t="s">
        <v>148</v>
      </c>
      <c r="D157" s="319" t="s">
        <v>180</v>
      </c>
      <c r="E157" s="319" t="s">
        <v>188</v>
      </c>
      <c r="F157" s="319">
        <v>2</v>
      </c>
      <c r="G157" s="319" t="s">
        <v>175</v>
      </c>
      <c r="H157" s="320"/>
      <c r="I157" s="319">
        <v>5.0179999999999998</v>
      </c>
      <c r="J157" s="319"/>
      <c r="K157" s="478" t="s">
        <v>338</v>
      </c>
    </row>
    <row r="158" spans="2:17" ht="42" x14ac:dyDescent="0.3">
      <c r="B158" s="806"/>
      <c r="C158" s="319" t="s">
        <v>159</v>
      </c>
      <c r="D158" s="319" t="s">
        <v>260</v>
      </c>
      <c r="E158" s="319" t="s">
        <v>261</v>
      </c>
      <c r="F158" s="319">
        <v>90</v>
      </c>
      <c r="G158" s="319" t="s">
        <v>187</v>
      </c>
      <c r="H158" s="320"/>
      <c r="I158" s="319">
        <v>3.4611000000000001</v>
      </c>
      <c r="J158" s="319"/>
      <c r="K158" s="478" t="s">
        <v>340</v>
      </c>
    </row>
    <row r="159" spans="2:17" x14ac:dyDescent="0.3">
      <c r="B159" s="504" t="s">
        <v>344</v>
      </c>
      <c r="C159" s="481"/>
      <c r="D159" s="481"/>
      <c r="E159" s="481"/>
      <c r="F159" s="481"/>
      <c r="G159" s="481"/>
      <c r="H159" s="489"/>
      <c r="I159" s="482">
        <f>SUM(I136:I158)</f>
        <v>137.83430000000001</v>
      </c>
      <c r="J159" s="482">
        <f>SUM(J136:J158)</f>
        <v>202.81290000000001</v>
      </c>
      <c r="K159" s="479" t="s">
        <v>90</v>
      </c>
      <c r="M159" s="117"/>
      <c r="N159" s="117"/>
      <c r="O159" s="117"/>
      <c r="P159" s="117"/>
      <c r="Q159" s="117"/>
    </row>
    <row r="160" spans="2:17" ht="47.25" customHeight="1" x14ac:dyDescent="0.3">
      <c r="B160" s="806" t="s">
        <v>68</v>
      </c>
      <c r="C160" s="319" t="s">
        <v>148</v>
      </c>
      <c r="D160" s="319" t="s">
        <v>167</v>
      </c>
      <c r="E160" s="319" t="s">
        <v>215</v>
      </c>
      <c r="F160" s="319">
        <v>353</v>
      </c>
      <c r="G160" s="319" t="s">
        <v>25</v>
      </c>
      <c r="H160" s="320"/>
      <c r="I160" s="319">
        <v>2.1009000000000002</v>
      </c>
      <c r="J160" s="319"/>
      <c r="K160" s="478" t="s">
        <v>339</v>
      </c>
    </row>
    <row r="161" spans="2:11" ht="42" x14ac:dyDescent="0.3">
      <c r="B161" s="806"/>
      <c r="C161" s="319" t="s">
        <v>148</v>
      </c>
      <c r="D161" s="319" t="s">
        <v>167</v>
      </c>
      <c r="E161" s="319" t="s">
        <v>216</v>
      </c>
      <c r="F161" s="319">
        <v>320</v>
      </c>
      <c r="G161" s="319" t="s">
        <v>25</v>
      </c>
      <c r="H161" s="320"/>
      <c r="I161" s="319">
        <v>3.4058999999999999</v>
      </c>
      <c r="J161" s="319"/>
      <c r="K161" s="478" t="s">
        <v>339</v>
      </c>
    </row>
    <row r="162" spans="2:11" ht="42" x14ac:dyDescent="0.3">
      <c r="B162" s="806"/>
      <c r="C162" s="319" t="s">
        <v>148</v>
      </c>
      <c r="D162" s="319" t="s">
        <v>167</v>
      </c>
      <c r="E162" s="319" t="s">
        <v>217</v>
      </c>
      <c r="F162" s="319">
        <v>100</v>
      </c>
      <c r="G162" s="319" t="s">
        <v>25</v>
      </c>
      <c r="H162" s="320"/>
      <c r="I162" s="319">
        <v>1.8922000000000001</v>
      </c>
      <c r="J162" s="319"/>
      <c r="K162" s="478" t="s">
        <v>339</v>
      </c>
    </row>
    <row r="163" spans="2:11" ht="42" x14ac:dyDescent="0.3">
      <c r="B163" s="806"/>
      <c r="C163" s="319" t="s">
        <v>148</v>
      </c>
      <c r="D163" s="319" t="s">
        <v>167</v>
      </c>
      <c r="E163" s="319" t="s">
        <v>218</v>
      </c>
      <c r="F163" s="319">
        <v>64</v>
      </c>
      <c r="G163" s="319" t="s">
        <v>25</v>
      </c>
      <c r="H163" s="320"/>
      <c r="I163" s="319">
        <v>1.8008</v>
      </c>
      <c r="J163" s="319"/>
      <c r="K163" s="478" t="s">
        <v>339</v>
      </c>
    </row>
    <row r="164" spans="2:11" ht="42" x14ac:dyDescent="0.3">
      <c r="B164" s="806"/>
      <c r="C164" s="319" t="s">
        <v>148</v>
      </c>
      <c r="D164" s="319" t="s">
        <v>167</v>
      </c>
      <c r="E164" s="319" t="s">
        <v>258</v>
      </c>
      <c r="F164" s="319">
        <v>20</v>
      </c>
      <c r="G164" s="319" t="s">
        <v>25</v>
      </c>
      <c r="H164" s="320"/>
      <c r="I164" s="319">
        <v>1.0323</v>
      </c>
      <c r="J164" s="319"/>
      <c r="K164" s="478" t="s">
        <v>339</v>
      </c>
    </row>
    <row r="165" spans="2:11" ht="28" x14ac:dyDescent="0.3">
      <c r="B165" s="806"/>
      <c r="C165" s="319" t="s">
        <v>149</v>
      </c>
      <c r="D165" s="319" t="s">
        <v>169</v>
      </c>
      <c r="E165" s="319" t="s">
        <v>254</v>
      </c>
      <c r="F165" s="319">
        <v>223</v>
      </c>
      <c r="G165" s="319" t="s">
        <v>171</v>
      </c>
      <c r="H165" s="320"/>
      <c r="I165" s="319">
        <v>0.84419999999999995</v>
      </c>
      <c r="J165" s="319"/>
      <c r="K165" s="478" t="s">
        <v>328</v>
      </c>
    </row>
    <row r="166" spans="2:11" ht="28" x14ac:dyDescent="0.3">
      <c r="B166" s="806"/>
      <c r="C166" s="319" t="s">
        <v>149</v>
      </c>
      <c r="D166" s="319" t="s">
        <v>169</v>
      </c>
      <c r="E166" s="319" t="s">
        <v>254</v>
      </c>
      <c r="F166" s="319">
        <v>111</v>
      </c>
      <c r="G166" s="319" t="s">
        <v>171</v>
      </c>
      <c r="H166" s="320"/>
      <c r="I166" s="319">
        <v>0.42020000000000002</v>
      </c>
      <c r="J166" s="319"/>
      <c r="K166" s="478" t="s">
        <v>328</v>
      </c>
    </row>
    <row r="167" spans="2:11" ht="42" x14ac:dyDescent="0.3">
      <c r="B167" s="806"/>
      <c r="C167" s="319" t="s">
        <v>151</v>
      </c>
      <c r="D167" s="319" t="s">
        <v>189</v>
      </c>
      <c r="E167" s="319" t="s">
        <v>747</v>
      </c>
      <c r="F167" s="319">
        <v>900</v>
      </c>
      <c r="G167" s="319" t="s">
        <v>187</v>
      </c>
      <c r="H167" s="320"/>
      <c r="I167" s="319">
        <v>0.36409999999999998</v>
      </c>
      <c r="J167" s="319"/>
      <c r="K167" s="478" t="s">
        <v>339</v>
      </c>
    </row>
    <row r="168" spans="2:11" ht="56" x14ac:dyDescent="0.3">
      <c r="B168" s="806"/>
      <c r="C168" s="319" t="s">
        <v>148</v>
      </c>
      <c r="D168" s="319" t="s">
        <v>180</v>
      </c>
      <c r="E168" s="319" t="s">
        <v>219</v>
      </c>
      <c r="F168" s="319">
        <v>5</v>
      </c>
      <c r="G168" s="319" t="s">
        <v>175</v>
      </c>
      <c r="H168" s="320"/>
      <c r="I168" s="319">
        <v>3.1972999999999998</v>
      </c>
      <c r="J168" s="319"/>
      <c r="K168" s="478" t="s">
        <v>338</v>
      </c>
    </row>
    <row r="169" spans="2:11" ht="56" x14ac:dyDescent="0.3">
      <c r="B169" s="806"/>
      <c r="C169" s="319" t="s">
        <v>148</v>
      </c>
      <c r="D169" s="319" t="s">
        <v>180</v>
      </c>
      <c r="E169" s="319" t="s">
        <v>220</v>
      </c>
      <c r="F169" s="319">
        <v>3</v>
      </c>
      <c r="G169" s="319" t="s">
        <v>175</v>
      </c>
      <c r="H169" s="320"/>
      <c r="I169" s="319">
        <v>3.0558000000000001</v>
      </c>
      <c r="J169" s="319"/>
      <c r="K169" s="478" t="s">
        <v>338</v>
      </c>
    </row>
    <row r="170" spans="2:11" ht="42" x14ac:dyDescent="0.3">
      <c r="B170" s="806"/>
      <c r="C170" s="319" t="s">
        <v>148</v>
      </c>
      <c r="D170" s="319" t="s">
        <v>225</v>
      </c>
      <c r="E170" s="319" t="s">
        <v>226</v>
      </c>
      <c r="F170" s="319">
        <v>5</v>
      </c>
      <c r="G170" s="319" t="s">
        <v>175</v>
      </c>
      <c r="H170" s="320"/>
      <c r="I170" s="319">
        <v>0.43819999999999998</v>
      </c>
      <c r="J170" s="319"/>
      <c r="K170" s="478" t="s">
        <v>338</v>
      </c>
    </row>
    <row r="171" spans="2:11" ht="28" x14ac:dyDescent="0.3">
      <c r="B171" s="806"/>
      <c r="C171" s="319" t="s">
        <v>148</v>
      </c>
      <c r="D171" s="319" t="s">
        <v>227</v>
      </c>
      <c r="E171" s="319" t="s">
        <v>228</v>
      </c>
      <c r="F171" s="319">
        <v>2</v>
      </c>
      <c r="G171" s="319" t="s">
        <v>175</v>
      </c>
      <c r="H171" s="320"/>
      <c r="I171" s="319">
        <v>1.1000000000000001E-3</v>
      </c>
      <c r="J171" s="319"/>
      <c r="K171" s="478" t="s">
        <v>340</v>
      </c>
    </row>
    <row r="172" spans="2:11" ht="56" x14ac:dyDescent="0.3">
      <c r="B172" s="806"/>
      <c r="C172" s="319" t="s">
        <v>150</v>
      </c>
      <c r="D172" s="319" t="s">
        <v>231</v>
      </c>
      <c r="E172" s="319" t="s">
        <v>232</v>
      </c>
      <c r="F172" s="319">
        <v>5229</v>
      </c>
      <c r="G172" s="319" t="s">
        <v>187</v>
      </c>
      <c r="H172" s="320"/>
      <c r="I172" s="319">
        <v>12.5601</v>
      </c>
      <c r="J172" s="319"/>
      <c r="K172" s="478" t="s">
        <v>328</v>
      </c>
    </row>
    <row r="173" spans="2:11" ht="70" x14ac:dyDescent="0.3">
      <c r="B173" s="806"/>
      <c r="C173" s="319" t="s">
        <v>151</v>
      </c>
      <c r="D173" s="319" t="s">
        <v>235</v>
      </c>
      <c r="E173" s="319" t="s">
        <v>236</v>
      </c>
      <c r="F173" s="319">
        <v>5229</v>
      </c>
      <c r="G173" s="319" t="s">
        <v>187</v>
      </c>
      <c r="H173" s="320">
        <v>2.04</v>
      </c>
      <c r="I173" s="319">
        <v>35.672199999999997</v>
      </c>
      <c r="J173" s="319">
        <v>72.7714</v>
      </c>
      <c r="K173" s="478" t="s">
        <v>328</v>
      </c>
    </row>
    <row r="174" spans="2:11" ht="70" x14ac:dyDescent="0.3">
      <c r="B174" s="806"/>
      <c r="C174" s="319" t="s">
        <v>151</v>
      </c>
      <c r="D174" s="319" t="s">
        <v>235</v>
      </c>
      <c r="E174" s="319" t="s">
        <v>236</v>
      </c>
      <c r="F174" s="319">
        <v>5229</v>
      </c>
      <c r="G174" s="319" t="s">
        <v>187</v>
      </c>
      <c r="H174" s="320">
        <v>2.04</v>
      </c>
      <c r="I174" s="319">
        <v>35.672199999999997</v>
      </c>
      <c r="J174" s="319">
        <v>72.7714</v>
      </c>
      <c r="K174" s="478" t="s">
        <v>328</v>
      </c>
    </row>
    <row r="175" spans="2:11" ht="56" x14ac:dyDescent="0.3">
      <c r="B175" s="806"/>
      <c r="C175" s="319" t="s">
        <v>151</v>
      </c>
      <c r="D175" s="319" t="s">
        <v>235</v>
      </c>
      <c r="E175" s="319" t="s">
        <v>259</v>
      </c>
      <c r="F175" s="319">
        <v>5229</v>
      </c>
      <c r="G175" s="319" t="s">
        <v>187</v>
      </c>
      <c r="H175" s="320">
        <v>2.04</v>
      </c>
      <c r="I175" s="319">
        <v>7.7232000000000003</v>
      </c>
      <c r="J175" s="319">
        <v>15.7554</v>
      </c>
      <c r="K175" s="478" t="s">
        <v>328</v>
      </c>
    </row>
    <row r="176" spans="2:11" ht="42" x14ac:dyDescent="0.3">
      <c r="B176" s="806"/>
      <c r="C176" s="319" t="s">
        <v>151</v>
      </c>
      <c r="D176" s="319" t="s">
        <v>238</v>
      </c>
      <c r="E176" s="319" t="s">
        <v>239</v>
      </c>
      <c r="F176" s="319">
        <v>10458</v>
      </c>
      <c r="G176" s="319" t="s">
        <v>187</v>
      </c>
      <c r="H176" s="320">
        <v>6</v>
      </c>
      <c r="I176" s="319">
        <v>3.1478999999999999</v>
      </c>
      <c r="J176" s="319">
        <v>18.8871</v>
      </c>
      <c r="K176" s="478" t="s">
        <v>328</v>
      </c>
    </row>
    <row r="177" spans="2:17" ht="42" x14ac:dyDescent="0.3">
      <c r="B177" s="806"/>
      <c r="C177" s="319" t="s">
        <v>154</v>
      </c>
      <c r="D177" s="319" t="s">
        <v>242</v>
      </c>
      <c r="E177" s="319" t="s">
        <v>244</v>
      </c>
      <c r="F177" s="319">
        <v>585</v>
      </c>
      <c r="G177" s="319" t="s">
        <v>25</v>
      </c>
      <c r="H177" s="320">
        <v>5</v>
      </c>
      <c r="I177" s="319">
        <v>0.46929999999999999</v>
      </c>
      <c r="J177" s="319">
        <v>2.3462999999999998</v>
      </c>
      <c r="K177" s="478" t="s">
        <v>339</v>
      </c>
    </row>
    <row r="178" spans="2:17" ht="42" x14ac:dyDescent="0.3">
      <c r="B178" s="806"/>
      <c r="C178" s="319" t="s">
        <v>155</v>
      </c>
      <c r="D178" s="319" t="s">
        <v>179</v>
      </c>
      <c r="E178" s="319" t="s">
        <v>253</v>
      </c>
      <c r="F178" s="319">
        <v>90</v>
      </c>
      <c r="G178" s="319" t="s">
        <v>25</v>
      </c>
      <c r="H178" s="320"/>
      <c r="I178" s="319">
        <v>0.54430000000000001</v>
      </c>
      <c r="J178" s="319"/>
      <c r="K178" s="478" t="s">
        <v>339</v>
      </c>
    </row>
    <row r="179" spans="2:17" ht="56" x14ac:dyDescent="0.3">
      <c r="B179" s="806"/>
      <c r="C179" s="319" t="s">
        <v>157</v>
      </c>
      <c r="D179" s="319" t="s">
        <v>255</v>
      </c>
      <c r="E179" s="319" t="s">
        <v>256</v>
      </c>
      <c r="F179" s="319">
        <v>0.2</v>
      </c>
      <c r="G179" s="319" t="s">
        <v>178</v>
      </c>
      <c r="H179" s="320"/>
      <c r="I179" s="319">
        <v>1.5E-3</v>
      </c>
      <c r="J179" s="319"/>
      <c r="K179" s="478" t="s">
        <v>328</v>
      </c>
    </row>
    <row r="180" spans="2:17" ht="28" x14ac:dyDescent="0.3">
      <c r="B180" s="806"/>
      <c r="C180" s="319" t="s">
        <v>157</v>
      </c>
      <c r="D180" s="319" t="s">
        <v>172</v>
      </c>
      <c r="E180" s="319" t="s">
        <v>173</v>
      </c>
      <c r="F180" s="319">
        <v>5</v>
      </c>
      <c r="G180" s="319" t="s">
        <v>171</v>
      </c>
      <c r="H180" s="320"/>
      <c r="I180" s="319">
        <v>1.2777000000000001</v>
      </c>
      <c r="J180" s="319"/>
      <c r="K180" s="478" t="s">
        <v>338</v>
      </c>
    </row>
    <row r="181" spans="2:17" ht="28" x14ac:dyDescent="0.3">
      <c r="B181" s="806"/>
      <c r="C181" s="319" t="s">
        <v>148</v>
      </c>
      <c r="D181" s="319" t="s">
        <v>180</v>
      </c>
      <c r="E181" s="319" t="s">
        <v>188</v>
      </c>
      <c r="F181" s="319">
        <v>2</v>
      </c>
      <c r="G181" s="319" t="s">
        <v>175</v>
      </c>
      <c r="H181" s="320"/>
      <c r="I181" s="319">
        <v>5.0179999999999998</v>
      </c>
      <c r="J181" s="319"/>
      <c r="K181" s="478" t="s">
        <v>338</v>
      </c>
    </row>
    <row r="182" spans="2:17" ht="42" x14ac:dyDescent="0.3">
      <c r="B182" s="806"/>
      <c r="C182" s="319" t="s">
        <v>159</v>
      </c>
      <c r="D182" s="319" t="s">
        <v>260</v>
      </c>
      <c r="E182" s="319" t="s">
        <v>261</v>
      </c>
      <c r="F182" s="319">
        <v>81</v>
      </c>
      <c r="G182" s="319" t="s">
        <v>187</v>
      </c>
      <c r="H182" s="320"/>
      <c r="I182" s="319">
        <v>3.1150000000000002</v>
      </c>
      <c r="J182" s="319"/>
      <c r="K182" s="478" t="s">
        <v>340</v>
      </c>
    </row>
    <row r="183" spans="2:17" ht="14.5" thickBot="1" x14ac:dyDescent="0.35">
      <c r="B183" s="505" t="s">
        <v>344</v>
      </c>
      <c r="C183" s="486"/>
      <c r="D183" s="486"/>
      <c r="E183" s="486"/>
      <c r="F183" s="486"/>
      <c r="G183" s="486"/>
      <c r="H183" s="486"/>
      <c r="I183" s="487">
        <f>SUM(I160:I182)</f>
        <v>123.75440000000002</v>
      </c>
      <c r="J183" s="487">
        <f>SUM(J160:J182)</f>
        <v>182.53160000000003</v>
      </c>
      <c r="K183" s="476" t="s">
        <v>90</v>
      </c>
      <c r="M183" s="117"/>
      <c r="N183" s="117"/>
      <c r="O183" s="117"/>
      <c r="P183" s="117"/>
      <c r="Q183" s="117"/>
    </row>
  </sheetData>
  <mergeCells count="36">
    <mergeCell ref="B47:B48"/>
    <mergeCell ref="C47:D47"/>
    <mergeCell ref="E47:F47"/>
    <mergeCell ref="M4:N4"/>
    <mergeCell ref="Q4:Q5"/>
    <mergeCell ref="B12:D12"/>
    <mergeCell ref="B32:I32"/>
    <mergeCell ref="B33:D33"/>
    <mergeCell ref="B37:D37"/>
    <mergeCell ref="B43:D43"/>
    <mergeCell ref="B4:B5"/>
    <mergeCell ref="C4:C5"/>
    <mergeCell ref="D4:D5"/>
    <mergeCell ref="E4:E5"/>
    <mergeCell ref="I4:J4"/>
    <mergeCell ref="K4:L4"/>
    <mergeCell ref="B23:B26"/>
    <mergeCell ref="F4:F5"/>
    <mergeCell ref="G4:G5"/>
    <mergeCell ref="O10:P10"/>
    <mergeCell ref="O9:P9"/>
    <mergeCell ref="O8:P8"/>
    <mergeCell ref="O7:P7"/>
    <mergeCell ref="O6:P6"/>
    <mergeCell ref="O5:P5"/>
    <mergeCell ref="O4:P4"/>
    <mergeCell ref="B13:C13"/>
    <mergeCell ref="B14:C14"/>
    <mergeCell ref="B15:B16"/>
    <mergeCell ref="B17:B18"/>
    <mergeCell ref="B19:B22"/>
    <mergeCell ref="B160:B182"/>
    <mergeCell ref="B64:B86"/>
    <mergeCell ref="B88:B110"/>
    <mergeCell ref="B112:B134"/>
    <mergeCell ref="B136:B158"/>
  </mergeCells>
  <pageMargins left="0.7" right="0.7" top="0.75" bottom="0.75" header="0.3" footer="0.3"/>
  <pageSetup paperSize="9" orientation="portrait" horizont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A68168-8539-4BB6-8B18-815010F88BEF}">
          <x14:formula1>
            <xm:f>'Task 3 - Material summary'!$B$7:$B$14</xm:f>
          </x14:formula1>
          <xm:sqref>K64:K183 O160:P182 O136:P158 O112:P134 O64:P86 O88:P110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AA3-6D6F-481B-BF84-400C6A207E3B}">
  <sheetPr>
    <tabColor rgb="FF00353E"/>
  </sheetPr>
  <dimension ref="A1:O76"/>
  <sheetViews>
    <sheetView showGridLines="0" topLeftCell="A59" zoomScale="60" zoomScaleNormal="60" workbookViewId="0">
      <selection activeCell="D67" sqref="D67"/>
    </sheetView>
  </sheetViews>
  <sheetFormatPr defaultColWidth="8.7265625" defaultRowHeight="12.5" x14ac:dyDescent="0.25"/>
  <cols>
    <col min="1" max="1" width="4.1796875" style="300" customWidth="1"/>
    <col min="2" max="2" width="41.453125" style="366" customWidth="1"/>
    <col min="3" max="4" width="20.453125" style="366" customWidth="1"/>
    <col min="5" max="5" width="21.453125" style="366" customWidth="1"/>
    <col min="6" max="8" width="18.26953125" style="366" customWidth="1"/>
    <col min="9" max="9" width="22.453125" style="366" customWidth="1"/>
    <col min="10" max="10" width="25.453125" style="366" customWidth="1"/>
    <col min="11" max="11" width="19.453125" style="366" customWidth="1"/>
    <col min="12" max="12" width="25.1796875" style="300" customWidth="1"/>
    <col min="13" max="14" width="31.7265625" style="300" customWidth="1"/>
    <col min="15" max="15" width="16.81640625" style="300" customWidth="1"/>
    <col min="16" max="16384" width="8.7265625" style="300"/>
  </cols>
  <sheetData>
    <row r="1" spans="2:15" s="363" customFormat="1" ht="30.65" customHeight="1" x14ac:dyDescent="0.35">
      <c r="B1" s="306" t="s">
        <v>477</v>
      </c>
      <c r="E1" s="364"/>
      <c r="F1" s="364"/>
      <c r="G1" s="364"/>
      <c r="H1" s="364"/>
      <c r="I1" s="364"/>
      <c r="J1" s="364"/>
      <c r="K1" s="364"/>
    </row>
    <row r="2" spans="2:15" s="363" customFormat="1" ht="18" customHeight="1" x14ac:dyDescent="0.35">
      <c r="B2" s="363" t="s">
        <v>691</v>
      </c>
      <c r="F2" s="364"/>
      <c r="G2" s="364"/>
      <c r="H2" s="364"/>
      <c r="I2" s="364"/>
    </row>
    <row r="3" spans="2:15" ht="39.65" customHeight="1" thickBot="1" x14ac:dyDescent="0.35">
      <c r="B3" s="365" t="s">
        <v>443</v>
      </c>
      <c r="I3" s="367" t="s">
        <v>444</v>
      </c>
      <c r="L3" s="366"/>
    </row>
    <row r="4" spans="2:15" ht="20.149999999999999" customHeight="1" x14ac:dyDescent="0.25">
      <c r="B4" s="771" t="s">
        <v>37</v>
      </c>
      <c r="C4" s="773" t="s">
        <v>84</v>
      </c>
      <c r="D4" s="773" t="s">
        <v>381</v>
      </c>
      <c r="E4" s="773" t="s">
        <v>629</v>
      </c>
      <c r="F4" s="773" t="s">
        <v>679</v>
      </c>
      <c r="G4" s="791" t="s">
        <v>687</v>
      </c>
      <c r="I4" s="786" t="s">
        <v>69</v>
      </c>
      <c r="J4" s="787"/>
      <c r="K4" s="788" t="s">
        <v>70</v>
      </c>
      <c r="L4" s="787"/>
      <c r="M4" s="794" t="s">
        <v>342</v>
      </c>
      <c r="N4" s="794"/>
      <c r="O4" s="791" t="s">
        <v>382</v>
      </c>
    </row>
    <row r="5" spans="2:15" ht="24" customHeight="1" x14ac:dyDescent="0.25">
      <c r="B5" s="772"/>
      <c r="C5" s="774"/>
      <c r="D5" s="774"/>
      <c r="E5" s="774"/>
      <c r="F5" s="774"/>
      <c r="G5" s="792"/>
      <c r="I5" s="64" t="s">
        <v>71</v>
      </c>
      <c r="J5" s="65" t="s">
        <v>72</v>
      </c>
      <c r="K5" s="66" t="s">
        <v>73</v>
      </c>
      <c r="L5" s="67" t="s">
        <v>74</v>
      </c>
      <c r="M5" s="155" t="s">
        <v>636</v>
      </c>
      <c r="N5" s="154" t="s">
        <v>689</v>
      </c>
      <c r="O5" s="792"/>
    </row>
    <row r="6" spans="2:15" ht="27.75" customHeight="1" thickBot="1" x14ac:dyDescent="0.3">
      <c r="B6" s="334" t="s">
        <v>61</v>
      </c>
      <c r="C6" s="451">
        <f>'Structure dimensions'!D67</f>
        <v>1026.1500000000001</v>
      </c>
      <c r="D6" s="208">
        <f>SUM(I6:L6)</f>
        <v>2338.5736871285708</v>
      </c>
      <c r="E6" s="208">
        <f>O6</f>
        <v>2338.9657871285708</v>
      </c>
      <c r="F6" s="409">
        <f>D6/C6</f>
        <v>2.2789784019184043</v>
      </c>
      <c r="G6" s="412">
        <f>E6/C6</f>
        <v>2.2793605097973693</v>
      </c>
      <c r="I6" s="450">
        <f>H75</f>
        <v>1691.9736871285706</v>
      </c>
      <c r="J6" s="198">
        <v>142</v>
      </c>
      <c r="K6" s="199">
        <v>410.2</v>
      </c>
      <c r="L6" s="198">
        <v>94.4</v>
      </c>
      <c r="M6" s="198">
        <f>I75</f>
        <v>0.3921</v>
      </c>
      <c r="N6" s="198">
        <v>0</v>
      </c>
      <c r="O6" s="80">
        <f>SUM(I6:N6)</f>
        <v>2338.9657871285708</v>
      </c>
    </row>
    <row r="7" spans="2:15" ht="15" customHeight="1" thickTop="1" thickBot="1" x14ac:dyDescent="0.3">
      <c r="B7" s="417" t="s">
        <v>2</v>
      </c>
      <c r="C7" s="328"/>
      <c r="D7" s="209">
        <f>D6</f>
        <v>2338.5736871285708</v>
      </c>
      <c r="E7" s="209">
        <f>E6</f>
        <v>2338.9657871285708</v>
      </c>
      <c r="F7" s="452"/>
      <c r="G7" s="210"/>
      <c r="I7" s="194" t="s">
        <v>81</v>
      </c>
      <c r="J7" s="72">
        <f>SUM(I6:J6)</f>
        <v>1833.9736871285706</v>
      </c>
      <c r="K7" s="195" t="s">
        <v>81</v>
      </c>
      <c r="L7" s="72">
        <f>SUM(K6:L6)</f>
        <v>504.6</v>
      </c>
      <c r="M7" s="184" t="s">
        <v>346</v>
      </c>
      <c r="N7" s="196">
        <f>SUM(M4:N6)</f>
        <v>0.3921</v>
      </c>
      <c r="O7" s="79">
        <f>SUM(O6:O6)</f>
        <v>2338.9657871285708</v>
      </c>
    </row>
    <row r="8" spans="2:15" x14ac:dyDescent="0.25">
      <c r="B8" s="300"/>
      <c r="C8" s="437"/>
      <c r="D8" s="300"/>
      <c r="E8" s="530"/>
      <c r="I8" s="300" t="s">
        <v>490</v>
      </c>
    </row>
    <row r="9" spans="2:15" ht="13.5" thickBot="1" x14ac:dyDescent="0.3">
      <c r="F9" s="35"/>
      <c r="G9" s="35"/>
      <c r="H9" s="35"/>
      <c r="I9" s="35"/>
      <c r="J9" s="35"/>
      <c r="K9" s="37"/>
    </row>
    <row r="10" spans="2:15" ht="13" x14ac:dyDescent="0.3">
      <c r="B10" s="781" t="s">
        <v>383</v>
      </c>
      <c r="C10" s="782"/>
      <c r="D10" s="342" t="s">
        <v>384</v>
      </c>
      <c r="E10" s="343" t="s">
        <v>10</v>
      </c>
      <c r="F10" s="369"/>
      <c r="G10" s="369"/>
      <c r="H10" s="369"/>
      <c r="I10" s="369"/>
      <c r="J10" s="37"/>
      <c r="K10" s="37"/>
    </row>
    <row r="11" spans="2:15" ht="13" x14ac:dyDescent="0.25">
      <c r="B11" s="830" t="s">
        <v>9</v>
      </c>
      <c r="C11" s="831"/>
      <c r="D11" s="174">
        <v>1</v>
      </c>
      <c r="E11" s="301" t="s">
        <v>385</v>
      </c>
      <c r="F11" s="369"/>
      <c r="G11" s="369"/>
      <c r="H11" s="369"/>
      <c r="I11" s="369"/>
      <c r="J11" s="37"/>
      <c r="K11" s="37"/>
    </row>
    <row r="12" spans="2:15" ht="31" customHeight="1" x14ac:dyDescent="0.25">
      <c r="B12" s="777" t="s">
        <v>684</v>
      </c>
      <c r="C12" s="344" t="s">
        <v>623</v>
      </c>
      <c r="D12" s="174">
        <f>D6</f>
        <v>2338.5736871285708</v>
      </c>
      <c r="E12" s="301" t="s">
        <v>417</v>
      </c>
      <c r="F12" s="369"/>
      <c r="G12" s="369"/>
      <c r="H12" s="369"/>
      <c r="I12" s="369"/>
      <c r="J12" s="37"/>
      <c r="K12" s="37"/>
    </row>
    <row r="13" spans="2:15" ht="31" customHeight="1" x14ac:dyDescent="0.25">
      <c r="B13" s="779"/>
      <c r="C13" s="344" t="s">
        <v>624</v>
      </c>
      <c r="D13" s="174">
        <f>E7</f>
        <v>2338.9657871285708</v>
      </c>
      <c r="E13" s="301" t="s">
        <v>417</v>
      </c>
      <c r="F13" s="369"/>
      <c r="G13" s="369"/>
      <c r="H13" s="369"/>
      <c r="I13" s="369"/>
      <c r="J13" s="37"/>
      <c r="K13" s="37"/>
    </row>
    <row r="14" spans="2:15" ht="31" customHeight="1" x14ac:dyDescent="0.25">
      <c r="B14" s="777" t="s">
        <v>685</v>
      </c>
      <c r="C14" s="344" t="s">
        <v>623</v>
      </c>
      <c r="D14" s="185">
        <f>F6</f>
        <v>2.2789784019184043</v>
      </c>
      <c r="E14" s="301" t="s">
        <v>686</v>
      </c>
      <c r="F14" s="369"/>
      <c r="G14" s="369"/>
      <c r="H14" s="369"/>
      <c r="I14" s="369"/>
      <c r="J14" s="37"/>
      <c r="K14" s="37"/>
    </row>
    <row r="15" spans="2:15" ht="31" customHeight="1" x14ac:dyDescent="0.25">
      <c r="B15" s="779"/>
      <c r="C15" s="344" t="s">
        <v>624</v>
      </c>
      <c r="D15" s="185">
        <f>G6</f>
        <v>2.2793605097973693</v>
      </c>
      <c r="E15" s="301" t="s">
        <v>686</v>
      </c>
      <c r="F15" s="369"/>
      <c r="G15" s="369"/>
      <c r="H15" s="369"/>
      <c r="I15" s="369"/>
      <c r="J15" s="37"/>
      <c r="K15" s="37"/>
    </row>
    <row r="16" spans="2:15" ht="31" customHeight="1" x14ac:dyDescent="0.25">
      <c r="B16" s="777" t="s">
        <v>628</v>
      </c>
      <c r="C16" s="344" t="s">
        <v>3</v>
      </c>
      <c r="D16" s="347">
        <f>J7/E7</f>
        <v>0.78409598687633941</v>
      </c>
      <c r="E16" s="301" t="s">
        <v>388</v>
      </c>
      <c r="F16" s="369"/>
      <c r="G16" s="369"/>
      <c r="H16" s="369"/>
      <c r="I16" s="369"/>
      <c r="J16" s="37"/>
      <c r="K16" s="37"/>
    </row>
    <row r="17" spans="2:11" ht="31" customHeight="1" x14ac:dyDescent="0.25">
      <c r="B17" s="778"/>
      <c r="C17" s="344" t="s">
        <v>4</v>
      </c>
      <c r="D17" s="347">
        <f>L7/E7</f>
        <v>0.21573637492982389</v>
      </c>
      <c r="E17" s="301" t="s">
        <v>388</v>
      </c>
      <c r="F17" s="369"/>
      <c r="G17" s="369"/>
      <c r="H17" s="369"/>
      <c r="I17" s="369"/>
      <c r="J17" s="37"/>
      <c r="K17" s="37"/>
    </row>
    <row r="18" spans="2:11" ht="31" customHeight="1" x14ac:dyDescent="0.25">
      <c r="B18" s="779"/>
      <c r="C18" s="344" t="s">
        <v>627</v>
      </c>
      <c r="D18" s="347">
        <f>N7/E7</f>
        <v>1.6763819383667052E-4</v>
      </c>
      <c r="E18" s="301" t="s">
        <v>388</v>
      </c>
      <c r="F18" s="369"/>
      <c r="G18" s="369"/>
      <c r="H18" s="369"/>
      <c r="I18" s="369"/>
      <c r="J18" s="37"/>
      <c r="K18" s="37"/>
    </row>
    <row r="19" spans="2:11" ht="31" customHeight="1" x14ac:dyDescent="0.25">
      <c r="B19" s="777" t="s">
        <v>685</v>
      </c>
      <c r="C19" s="344" t="s">
        <v>3</v>
      </c>
      <c r="D19" s="185">
        <f>D15*D16</f>
        <v>1.7872374283765244</v>
      </c>
      <c r="E19" s="301" t="s">
        <v>686</v>
      </c>
      <c r="F19" s="369"/>
      <c r="G19" s="369"/>
      <c r="H19" s="369"/>
      <c r="I19" s="369"/>
      <c r="J19" s="37"/>
      <c r="K19" s="37"/>
    </row>
    <row r="20" spans="2:11" ht="31" customHeight="1" x14ac:dyDescent="0.25">
      <c r="B20" s="778"/>
      <c r="C20" s="344" t="s">
        <v>4</v>
      </c>
      <c r="D20" s="185">
        <f>D15*D17</f>
        <v>0.49174097354187979</v>
      </c>
      <c r="E20" s="301" t="s">
        <v>686</v>
      </c>
      <c r="F20" s="369"/>
      <c r="G20" s="369"/>
      <c r="H20" s="369"/>
      <c r="I20" s="369"/>
      <c r="J20" s="37"/>
      <c r="K20" s="37"/>
    </row>
    <row r="21" spans="2:11" ht="31" customHeight="1" thickBot="1" x14ac:dyDescent="0.3">
      <c r="B21" s="780"/>
      <c r="C21" s="346" t="s">
        <v>627</v>
      </c>
      <c r="D21" s="187">
        <f>D15*D18</f>
        <v>3.8210787896506351E-4</v>
      </c>
      <c r="E21" s="303" t="s">
        <v>686</v>
      </c>
      <c r="F21" s="369"/>
      <c r="G21" s="369"/>
      <c r="H21" s="369"/>
      <c r="I21" s="369"/>
      <c r="J21" s="37"/>
      <c r="K21" s="37"/>
    </row>
    <row r="22" spans="2:11" x14ac:dyDescent="0.25">
      <c r="B22" s="418"/>
      <c r="C22" s="418"/>
      <c r="D22" s="335"/>
      <c r="E22" s="402"/>
      <c r="F22" s="369"/>
      <c r="G22" s="369"/>
      <c r="H22" s="369"/>
      <c r="I22" s="369"/>
      <c r="J22" s="37"/>
      <c r="K22" s="37"/>
    </row>
    <row r="23" spans="2:11" x14ac:dyDescent="0.25">
      <c r="B23" s="37"/>
      <c r="C23" s="37"/>
      <c r="D23" s="37"/>
      <c r="E23" s="37"/>
      <c r="F23" s="370"/>
      <c r="G23" s="370"/>
      <c r="H23" s="370"/>
      <c r="I23" s="370"/>
      <c r="J23" s="37"/>
      <c r="K23" s="37"/>
    </row>
    <row r="24" spans="2:11" ht="18.649999999999999" customHeight="1" x14ac:dyDescent="0.25">
      <c r="B24" s="37"/>
      <c r="C24" s="37"/>
      <c r="D24" s="37"/>
      <c r="E24" s="37"/>
      <c r="F24" s="370"/>
      <c r="G24" s="370"/>
      <c r="H24" s="370"/>
      <c r="I24" s="370"/>
      <c r="J24" s="37"/>
      <c r="K24" s="37"/>
    </row>
    <row r="25" spans="2:11" ht="18.649999999999999" customHeight="1" x14ac:dyDescent="0.25">
      <c r="B25" s="37"/>
      <c r="C25" s="37"/>
      <c r="D25" s="37"/>
      <c r="E25" s="37"/>
      <c r="F25" s="370"/>
      <c r="G25" s="370"/>
      <c r="H25" s="370"/>
      <c r="I25" s="370"/>
      <c r="J25" s="37"/>
      <c r="K25" s="37"/>
    </row>
    <row r="26" spans="2:11" ht="18.649999999999999" customHeight="1" x14ac:dyDescent="0.25">
      <c r="B26" s="37"/>
      <c r="C26" s="37"/>
      <c r="D26" s="37"/>
      <c r="E26" s="37"/>
      <c r="F26" s="370"/>
      <c r="G26" s="370"/>
      <c r="H26" s="370"/>
      <c r="I26" s="370"/>
      <c r="J26" s="37"/>
      <c r="K26" s="37"/>
    </row>
    <row r="27" spans="2:11" ht="18.649999999999999" customHeight="1" x14ac:dyDescent="0.25">
      <c r="B27" s="37"/>
      <c r="C27" s="37"/>
      <c r="D27" s="37"/>
      <c r="E27" s="37"/>
      <c r="F27" s="370"/>
      <c r="G27" s="370"/>
      <c r="H27" s="370"/>
      <c r="I27" s="370"/>
      <c r="J27" s="37"/>
      <c r="K27" s="37"/>
    </row>
    <row r="28" spans="2:11" ht="18.649999999999999" customHeight="1" x14ac:dyDescent="0.25">
      <c r="B28" s="37"/>
      <c r="C28" s="37"/>
      <c r="D28" s="37"/>
      <c r="E28" s="37"/>
      <c r="F28" s="370"/>
      <c r="G28" s="370"/>
      <c r="H28" s="370"/>
      <c r="I28" s="370"/>
      <c r="J28" s="37"/>
      <c r="K28" s="37"/>
    </row>
    <row r="29" spans="2:11" ht="18.649999999999999" customHeight="1" x14ac:dyDescent="0.25">
      <c r="B29" s="37"/>
      <c r="C29" s="37"/>
      <c r="D29" s="37"/>
      <c r="E29" s="37"/>
      <c r="F29" s="370"/>
      <c r="G29" s="370"/>
      <c r="H29" s="370"/>
      <c r="I29" s="370"/>
      <c r="J29" s="37"/>
      <c r="K29" s="37"/>
    </row>
    <row r="30" spans="2:11" ht="18.649999999999999" customHeight="1" x14ac:dyDescent="0.25">
      <c r="B30" s="37"/>
      <c r="C30" s="37"/>
      <c r="D30" s="37"/>
      <c r="E30" s="37"/>
      <c r="F30" s="370"/>
      <c r="G30" s="370"/>
      <c r="H30" s="370"/>
      <c r="I30" s="370"/>
      <c r="J30" s="37"/>
      <c r="K30" s="37"/>
    </row>
    <row r="31" spans="2:11" ht="18.649999999999999" customHeight="1" x14ac:dyDescent="0.25">
      <c r="B31" s="37"/>
      <c r="C31" s="37"/>
      <c r="D31" s="37"/>
      <c r="E31" s="37"/>
      <c r="F31" s="370"/>
      <c r="G31" s="370"/>
      <c r="H31" s="370"/>
      <c r="I31" s="370"/>
      <c r="J31" s="37"/>
      <c r="K31" s="37"/>
    </row>
    <row r="32" spans="2:11" ht="18.649999999999999" customHeight="1" x14ac:dyDescent="0.25">
      <c r="B32" s="37"/>
      <c r="C32" s="37"/>
      <c r="D32" s="37"/>
      <c r="E32" s="37"/>
      <c r="F32" s="370"/>
      <c r="G32" s="370"/>
      <c r="H32" s="370"/>
      <c r="I32" s="370"/>
      <c r="J32" s="37"/>
      <c r="K32" s="37"/>
    </row>
    <row r="33" spans="2:15" ht="18.649999999999999" customHeight="1" x14ac:dyDescent="0.25">
      <c r="B33" s="37"/>
      <c r="C33" s="37"/>
      <c r="D33" s="37"/>
      <c r="E33" s="37"/>
      <c r="F33" s="370"/>
      <c r="G33" s="370"/>
      <c r="H33" s="370"/>
      <c r="I33" s="370"/>
      <c r="J33" s="37"/>
      <c r="K33" s="37"/>
    </row>
    <row r="34" spans="2:15" ht="18.649999999999999" customHeight="1" x14ac:dyDescent="0.25">
      <c r="B34" s="37"/>
      <c r="C34" s="37"/>
      <c r="D34" s="37"/>
      <c r="E34" s="37"/>
      <c r="F34" s="370"/>
      <c r="G34" s="370"/>
      <c r="H34" s="370"/>
      <c r="I34" s="370"/>
      <c r="J34" s="37"/>
      <c r="K34" s="37"/>
    </row>
    <row r="35" spans="2:15" ht="18.649999999999999" customHeight="1" x14ac:dyDescent="0.25">
      <c r="B35" s="37"/>
      <c r="C35" s="37"/>
      <c r="D35" s="37"/>
      <c r="E35" s="37"/>
      <c r="F35" s="370"/>
      <c r="G35" s="370"/>
      <c r="H35" s="370"/>
      <c r="I35" s="370"/>
      <c r="J35" s="37"/>
      <c r="K35" s="37"/>
    </row>
    <row r="36" spans="2:15" ht="18.649999999999999" customHeight="1" x14ac:dyDescent="0.25">
      <c r="B36" s="37"/>
      <c r="C36" s="37"/>
      <c r="D36" s="37"/>
      <c r="E36" s="37"/>
      <c r="F36" s="370"/>
      <c r="G36" s="370"/>
      <c r="H36" s="370"/>
      <c r="I36" s="370"/>
      <c r="J36" s="37"/>
      <c r="K36" s="37"/>
    </row>
    <row r="37" spans="2:15" x14ac:dyDescent="0.25">
      <c r="B37" s="37"/>
      <c r="C37" s="37"/>
      <c r="D37" s="37"/>
      <c r="E37" s="37"/>
      <c r="F37" s="370"/>
      <c r="G37" s="370"/>
      <c r="H37" s="370"/>
      <c r="I37" s="370"/>
      <c r="J37" s="37"/>
      <c r="K37" s="37"/>
    </row>
    <row r="38" spans="2:15" x14ac:dyDescent="0.25">
      <c r="B38" s="37"/>
      <c r="C38" s="37"/>
      <c r="D38" s="37"/>
      <c r="E38" s="37"/>
      <c r="F38" s="371"/>
      <c r="G38" s="371"/>
      <c r="H38" s="371"/>
      <c r="I38" s="371"/>
      <c r="J38" s="37"/>
      <c r="K38" s="37"/>
    </row>
    <row r="39" spans="2:15" s="373" customFormat="1" ht="38.5" customHeight="1" x14ac:dyDescent="0.35">
      <c r="B39" s="306" t="s">
        <v>403</v>
      </c>
      <c r="D39" s="374"/>
      <c r="E39" s="374"/>
      <c r="F39" s="374"/>
      <c r="G39" s="374"/>
      <c r="H39" s="374"/>
      <c r="I39" s="374"/>
      <c r="J39" s="374"/>
      <c r="K39" s="374"/>
      <c r="L39" s="374"/>
      <c r="M39" s="374"/>
      <c r="N39" s="374"/>
      <c r="O39" s="374"/>
    </row>
    <row r="40" spans="2:15" ht="13" thickBot="1" x14ac:dyDescent="0.3">
      <c r="B40" s="37"/>
      <c r="C40" s="37"/>
      <c r="D40" s="37"/>
      <c r="E40" s="37"/>
      <c r="F40" s="37"/>
      <c r="G40" s="37"/>
      <c r="H40" s="37"/>
      <c r="I40" s="37"/>
      <c r="J40" s="37"/>
      <c r="K40" s="37"/>
      <c r="L40" s="37"/>
      <c r="M40" s="37"/>
      <c r="N40" s="37"/>
      <c r="O40" s="37"/>
    </row>
    <row r="41" spans="2:15" ht="13" x14ac:dyDescent="0.25">
      <c r="B41" s="797" t="s">
        <v>348</v>
      </c>
      <c r="C41" s="795" t="s">
        <v>350</v>
      </c>
      <c r="D41" s="795"/>
      <c r="E41" s="795" t="s">
        <v>352</v>
      </c>
      <c r="F41" s="796"/>
      <c r="G41" s="37"/>
      <c r="H41" s="37"/>
      <c r="I41" s="37"/>
      <c r="J41" s="37"/>
      <c r="K41" s="37"/>
      <c r="L41" s="37"/>
      <c r="M41" s="37"/>
      <c r="N41" s="37"/>
      <c r="O41" s="37"/>
    </row>
    <row r="42" spans="2:15" ht="13" x14ac:dyDescent="0.25">
      <c r="B42" s="798"/>
      <c r="C42" s="375" t="s">
        <v>351</v>
      </c>
      <c r="D42" s="375" t="s">
        <v>349</v>
      </c>
      <c r="E42" s="375" t="s">
        <v>351</v>
      </c>
      <c r="F42" s="454" t="s">
        <v>349</v>
      </c>
      <c r="G42" s="37"/>
      <c r="H42" s="37"/>
      <c r="I42" s="37"/>
      <c r="J42" s="37"/>
      <c r="K42" s="37"/>
      <c r="L42" s="37"/>
      <c r="M42" s="37"/>
      <c r="N42" s="37"/>
      <c r="O42" s="37"/>
    </row>
    <row r="43" spans="2:15" ht="24" customHeight="1" x14ac:dyDescent="0.25">
      <c r="B43" s="455" t="s">
        <v>328</v>
      </c>
      <c r="C43" s="377">
        <f t="shared" ref="C43:C50" si="0">SUMIF($J$58:$J$74,B43,$H$58:$H$74)</f>
        <v>33.441099999999999</v>
      </c>
      <c r="D43" s="378">
        <f>C43/$C$51</f>
        <v>1.9764550864116871E-2</v>
      </c>
      <c r="E43" s="377">
        <f t="shared" ref="E43:E50" si="1">SUMIF($J$58:$J$74,B43,$I$58:$I$74)</f>
        <v>0</v>
      </c>
      <c r="F43" s="456">
        <f>E43/$E$51</f>
        <v>0</v>
      </c>
      <c r="G43" s="37"/>
      <c r="H43" s="37"/>
      <c r="I43" s="37"/>
      <c r="J43" s="37"/>
      <c r="K43" s="37"/>
      <c r="L43" s="37"/>
      <c r="M43" s="37"/>
      <c r="N43" s="37"/>
      <c r="O43" s="37"/>
    </row>
    <row r="44" spans="2:15" ht="24" customHeight="1" x14ac:dyDescent="0.25">
      <c r="B44" s="455" t="s">
        <v>329</v>
      </c>
      <c r="C44" s="377">
        <f t="shared" si="0"/>
        <v>0</v>
      </c>
      <c r="D44" s="378">
        <f t="shared" ref="D44:D50" si="2">C44/$C$51</f>
        <v>0</v>
      </c>
      <c r="E44" s="377">
        <f t="shared" si="1"/>
        <v>0</v>
      </c>
      <c r="F44" s="456">
        <f t="shared" ref="F44:F50" si="3">E44/$E$51</f>
        <v>0</v>
      </c>
      <c r="G44" s="37"/>
      <c r="H44" s="37"/>
      <c r="I44" s="37"/>
      <c r="J44" s="37"/>
      <c r="K44" s="37"/>
      <c r="L44" s="37"/>
      <c r="M44" s="37"/>
      <c r="N44" s="37"/>
      <c r="O44" s="37"/>
    </row>
    <row r="45" spans="2:15" ht="24" customHeight="1" x14ac:dyDescent="0.25">
      <c r="B45" s="455" t="s">
        <v>330</v>
      </c>
      <c r="C45" s="377">
        <f t="shared" si="0"/>
        <v>135.13380000000001</v>
      </c>
      <c r="D45" s="378">
        <f t="shared" si="2"/>
        <v>7.9867554104422298E-2</v>
      </c>
      <c r="E45" s="377">
        <f t="shared" si="1"/>
        <v>0</v>
      </c>
      <c r="F45" s="456">
        <f t="shared" si="3"/>
        <v>0</v>
      </c>
      <c r="G45" s="379"/>
      <c r="H45" s="379"/>
      <c r="I45" s="37"/>
      <c r="J45" s="37"/>
      <c r="K45" s="37"/>
      <c r="L45" s="37"/>
      <c r="M45" s="37"/>
      <c r="N45" s="37"/>
      <c r="O45" s="37"/>
    </row>
    <row r="46" spans="2:15" ht="24" customHeight="1" x14ac:dyDescent="0.25">
      <c r="B46" s="455" t="s">
        <v>338</v>
      </c>
      <c r="C46" s="377">
        <f t="shared" si="0"/>
        <v>1484.0345871285706</v>
      </c>
      <c r="D46" s="378">
        <f t="shared" si="2"/>
        <v>0.87710263960848522</v>
      </c>
      <c r="E46" s="377">
        <f t="shared" si="1"/>
        <v>0</v>
      </c>
      <c r="F46" s="456">
        <f t="shared" si="3"/>
        <v>0</v>
      </c>
      <c r="G46" s="379"/>
      <c r="H46" s="379"/>
      <c r="I46" s="37"/>
      <c r="J46" s="37"/>
      <c r="K46" s="37"/>
      <c r="L46" s="37"/>
      <c r="M46" s="37"/>
      <c r="N46" s="37"/>
      <c r="O46" s="37"/>
    </row>
    <row r="47" spans="2:15" ht="24" customHeight="1" x14ac:dyDescent="0.25">
      <c r="B47" s="455" t="s">
        <v>337</v>
      </c>
      <c r="C47" s="377">
        <f t="shared" si="0"/>
        <v>4.4846000000000004</v>
      </c>
      <c r="D47" s="378">
        <f t="shared" si="2"/>
        <v>2.6505140322901619E-3</v>
      </c>
      <c r="E47" s="380">
        <f t="shared" si="1"/>
        <v>0.3921</v>
      </c>
      <c r="F47" s="456">
        <f t="shared" si="3"/>
        <v>1</v>
      </c>
      <c r="G47" s="379"/>
      <c r="H47" s="379"/>
      <c r="I47" s="37"/>
      <c r="J47" s="37"/>
      <c r="K47" s="37"/>
      <c r="L47" s="37"/>
      <c r="M47" s="37"/>
      <c r="N47" s="37"/>
      <c r="O47" s="37"/>
    </row>
    <row r="48" spans="2:15" ht="24" customHeight="1" x14ac:dyDescent="0.25">
      <c r="B48" s="455" t="s">
        <v>341</v>
      </c>
      <c r="C48" s="377">
        <f t="shared" si="0"/>
        <v>0</v>
      </c>
      <c r="D48" s="378">
        <f t="shared" si="2"/>
        <v>0</v>
      </c>
      <c r="E48" s="377">
        <f t="shared" si="1"/>
        <v>0</v>
      </c>
      <c r="F48" s="456">
        <f t="shared" si="3"/>
        <v>0</v>
      </c>
      <c r="G48" s="379"/>
      <c r="H48" s="379"/>
      <c r="I48" s="37"/>
      <c r="J48" s="37"/>
      <c r="K48" s="37"/>
      <c r="L48" s="37"/>
      <c r="M48" s="37"/>
      <c r="N48" s="37"/>
      <c r="O48" s="37"/>
    </row>
    <row r="49" spans="1:15" ht="24" customHeight="1" x14ac:dyDescent="0.25">
      <c r="B49" s="455" t="s">
        <v>340</v>
      </c>
      <c r="C49" s="377">
        <f t="shared" si="0"/>
        <v>0.18410000000000001</v>
      </c>
      <c r="D49" s="378">
        <f t="shared" si="2"/>
        <v>1.0880783868006484E-4</v>
      </c>
      <c r="E49" s="377">
        <f t="shared" si="1"/>
        <v>0</v>
      </c>
      <c r="F49" s="456">
        <f t="shared" si="3"/>
        <v>0</v>
      </c>
      <c r="G49" s="379"/>
      <c r="H49" s="379"/>
      <c r="I49" s="37"/>
      <c r="J49" s="37"/>
      <c r="K49" s="37"/>
      <c r="L49" s="37"/>
      <c r="M49" s="37"/>
      <c r="N49" s="37"/>
      <c r="O49" s="37"/>
    </row>
    <row r="50" spans="1:15" ht="24" customHeight="1" x14ac:dyDescent="0.25">
      <c r="B50" s="455" t="s">
        <v>339</v>
      </c>
      <c r="C50" s="377">
        <f t="shared" si="0"/>
        <v>34.695500000000003</v>
      </c>
      <c r="D50" s="378">
        <f t="shared" si="2"/>
        <v>2.0505933552005376E-2</v>
      </c>
      <c r="E50" s="377">
        <f t="shared" si="1"/>
        <v>0</v>
      </c>
      <c r="F50" s="456">
        <f t="shared" si="3"/>
        <v>0</v>
      </c>
      <c r="G50" s="379"/>
      <c r="H50" s="379"/>
      <c r="I50" s="37"/>
      <c r="J50" s="37"/>
      <c r="K50" s="37"/>
      <c r="L50" s="37"/>
      <c r="M50" s="37"/>
      <c r="N50" s="37"/>
      <c r="O50" s="37"/>
    </row>
    <row r="51" spans="1:15" ht="24" customHeight="1" thickBot="1" x14ac:dyDescent="0.35">
      <c r="B51" s="457" t="s">
        <v>344</v>
      </c>
      <c r="C51" s="458">
        <f>SUM(C43:C50)</f>
        <v>1691.9736871285706</v>
      </c>
      <c r="D51" s="553">
        <f>SUM(D43:D50)</f>
        <v>0.99999999999999989</v>
      </c>
      <c r="E51" s="458">
        <f>SUM(E43:E50)</f>
        <v>0.3921</v>
      </c>
      <c r="F51" s="553">
        <f>SUM(F43:F50)</f>
        <v>1</v>
      </c>
      <c r="G51" s="432"/>
      <c r="H51" s="432"/>
      <c r="I51" s="37"/>
      <c r="J51" s="37"/>
      <c r="K51" s="37"/>
      <c r="L51" s="37"/>
      <c r="M51" s="37"/>
      <c r="N51" s="37"/>
      <c r="O51" s="37"/>
    </row>
    <row r="52" spans="1:15" x14ac:dyDescent="0.25">
      <c r="B52" s="37"/>
      <c r="C52" s="37"/>
      <c r="E52" s="37"/>
      <c r="F52" s="37"/>
      <c r="G52" s="37"/>
      <c r="H52" s="37"/>
      <c r="I52" s="37"/>
      <c r="J52" s="37"/>
      <c r="K52" s="37"/>
      <c r="L52" s="37"/>
      <c r="M52" s="37"/>
      <c r="N52" s="37"/>
      <c r="O52" s="37"/>
    </row>
    <row r="53" spans="1:15" x14ac:dyDescent="0.25">
      <c r="B53" s="38"/>
      <c r="C53" s="38"/>
      <c r="D53" s="37"/>
      <c r="E53" s="37"/>
      <c r="F53" s="371"/>
      <c r="G53" s="371"/>
      <c r="H53" s="371"/>
      <c r="I53" s="371"/>
      <c r="J53" s="37"/>
      <c r="K53" s="37"/>
    </row>
    <row r="54" spans="1:15" s="383" customFormat="1" ht="27.65" customHeight="1" x14ac:dyDescent="0.35">
      <c r="A54" s="382"/>
      <c r="B54" s="306" t="s">
        <v>461</v>
      </c>
      <c r="D54" s="384"/>
      <c r="E54" s="384"/>
      <c r="F54" s="384"/>
      <c r="G54" s="384"/>
      <c r="H54" s="384"/>
      <c r="I54" s="384"/>
      <c r="J54" s="384"/>
      <c r="K54" s="384"/>
      <c r="L54" s="384"/>
      <c r="M54" s="384"/>
    </row>
    <row r="55" spans="1:15" s="404" customFormat="1" ht="19.5" customHeight="1" x14ac:dyDescent="0.35">
      <c r="A55" s="403"/>
      <c r="B55" s="386" t="s">
        <v>462</v>
      </c>
      <c r="D55" s="405"/>
      <c r="E55" s="405"/>
      <c r="F55" s="405"/>
      <c r="G55" s="405"/>
      <c r="H55" s="405"/>
      <c r="I55" s="405"/>
      <c r="J55" s="405"/>
      <c r="K55" s="405"/>
      <c r="L55" s="405"/>
      <c r="M55" s="405"/>
    </row>
    <row r="56" spans="1:15" ht="13" thickBot="1" x14ac:dyDescent="0.3">
      <c r="B56" s="38"/>
      <c r="C56" s="38"/>
      <c r="D56" s="37"/>
      <c r="E56" s="37"/>
      <c r="F56" s="371"/>
      <c r="G56" s="371"/>
      <c r="H56" s="371"/>
      <c r="I56" s="371"/>
      <c r="J56" s="37"/>
      <c r="K56" s="37"/>
    </row>
    <row r="57" spans="1:15" ht="39" x14ac:dyDescent="0.25">
      <c r="B57" s="493" t="s">
        <v>320</v>
      </c>
      <c r="C57" s="494" t="s">
        <v>321</v>
      </c>
      <c r="D57" s="494" t="s">
        <v>322</v>
      </c>
      <c r="E57" s="494" t="s">
        <v>323</v>
      </c>
      <c r="F57" s="494" t="s">
        <v>10</v>
      </c>
      <c r="G57" s="494" t="s">
        <v>324</v>
      </c>
      <c r="H57" s="494" t="s">
        <v>325</v>
      </c>
      <c r="I57" s="494" t="s">
        <v>326</v>
      </c>
      <c r="J57" s="495" t="s">
        <v>327</v>
      </c>
    </row>
    <row r="58" spans="1:15" ht="37.5" x14ac:dyDescent="0.3">
      <c r="A58" s="389"/>
      <c r="B58" s="534" t="s">
        <v>148</v>
      </c>
      <c r="C58" s="390" t="s">
        <v>167</v>
      </c>
      <c r="D58" s="390" t="s">
        <v>168</v>
      </c>
      <c r="E58" s="390">
        <v>2473</v>
      </c>
      <c r="F58" s="390" t="s">
        <v>25</v>
      </c>
      <c r="G58" s="390"/>
      <c r="H58" s="390">
        <v>25.5749</v>
      </c>
      <c r="I58" s="390"/>
      <c r="J58" s="506" t="s">
        <v>339</v>
      </c>
    </row>
    <row r="59" spans="1:15" ht="25" x14ac:dyDescent="0.25">
      <c r="B59" s="534" t="s">
        <v>149</v>
      </c>
      <c r="C59" s="390" t="s">
        <v>169</v>
      </c>
      <c r="D59" s="390" t="s">
        <v>170</v>
      </c>
      <c r="E59" s="390">
        <v>8466</v>
      </c>
      <c r="F59" s="390" t="s">
        <v>171</v>
      </c>
      <c r="G59" s="390"/>
      <c r="H59" s="390">
        <v>33.441099999999999</v>
      </c>
      <c r="I59" s="390"/>
      <c r="J59" s="506" t="s">
        <v>328</v>
      </c>
    </row>
    <row r="60" spans="1:15" ht="27" customHeight="1" x14ac:dyDescent="0.25">
      <c r="B60" s="534" t="s">
        <v>159</v>
      </c>
      <c r="C60" s="390" t="s">
        <v>260</v>
      </c>
      <c r="D60" s="390" t="s">
        <v>357</v>
      </c>
      <c r="E60" s="390">
        <v>1049</v>
      </c>
      <c r="F60" s="390"/>
      <c r="G60" s="390"/>
      <c r="H60" s="390">
        <v>0.18410000000000001</v>
      </c>
      <c r="I60" s="390"/>
      <c r="J60" s="506" t="s">
        <v>340</v>
      </c>
    </row>
    <row r="61" spans="1:15" ht="25" x14ac:dyDescent="0.25">
      <c r="B61" s="534" t="s">
        <v>151</v>
      </c>
      <c r="C61" s="390" t="s">
        <v>189</v>
      </c>
      <c r="D61" s="390" t="s">
        <v>747</v>
      </c>
      <c r="E61" s="390">
        <v>4946</v>
      </c>
      <c r="F61" s="390" t="s">
        <v>187</v>
      </c>
      <c r="G61" s="390"/>
      <c r="H61" s="390">
        <v>2.0007000000000001</v>
      </c>
      <c r="I61" s="390"/>
      <c r="J61" s="506" t="s">
        <v>339</v>
      </c>
    </row>
    <row r="62" spans="1:15" ht="25" x14ac:dyDescent="0.25">
      <c r="B62" s="534" t="s">
        <v>157</v>
      </c>
      <c r="C62" s="390" t="s">
        <v>172</v>
      </c>
      <c r="D62" s="390" t="s">
        <v>173</v>
      </c>
      <c r="E62" s="390">
        <v>471</v>
      </c>
      <c r="F62" s="390" t="s">
        <v>171</v>
      </c>
      <c r="G62" s="390"/>
      <c r="H62" s="390">
        <v>120.35599999999999</v>
      </c>
      <c r="I62" s="390"/>
      <c r="J62" s="506" t="s">
        <v>338</v>
      </c>
    </row>
    <row r="63" spans="1:15" ht="25" x14ac:dyDescent="0.25">
      <c r="B63" s="534" t="s">
        <v>157</v>
      </c>
      <c r="C63" s="390" t="s">
        <v>172</v>
      </c>
      <c r="D63" s="390" t="s">
        <v>173</v>
      </c>
      <c r="E63" s="390">
        <v>491</v>
      </c>
      <c r="F63" s="390" t="s">
        <v>171</v>
      </c>
      <c r="G63" s="390"/>
      <c r="H63" s="390">
        <v>125.4667</v>
      </c>
      <c r="I63" s="390"/>
      <c r="J63" s="506" t="s">
        <v>338</v>
      </c>
    </row>
    <row r="64" spans="1:15" ht="25" x14ac:dyDescent="0.25">
      <c r="B64" s="534" t="s">
        <v>157</v>
      </c>
      <c r="C64" s="390" t="s">
        <v>172</v>
      </c>
      <c r="D64" s="390" t="s">
        <v>174</v>
      </c>
      <c r="E64" s="390">
        <v>1490</v>
      </c>
      <c r="F64" s="390" t="s">
        <v>171</v>
      </c>
      <c r="G64" s="390"/>
      <c r="H64" s="390">
        <v>391.93880000000001</v>
      </c>
      <c r="I64" s="390"/>
      <c r="J64" s="506" t="s">
        <v>338</v>
      </c>
    </row>
    <row r="65" spans="2:15" ht="25" x14ac:dyDescent="0.25">
      <c r="B65" s="534" t="s">
        <v>161</v>
      </c>
      <c r="C65" s="390" t="s">
        <v>190</v>
      </c>
      <c r="D65" s="390" t="s">
        <v>193</v>
      </c>
      <c r="E65" s="390">
        <v>4798</v>
      </c>
      <c r="F65" s="390" t="s">
        <v>192</v>
      </c>
      <c r="G65" s="390">
        <v>0.12</v>
      </c>
      <c r="H65" s="390">
        <v>3.2673999999999999</v>
      </c>
      <c r="I65" s="390">
        <v>0.3921</v>
      </c>
      <c r="J65" s="506" t="s">
        <v>337</v>
      </c>
    </row>
    <row r="66" spans="2:15" s="393" customFormat="1" ht="39" customHeight="1" x14ac:dyDescent="0.25">
      <c r="B66" s="534" t="s">
        <v>161</v>
      </c>
      <c r="C66" s="390" t="s">
        <v>190</v>
      </c>
      <c r="D66" s="390" t="s">
        <v>191</v>
      </c>
      <c r="E66" s="390">
        <v>4628</v>
      </c>
      <c r="F66" s="390" t="s">
        <v>192</v>
      </c>
      <c r="G66" s="390"/>
      <c r="H66" s="390">
        <v>1.2172000000000001</v>
      </c>
      <c r="I66" s="390"/>
      <c r="J66" s="506" t="s">
        <v>337</v>
      </c>
    </row>
    <row r="67" spans="2:15" ht="35.15" customHeight="1" x14ac:dyDescent="0.25">
      <c r="B67" s="718" t="s">
        <v>157</v>
      </c>
      <c r="C67" s="719" t="s">
        <v>172</v>
      </c>
      <c r="D67" s="719" t="s">
        <v>763</v>
      </c>
      <c r="E67" s="720">
        <v>5701.9121999999998</v>
      </c>
      <c r="F67" s="719" t="s">
        <v>178</v>
      </c>
      <c r="G67" s="394"/>
      <c r="H67" s="533">
        <v>694.84268712857067</v>
      </c>
      <c r="I67" s="394"/>
      <c r="J67" s="535" t="s">
        <v>338</v>
      </c>
    </row>
    <row r="68" spans="2:15" ht="37.5" x14ac:dyDescent="0.25">
      <c r="B68" s="534" t="s">
        <v>148</v>
      </c>
      <c r="C68" s="390" t="s">
        <v>210</v>
      </c>
      <c r="D68" s="390" t="s">
        <v>358</v>
      </c>
      <c r="E68" s="390">
        <v>48</v>
      </c>
      <c r="F68" s="390" t="s">
        <v>25</v>
      </c>
      <c r="G68" s="390"/>
      <c r="H68" s="390">
        <v>12.586399999999999</v>
      </c>
      <c r="I68" s="390"/>
      <c r="J68" s="506" t="s">
        <v>338</v>
      </c>
    </row>
    <row r="69" spans="2:15" ht="37.5" x14ac:dyDescent="0.25">
      <c r="B69" s="534" t="s">
        <v>148</v>
      </c>
      <c r="C69" s="390" t="s">
        <v>210</v>
      </c>
      <c r="D69" s="390" t="s">
        <v>214</v>
      </c>
      <c r="E69" s="390">
        <v>63</v>
      </c>
      <c r="F69" s="390" t="s">
        <v>25</v>
      </c>
      <c r="G69" s="390"/>
      <c r="H69" s="390">
        <v>26.3063</v>
      </c>
      <c r="I69" s="390"/>
      <c r="J69" s="506" t="s">
        <v>338</v>
      </c>
    </row>
    <row r="70" spans="2:15" ht="37.5" x14ac:dyDescent="0.25">
      <c r="B70" s="534" t="s">
        <v>148</v>
      </c>
      <c r="C70" s="390" t="s">
        <v>210</v>
      </c>
      <c r="D70" s="390" t="s">
        <v>359</v>
      </c>
      <c r="E70" s="390">
        <v>60</v>
      </c>
      <c r="F70" s="390" t="s">
        <v>25</v>
      </c>
      <c r="G70" s="390"/>
      <c r="H70" s="390">
        <v>30.204499999999999</v>
      </c>
      <c r="I70" s="390"/>
      <c r="J70" s="506" t="s">
        <v>338</v>
      </c>
    </row>
    <row r="71" spans="2:15" ht="37.5" x14ac:dyDescent="0.25">
      <c r="B71" s="534" t="s">
        <v>157</v>
      </c>
      <c r="C71" s="390" t="s">
        <v>172</v>
      </c>
      <c r="D71" s="390" t="s">
        <v>360</v>
      </c>
      <c r="E71" s="390">
        <v>60</v>
      </c>
      <c r="F71" s="390" t="s">
        <v>175</v>
      </c>
      <c r="G71" s="390"/>
      <c r="H71" s="390">
        <v>82.333200000000005</v>
      </c>
      <c r="I71" s="390"/>
      <c r="J71" s="506" t="s">
        <v>338</v>
      </c>
    </row>
    <row r="72" spans="2:15" ht="37.5" x14ac:dyDescent="0.25">
      <c r="B72" s="534" t="s">
        <v>157</v>
      </c>
      <c r="C72" s="390" t="s">
        <v>176</v>
      </c>
      <c r="D72" s="390" t="s">
        <v>177</v>
      </c>
      <c r="E72" s="390">
        <v>224</v>
      </c>
      <c r="F72" s="390" t="s">
        <v>178</v>
      </c>
      <c r="G72" s="390"/>
      <c r="H72" s="390">
        <v>135.13380000000001</v>
      </c>
      <c r="I72" s="390"/>
      <c r="J72" s="506" t="s">
        <v>330</v>
      </c>
    </row>
    <row r="73" spans="2:15" ht="25" x14ac:dyDescent="0.25">
      <c r="B73" s="534" t="s">
        <v>152</v>
      </c>
      <c r="C73" s="390" t="s">
        <v>185</v>
      </c>
      <c r="D73" s="390" t="s">
        <v>186</v>
      </c>
      <c r="E73" s="390">
        <v>4914</v>
      </c>
      <c r="F73" s="390" t="s">
        <v>187</v>
      </c>
      <c r="G73" s="390"/>
      <c r="H73" s="390">
        <v>2.5552999999999999</v>
      </c>
      <c r="I73" s="390"/>
      <c r="J73" s="506" t="s">
        <v>339</v>
      </c>
    </row>
    <row r="74" spans="2:15" ht="25" x14ac:dyDescent="0.25">
      <c r="B74" s="534" t="s">
        <v>152</v>
      </c>
      <c r="C74" s="390" t="s">
        <v>185</v>
      </c>
      <c r="D74" s="390" t="s">
        <v>186</v>
      </c>
      <c r="E74" s="390">
        <v>8778</v>
      </c>
      <c r="F74" s="390" t="s">
        <v>187</v>
      </c>
      <c r="G74" s="390">
        <v>0</v>
      </c>
      <c r="H74" s="390">
        <v>4.5646000000000004</v>
      </c>
      <c r="I74" s="390">
        <v>0</v>
      </c>
      <c r="J74" s="506" t="s">
        <v>339</v>
      </c>
    </row>
    <row r="75" spans="2:15" s="532" customFormat="1" ht="13" thickBot="1" x14ac:dyDescent="0.3">
      <c r="B75" s="508" t="s">
        <v>344</v>
      </c>
      <c r="C75" s="536"/>
      <c r="D75" s="536"/>
      <c r="E75" s="536"/>
      <c r="F75" s="536"/>
      <c r="G75" s="537"/>
      <c r="H75" s="511">
        <f>SUM(H58:H74)</f>
        <v>1691.9736871285706</v>
      </c>
      <c r="I75" s="538">
        <f>SUM(I58:I74)</f>
        <v>0.3921</v>
      </c>
      <c r="J75" s="501" t="s">
        <v>90</v>
      </c>
      <c r="K75" s="531"/>
      <c r="M75" s="531"/>
      <c r="N75" s="531"/>
      <c r="O75" s="531"/>
    </row>
    <row r="76" spans="2:15" x14ac:dyDescent="0.25">
      <c r="H76" s="721"/>
    </row>
  </sheetData>
  <autoFilter ref="B57:L75" xr:uid="{3714AAA3-6D6F-481B-BF84-400C6A207E3B}"/>
  <mergeCells count="19">
    <mergeCell ref="B41:B42"/>
    <mergeCell ref="C41:D41"/>
    <mergeCell ref="E41:F41"/>
    <mergeCell ref="M4:N4"/>
    <mergeCell ref="E4:E5"/>
    <mergeCell ref="D4:D5"/>
    <mergeCell ref="C4:C5"/>
    <mergeCell ref="B4:B5"/>
    <mergeCell ref="B12:B13"/>
    <mergeCell ref="B14:B15"/>
    <mergeCell ref="B16:B18"/>
    <mergeCell ref="B19:B21"/>
    <mergeCell ref="B10:C10"/>
    <mergeCell ref="B11:C11"/>
    <mergeCell ref="F4:F5"/>
    <mergeCell ref="G4:G5"/>
    <mergeCell ref="O4:O5"/>
    <mergeCell ref="I4:J4"/>
    <mergeCell ref="K4:L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EAEEAC4-950C-4446-B2EE-7A7FB2DDED68}">
          <x14:formula1>
            <xm:f>'Task 3 - Material summary'!$B$7:$B$14</xm:f>
          </x14:formula1>
          <xm:sqref>J58:J75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37B4-8C20-46B7-8AF3-4AFF740FBEC5}">
  <sheetPr>
    <tabColor rgb="FF00353E"/>
  </sheetPr>
  <dimension ref="A1:R120"/>
  <sheetViews>
    <sheetView showGridLines="0" workbookViewId="0"/>
  </sheetViews>
  <sheetFormatPr defaultColWidth="8.7265625" defaultRowHeight="12.5" x14ac:dyDescent="0.25"/>
  <cols>
    <col min="1" max="1" width="4.1796875" style="300" customWidth="1"/>
    <col min="2" max="2" width="38" style="366" customWidth="1"/>
    <col min="3" max="3" width="21.1796875" style="366" customWidth="1"/>
    <col min="4" max="4" width="20.1796875" style="366" customWidth="1"/>
    <col min="5" max="6" width="16" style="366" customWidth="1"/>
    <col min="7" max="7" width="18.1796875" style="366" customWidth="1"/>
    <col min="8" max="11" width="22.7265625" style="366" customWidth="1"/>
    <col min="12" max="12" width="17.453125" style="366" customWidth="1"/>
    <col min="13" max="13" width="19" style="300" customWidth="1"/>
    <col min="14" max="14" width="25.54296875" style="300" customWidth="1"/>
    <col min="15" max="17" width="30.54296875" style="300" customWidth="1"/>
    <col min="18" max="18" width="23.453125" style="300" customWidth="1"/>
    <col min="19" max="16384" width="8.7265625" style="300"/>
  </cols>
  <sheetData>
    <row r="1" spans="2:18" s="363" customFormat="1" ht="25" customHeight="1" x14ac:dyDescent="0.35">
      <c r="B1" s="306" t="s">
        <v>478</v>
      </c>
      <c r="D1" s="364"/>
      <c r="E1" s="364"/>
      <c r="F1" s="364"/>
      <c r="G1" s="364"/>
      <c r="H1" s="364"/>
      <c r="I1" s="364"/>
      <c r="J1" s="364"/>
      <c r="K1" s="364"/>
      <c r="L1" s="364"/>
    </row>
    <row r="2" spans="2:18" s="363" customFormat="1" ht="18" customHeight="1" x14ac:dyDescent="0.35">
      <c r="B2" s="363" t="s">
        <v>743</v>
      </c>
      <c r="G2" s="364"/>
      <c r="H2" s="364"/>
    </row>
    <row r="3" spans="2:18" ht="39.65" customHeight="1" thickBot="1" x14ac:dyDescent="0.35">
      <c r="B3" s="365" t="s">
        <v>443</v>
      </c>
      <c r="G3" s="367" t="s">
        <v>444</v>
      </c>
      <c r="L3" s="300"/>
    </row>
    <row r="4" spans="2:18" ht="14.25" customHeight="1" x14ac:dyDescent="0.25">
      <c r="B4" s="771" t="s">
        <v>37</v>
      </c>
      <c r="C4" s="773" t="s">
        <v>77</v>
      </c>
      <c r="D4" s="773" t="s">
        <v>381</v>
      </c>
      <c r="E4" s="791" t="s">
        <v>629</v>
      </c>
      <c r="G4" s="786" t="s">
        <v>69</v>
      </c>
      <c r="H4" s="787"/>
      <c r="I4" s="788" t="s">
        <v>70</v>
      </c>
      <c r="J4" s="794"/>
      <c r="K4" s="794"/>
      <c r="L4" s="794"/>
      <c r="M4" s="787"/>
      <c r="N4" s="794" t="s">
        <v>342</v>
      </c>
      <c r="O4" s="794"/>
      <c r="P4" s="788" t="s">
        <v>678</v>
      </c>
      <c r="Q4" s="787"/>
      <c r="R4" s="791" t="s">
        <v>382</v>
      </c>
    </row>
    <row r="5" spans="2:18" ht="24.75" customHeight="1" x14ac:dyDescent="0.25">
      <c r="B5" s="772"/>
      <c r="C5" s="774"/>
      <c r="D5" s="774"/>
      <c r="E5" s="792"/>
      <c r="G5" s="64" t="s">
        <v>71</v>
      </c>
      <c r="H5" s="65" t="s">
        <v>72</v>
      </c>
      <c r="I5" s="65" t="s">
        <v>80</v>
      </c>
      <c r="J5" s="65" t="s">
        <v>79</v>
      </c>
      <c r="K5" s="65" t="s">
        <v>78</v>
      </c>
      <c r="L5" s="66" t="s">
        <v>73</v>
      </c>
      <c r="M5" s="67" t="s">
        <v>74</v>
      </c>
      <c r="N5" s="155" t="s">
        <v>636</v>
      </c>
      <c r="O5" s="155" t="s">
        <v>689</v>
      </c>
      <c r="P5" s="815" t="s">
        <v>673</v>
      </c>
      <c r="Q5" s="815"/>
      <c r="R5" s="814"/>
    </row>
    <row r="6" spans="2:18" ht="15" customHeight="1" thickBot="1" x14ac:dyDescent="0.3">
      <c r="B6" s="207" t="s">
        <v>688</v>
      </c>
      <c r="C6" s="69">
        <f>'Structure dimensions'!C70</f>
        <v>22.2</v>
      </c>
      <c r="D6" s="348">
        <f>SUM(G6:M6)</f>
        <v>44575.462000000007</v>
      </c>
      <c r="E6" s="41">
        <f>R6</f>
        <v>61589.944200000005</v>
      </c>
      <c r="G6" s="70">
        <f>I120</f>
        <v>30843.762000000002</v>
      </c>
      <c r="H6" s="71">
        <v>1808.2</v>
      </c>
      <c r="I6" s="71">
        <v>88.9</v>
      </c>
      <c r="J6" s="71">
        <v>2553.3000000000002</v>
      </c>
      <c r="K6" s="71">
        <v>0</v>
      </c>
      <c r="L6" s="74">
        <v>8136.3</v>
      </c>
      <c r="M6" s="71">
        <v>1145</v>
      </c>
      <c r="N6" s="71">
        <f>J120</f>
        <v>16950.572199999995</v>
      </c>
      <c r="O6" s="71">
        <v>0</v>
      </c>
      <c r="P6" s="836">
        <f>'Operational Energy'!H16</f>
        <v>63.91</v>
      </c>
      <c r="Q6" s="836"/>
      <c r="R6" s="80">
        <f>SUM(G6:Q6)</f>
        <v>61589.944200000005</v>
      </c>
    </row>
    <row r="7" spans="2:18" ht="14" thickTop="1" thickBot="1" x14ac:dyDescent="0.3">
      <c r="B7" s="417" t="s">
        <v>2</v>
      </c>
      <c r="C7" s="425"/>
      <c r="D7" s="453">
        <f>D6</f>
        <v>44575.462000000007</v>
      </c>
      <c r="E7" s="191">
        <f>E6</f>
        <v>61589.944200000005</v>
      </c>
      <c r="G7" s="192" t="s">
        <v>81</v>
      </c>
      <c r="H7" s="72">
        <f>SUM(G6:H6)</f>
        <v>32651.962000000003</v>
      </c>
      <c r="I7" s="833" t="s">
        <v>81</v>
      </c>
      <c r="J7" s="834"/>
      <c r="K7" s="834"/>
      <c r="L7" s="835"/>
      <c r="M7" s="72">
        <f>SUM(I6:M6)</f>
        <v>11923.5</v>
      </c>
      <c r="N7" s="184" t="s">
        <v>346</v>
      </c>
      <c r="O7" s="196">
        <f>SUM(N6:O6)</f>
        <v>16950.572199999995</v>
      </c>
      <c r="P7" s="184" t="s">
        <v>346</v>
      </c>
      <c r="Q7" s="72">
        <f>SUM(P6)</f>
        <v>63.91</v>
      </c>
      <c r="R7" s="79">
        <f>SUM(R6:R6)</f>
        <v>61589.944200000005</v>
      </c>
    </row>
    <row r="8" spans="2:18" ht="13" x14ac:dyDescent="0.25">
      <c r="B8" s="770"/>
      <c r="C8" s="770"/>
      <c r="D8" s="770"/>
      <c r="E8" s="14"/>
      <c r="F8" s="14"/>
      <c r="G8" s="300" t="s">
        <v>490</v>
      </c>
      <c r="H8" s="37"/>
      <c r="I8" s="37"/>
      <c r="J8" s="37"/>
      <c r="K8" s="37"/>
      <c r="L8" s="37"/>
    </row>
    <row r="9" spans="2:18" ht="13.5" thickBot="1" x14ac:dyDescent="0.35">
      <c r="B9" s="33"/>
      <c r="C9" s="33"/>
      <c r="D9" s="33"/>
      <c r="E9" s="372"/>
      <c r="F9" s="372"/>
      <c r="G9" s="372"/>
      <c r="H9" s="37"/>
      <c r="I9" s="37"/>
      <c r="J9" s="37"/>
      <c r="K9" s="37"/>
      <c r="L9" s="37"/>
    </row>
    <row r="10" spans="2:18" ht="13" x14ac:dyDescent="0.3">
      <c r="B10" s="799" t="s">
        <v>383</v>
      </c>
      <c r="C10" s="800"/>
      <c r="D10" s="342" t="s">
        <v>384</v>
      </c>
      <c r="E10" s="343" t="s">
        <v>10</v>
      </c>
      <c r="F10" s="372"/>
      <c r="G10" s="372"/>
      <c r="H10" s="37"/>
      <c r="I10" s="37"/>
      <c r="J10" s="37"/>
      <c r="K10" s="37"/>
      <c r="L10" s="37"/>
    </row>
    <row r="11" spans="2:18" ht="24.75" customHeight="1" x14ac:dyDescent="0.3">
      <c r="B11" s="804" t="s">
        <v>62</v>
      </c>
      <c r="C11" s="805"/>
      <c r="D11" s="188">
        <v>22.2</v>
      </c>
      <c r="E11" s="301" t="s">
        <v>411</v>
      </c>
      <c r="F11" s="372"/>
      <c r="G11" s="372"/>
      <c r="H11" s="37"/>
      <c r="I11" s="37"/>
      <c r="J11" s="37"/>
      <c r="K11" s="37"/>
      <c r="L11" s="37"/>
    </row>
    <row r="12" spans="2:18" ht="24.75" customHeight="1" x14ac:dyDescent="0.3">
      <c r="B12" s="804" t="s">
        <v>63</v>
      </c>
      <c r="C12" s="805"/>
      <c r="D12" s="174">
        <v>4</v>
      </c>
      <c r="E12" s="301" t="s">
        <v>385</v>
      </c>
      <c r="F12" s="372"/>
      <c r="G12" s="372"/>
      <c r="H12" s="37"/>
      <c r="I12" s="37"/>
      <c r="J12" s="37"/>
      <c r="K12" s="37"/>
      <c r="L12" s="37"/>
    </row>
    <row r="13" spans="2:18" ht="24.75" customHeight="1" x14ac:dyDescent="0.3">
      <c r="B13" s="804" t="s">
        <v>658</v>
      </c>
      <c r="C13" s="344" t="s">
        <v>623</v>
      </c>
      <c r="D13" s="190">
        <f>D6/C6</f>
        <v>2007.9036936936941</v>
      </c>
      <c r="E13" s="301" t="s">
        <v>412</v>
      </c>
      <c r="F13" s="372"/>
      <c r="G13" s="372"/>
      <c r="H13" s="37"/>
      <c r="I13" s="37"/>
      <c r="J13" s="37"/>
      <c r="K13" s="37"/>
      <c r="L13" s="37"/>
    </row>
    <row r="14" spans="2:18" ht="24.75" customHeight="1" x14ac:dyDescent="0.3">
      <c r="B14" s="804"/>
      <c r="C14" s="344" t="s">
        <v>674</v>
      </c>
      <c r="D14" s="190">
        <f>E6/C6</f>
        <v>2774.3218108108113</v>
      </c>
      <c r="E14" s="301" t="s">
        <v>412</v>
      </c>
      <c r="F14" s="372"/>
      <c r="G14" s="372"/>
      <c r="H14" s="37"/>
      <c r="I14" s="37"/>
      <c r="J14" s="37"/>
      <c r="K14" s="37"/>
      <c r="L14" s="37"/>
    </row>
    <row r="15" spans="2:18" ht="24.75" customHeight="1" x14ac:dyDescent="0.3">
      <c r="B15" s="804" t="s">
        <v>6</v>
      </c>
      <c r="C15" s="344" t="s">
        <v>623</v>
      </c>
      <c r="D15" s="190">
        <f>D13/D12</f>
        <v>501.97592342342352</v>
      </c>
      <c r="E15" s="301" t="s">
        <v>413</v>
      </c>
      <c r="F15" s="372"/>
      <c r="G15" s="372"/>
      <c r="H15" s="37"/>
      <c r="I15" s="37"/>
      <c r="J15" s="37"/>
      <c r="K15" s="37"/>
      <c r="L15" s="37"/>
    </row>
    <row r="16" spans="2:18" ht="24.75" customHeight="1" x14ac:dyDescent="0.3">
      <c r="B16" s="804"/>
      <c r="C16" s="344" t="s">
        <v>674</v>
      </c>
      <c r="D16" s="190">
        <f>D14/D12</f>
        <v>693.58045270270281</v>
      </c>
      <c r="E16" s="301" t="s">
        <v>413</v>
      </c>
      <c r="F16" s="372"/>
      <c r="G16" s="372"/>
      <c r="H16" s="37"/>
      <c r="I16" s="37"/>
      <c r="J16" s="37"/>
      <c r="K16" s="37"/>
      <c r="L16" s="37"/>
    </row>
    <row r="17" spans="2:12" ht="24.75" customHeight="1" x14ac:dyDescent="0.3">
      <c r="B17" s="775" t="s">
        <v>676</v>
      </c>
      <c r="C17" s="344" t="s">
        <v>3</v>
      </c>
      <c r="D17" s="186">
        <f>H7/E7</f>
        <v>0.53015086186747995</v>
      </c>
      <c r="E17" s="301" t="s">
        <v>388</v>
      </c>
      <c r="F17" s="372"/>
      <c r="G17" s="372"/>
      <c r="H17" s="37"/>
      <c r="I17" s="37"/>
      <c r="J17" s="37"/>
      <c r="K17" s="37"/>
      <c r="L17" s="37"/>
    </row>
    <row r="18" spans="2:12" ht="24.75" customHeight="1" x14ac:dyDescent="0.3">
      <c r="B18" s="775"/>
      <c r="C18" s="344" t="s">
        <v>4</v>
      </c>
      <c r="D18" s="186">
        <f>M7/E7</f>
        <v>0.1935949148010431</v>
      </c>
      <c r="E18" s="301" t="s">
        <v>388</v>
      </c>
      <c r="F18" s="372"/>
      <c r="G18" s="372"/>
      <c r="H18" s="37"/>
      <c r="I18" s="37"/>
      <c r="J18" s="37"/>
      <c r="K18" s="37"/>
      <c r="L18" s="37"/>
    </row>
    <row r="19" spans="2:12" ht="24.75" customHeight="1" x14ac:dyDescent="0.3">
      <c r="B19" s="775"/>
      <c r="C19" s="344" t="s">
        <v>627</v>
      </c>
      <c r="D19" s="186">
        <f>O7/E7</f>
        <v>0.27521655393868655</v>
      </c>
      <c r="E19" s="301" t="s">
        <v>388</v>
      </c>
      <c r="F19" s="372"/>
      <c r="G19" s="372"/>
      <c r="H19" s="37"/>
      <c r="I19" s="37"/>
      <c r="J19" s="37"/>
      <c r="K19" s="37"/>
      <c r="L19" s="37"/>
    </row>
    <row r="20" spans="2:12" ht="24.75" customHeight="1" x14ac:dyDescent="0.3">
      <c r="B20" s="775"/>
      <c r="C20" s="344" t="s">
        <v>672</v>
      </c>
      <c r="D20" s="186">
        <f>Q7/E7</f>
        <v>1.0376693927902599E-3</v>
      </c>
      <c r="E20" s="301" t="s">
        <v>388</v>
      </c>
      <c r="F20" s="372"/>
      <c r="G20" s="372"/>
      <c r="H20" s="300"/>
      <c r="I20" s="37"/>
      <c r="J20" s="37"/>
      <c r="K20" s="37"/>
      <c r="L20" s="37"/>
    </row>
    <row r="21" spans="2:12" ht="24.75" customHeight="1" x14ac:dyDescent="0.3">
      <c r="B21" s="775" t="s">
        <v>642</v>
      </c>
      <c r="C21" s="344" t="s">
        <v>3</v>
      </c>
      <c r="D21" s="185">
        <f>D16*D17</f>
        <v>367.70227477477482</v>
      </c>
      <c r="E21" s="301" t="s">
        <v>413</v>
      </c>
      <c r="F21" s="372"/>
      <c r="G21" s="372"/>
      <c r="H21" s="37"/>
      <c r="I21" s="37"/>
      <c r="J21" s="37"/>
      <c r="K21" s="37"/>
      <c r="L21" s="37"/>
    </row>
    <row r="22" spans="2:12" ht="24.75" customHeight="1" x14ac:dyDescent="0.3">
      <c r="B22" s="775"/>
      <c r="C22" s="344" t="s">
        <v>4</v>
      </c>
      <c r="D22" s="185">
        <f>D16*D18</f>
        <v>134.27364864864865</v>
      </c>
      <c r="E22" s="301" t="s">
        <v>413</v>
      </c>
      <c r="F22" s="372"/>
      <c r="G22" s="372"/>
      <c r="H22" s="37"/>
      <c r="I22" s="37"/>
      <c r="J22" s="37"/>
      <c r="K22" s="37"/>
      <c r="L22" s="37"/>
    </row>
    <row r="23" spans="2:12" ht="24.75" customHeight="1" x14ac:dyDescent="0.3">
      <c r="B23" s="775"/>
      <c r="C23" s="344" t="s">
        <v>627</v>
      </c>
      <c r="D23" s="185">
        <f>D16*D19</f>
        <v>190.88482207207204</v>
      </c>
      <c r="E23" s="301" t="s">
        <v>413</v>
      </c>
      <c r="F23" s="372"/>
      <c r="G23" s="372"/>
      <c r="H23" s="37"/>
      <c r="I23" s="37"/>
      <c r="J23" s="37"/>
      <c r="K23" s="37"/>
      <c r="L23" s="37"/>
    </row>
    <row r="24" spans="2:12" ht="24.75" customHeight="1" thickBot="1" x14ac:dyDescent="0.35">
      <c r="B24" s="808"/>
      <c r="C24" s="346" t="s">
        <v>672</v>
      </c>
      <c r="D24" s="187">
        <f>D16*D20</f>
        <v>0.71970720720720727</v>
      </c>
      <c r="E24" s="303" t="s">
        <v>413</v>
      </c>
      <c r="F24" s="372"/>
      <c r="G24" s="372"/>
      <c r="H24" s="37"/>
      <c r="I24" s="37"/>
      <c r="J24" s="37"/>
      <c r="K24" s="37"/>
      <c r="L24" s="37"/>
    </row>
    <row r="25" spans="2:12" ht="13" x14ac:dyDescent="0.3">
      <c r="B25" s="33"/>
      <c r="C25" s="33"/>
      <c r="D25" s="33"/>
      <c r="E25" s="372"/>
      <c r="F25" s="372"/>
      <c r="G25" s="372"/>
      <c r="H25" s="37"/>
      <c r="I25" s="37"/>
      <c r="J25" s="37"/>
      <c r="K25" s="37"/>
      <c r="L25" s="37"/>
    </row>
    <row r="26" spans="2:12" ht="13" x14ac:dyDescent="0.3">
      <c r="B26" s="33"/>
      <c r="C26" s="33"/>
      <c r="D26" s="33"/>
      <c r="E26" s="372"/>
      <c r="F26" s="372"/>
      <c r="G26" s="372"/>
      <c r="H26" s="37"/>
      <c r="I26" s="37"/>
      <c r="J26" s="37"/>
      <c r="K26" s="37"/>
      <c r="L26" s="37"/>
    </row>
    <row r="27" spans="2:12" ht="13" x14ac:dyDescent="0.3">
      <c r="B27" s="33"/>
      <c r="C27" s="33"/>
      <c r="D27" s="33"/>
      <c r="E27" s="372"/>
      <c r="F27" s="372"/>
      <c r="G27" s="372"/>
      <c r="H27" s="37"/>
      <c r="I27" s="37"/>
      <c r="J27" s="37"/>
      <c r="K27" s="37"/>
      <c r="L27" s="37"/>
    </row>
    <row r="28" spans="2:12" ht="13" x14ac:dyDescent="0.3">
      <c r="B28" s="33"/>
      <c r="C28" s="33"/>
      <c r="D28" s="33"/>
      <c r="E28" s="372"/>
      <c r="F28" s="372"/>
      <c r="G28" s="372"/>
      <c r="H28" s="37"/>
      <c r="I28" s="37"/>
      <c r="J28" s="37"/>
      <c r="K28" s="37"/>
      <c r="L28" s="37"/>
    </row>
    <row r="29" spans="2:12" ht="27" customHeight="1" x14ac:dyDescent="0.25">
      <c r="B29" s="769"/>
      <c r="C29" s="769"/>
      <c r="D29" s="769"/>
      <c r="E29" s="769"/>
      <c r="F29" s="769"/>
      <c r="G29" s="769"/>
      <c r="H29" s="37"/>
      <c r="I29" s="37"/>
      <c r="J29" s="37"/>
      <c r="K29" s="37"/>
      <c r="L29" s="37"/>
    </row>
    <row r="30" spans="2:12" ht="13" x14ac:dyDescent="0.3">
      <c r="B30" s="770"/>
      <c r="C30" s="770"/>
      <c r="D30" s="770"/>
      <c r="E30" s="14"/>
      <c r="F30" s="14"/>
      <c r="G30" s="36"/>
      <c r="H30" s="37"/>
      <c r="I30" s="37"/>
      <c r="J30" s="37"/>
      <c r="K30" s="37"/>
      <c r="L30" s="37"/>
    </row>
    <row r="31" spans="2:12" x14ac:dyDescent="0.25">
      <c r="B31" s="38"/>
      <c r="C31" s="38"/>
      <c r="D31" s="37"/>
      <c r="E31" s="369"/>
      <c r="F31" s="369"/>
      <c r="G31" s="369"/>
      <c r="H31" s="37"/>
      <c r="I31" s="37"/>
      <c r="J31" s="37"/>
      <c r="K31" s="37"/>
      <c r="L31" s="37"/>
    </row>
    <row r="32" spans="2:12" x14ac:dyDescent="0.25">
      <c r="B32" s="38"/>
      <c r="C32" s="38"/>
      <c r="D32" s="37"/>
      <c r="E32" s="369"/>
      <c r="F32" s="369"/>
      <c r="G32" s="369"/>
      <c r="H32" s="37"/>
      <c r="I32" s="37"/>
      <c r="J32" s="37"/>
      <c r="K32" s="37"/>
      <c r="L32" s="37"/>
    </row>
    <row r="33" spans="1:14" x14ac:dyDescent="0.25">
      <c r="B33" s="38"/>
      <c r="C33" s="38"/>
      <c r="D33" s="37"/>
      <c r="E33" s="369"/>
      <c r="F33" s="369"/>
      <c r="G33" s="369"/>
      <c r="H33" s="37"/>
      <c r="I33" s="37"/>
      <c r="J33" s="37"/>
      <c r="K33" s="37"/>
      <c r="L33" s="37"/>
    </row>
    <row r="34" spans="1:14" ht="13" x14ac:dyDescent="0.3">
      <c r="B34" s="770"/>
      <c r="C34" s="770"/>
      <c r="D34" s="770"/>
      <c r="E34" s="14"/>
      <c r="F34" s="14"/>
      <c r="G34" s="36"/>
      <c r="H34" s="37"/>
      <c r="I34" s="37"/>
      <c r="J34" s="37"/>
      <c r="K34" s="37"/>
      <c r="L34" s="37"/>
    </row>
    <row r="35" spans="1:14" x14ac:dyDescent="0.25">
      <c r="B35" s="38"/>
      <c r="C35" s="38"/>
      <c r="D35" s="37"/>
      <c r="E35" s="370"/>
      <c r="F35" s="370"/>
      <c r="G35" s="370"/>
      <c r="H35" s="37"/>
      <c r="I35" s="37"/>
      <c r="J35" s="37"/>
      <c r="K35" s="37"/>
      <c r="L35" s="37"/>
    </row>
    <row r="36" spans="1:14" x14ac:dyDescent="0.25">
      <c r="B36" s="38"/>
      <c r="C36" s="38"/>
      <c r="D36" s="37"/>
      <c r="E36" s="370"/>
      <c r="F36" s="370"/>
      <c r="G36" s="370"/>
      <c r="H36" s="37"/>
      <c r="I36" s="37"/>
      <c r="J36" s="37"/>
      <c r="K36" s="37"/>
      <c r="L36" s="37"/>
    </row>
    <row r="37" spans="1:14" x14ac:dyDescent="0.25">
      <c r="B37" s="38"/>
      <c r="C37" s="38"/>
      <c r="D37" s="37"/>
      <c r="E37" s="370"/>
      <c r="F37" s="370"/>
      <c r="G37" s="370"/>
      <c r="H37" s="37"/>
      <c r="I37" s="37"/>
      <c r="J37" s="37"/>
      <c r="K37" s="37"/>
      <c r="L37" s="37"/>
    </row>
    <row r="38" spans="1:14" x14ac:dyDescent="0.25">
      <c r="B38" s="38"/>
      <c r="C38" s="38"/>
      <c r="D38" s="37"/>
      <c r="E38" s="370"/>
      <c r="F38" s="370"/>
      <c r="G38" s="370"/>
      <c r="H38" s="37"/>
      <c r="I38" s="37"/>
      <c r="J38" s="37"/>
      <c r="K38" s="37"/>
      <c r="L38" s="37"/>
    </row>
    <row r="39" spans="1:14" x14ac:dyDescent="0.25">
      <c r="B39" s="38"/>
      <c r="C39" s="38"/>
      <c r="D39" s="37"/>
      <c r="E39" s="370"/>
      <c r="F39" s="370"/>
      <c r="G39" s="370"/>
      <c r="H39" s="37"/>
      <c r="I39" s="37"/>
      <c r="J39" s="37"/>
      <c r="K39" s="37"/>
      <c r="L39" s="37"/>
    </row>
    <row r="40" spans="1:14" ht="13" x14ac:dyDescent="0.3">
      <c r="B40" s="770"/>
      <c r="C40" s="770"/>
      <c r="D40" s="770"/>
      <c r="E40" s="14"/>
      <c r="F40" s="14"/>
      <c r="G40" s="36"/>
      <c r="H40" s="37"/>
      <c r="I40" s="37"/>
      <c r="J40" s="37"/>
      <c r="K40" s="37"/>
      <c r="L40" s="37"/>
    </row>
    <row r="41" spans="1:14" x14ac:dyDescent="0.25">
      <c r="B41" s="38"/>
      <c r="C41" s="38"/>
      <c r="D41" s="37"/>
      <c r="E41" s="371"/>
      <c r="F41" s="371"/>
      <c r="G41" s="371"/>
      <c r="H41" s="37"/>
      <c r="I41" s="37"/>
      <c r="J41" s="37"/>
      <c r="K41" s="37"/>
      <c r="L41" s="37"/>
    </row>
    <row r="42" spans="1:14" x14ac:dyDescent="0.25">
      <c r="B42" s="38"/>
      <c r="C42" s="38"/>
      <c r="D42" s="37"/>
      <c r="E42" s="371"/>
      <c r="F42" s="371"/>
      <c r="G42" s="371"/>
      <c r="H42" s="37"/>
      <c r="I42" s="37"/>
      <c r="J42" s="37"/>
      <c r="K42" s="37"/>
      <c r="L42" s="37"/>
    </row>
    <row r="43" spans="1:14" x14ac:dyDescent="0.25">
      <c r="B43" s="38"/>
      <c r="C43" s="38"/>
      <c r="D43" s="37"/>
      <c r="E43" s="371"/>
      <c r="F43" s="371"/>
      <c r="G43" s="371"/>
      <c r="H43" s="37"/>
      <c r="I43" s="37"/>
      <c r="J43" s="37"/>
      <c r="K43" s="37"/>
      <c r="L43" s="37"/>
    </row>
    <row r="44" spans="1:14" s="383" customFormat="1" ht="35.5" customHeight="1" x14ac:dyDescent="0.35">
      <c r="A44" s="382"/>
      <c r="B44" s="306" t="s">
        <v>403</v>
      </c>
      <c r="D44" s="384"/>
      <c r="E44" s="384"/>
      <c r="F44" s="384"/>
      <c r="G44" s="384"/>
      <c r="H44" s="384"/>
      <c r="I44" s="384"/>
      <c r="J44" s="384"/>
      <c r="K44" s="384"/>
      <c r="L44" s="384"/>
      <c r="M44" s="384"/>
      <c r="N44" s="384"/>
    </row>
    <row r="45" spans="1:14" ht="13" thickBot="1" x14ac:dyDescent="0.3">
      <c r="B45" s="37"/>
      <c r="C45" s="37"/>
      <c r="D45" s="37"/>
      <c r="E45" s="37"/>
      <c r="F45" s="37"/>
      <c r="G45" s="37"/>
      <c r="H45" s="37"/>
      <c r="I45" s="37"/>
      <c r="J45" s="37"/>
      <c r="K45" s="37"/>
      <c r="L45" s="37"/>
      <c r="M45" s="37"/>
      <c r="N45" s="37"/>
    </row>
    <row r="46" spans="1:14" ht="13" customHeight="1" x14ac:dyDescent="0.25">
      <c r="B46" s="797" t="s">
        <v>348</v>
      </c>
      <c r="C46" s="795" t="s">
        <v>350</v>
      </c>
      <c r="D46" s="795"/>
      <c r="E46" s="809" t="s">
        <v>352</v>
      </c>
      <c r="F46" s="810"/>
      <c r="G46" s="37"/>
      <c r="H46" s="37"/>
      <c r="I46" s="37"/>
      <c r="J46" s="37"/>
      <c r="K46" s="37"/>
      <c r="L46" s="37"/>
      <c r="M46" s="37"/>
      <c r="N46" s="37"/>
    </row>
    <row r="47" spans="1:14" ht="51" customHeight="1" x14ac:dyDescent="0.25">
      <c r="B47" s="798"/>
      <c r="C47" s="375" t="s">
        <v>351</v>
      </c>
      <c r="D47" s="375" t="s">
        <v>349</v>
      </c>
      <c r="E47" s="375" t="s">
        <v>351</v>
      </c>
      <c r="F47" s="454" t="s">
        <v>349</v>
      </c>
      <c r="H47" s="37"/>
      <c r="I47" s="37"/>
      <c r="J47" s="37"/>
      <c r="K47" s="37"/>
      <c r="L47" s="37"/>
      <c r="M47" s="37"/>
      <c r="N47" s="37"/>
    </row>
    <row r="48" spans="1:14" ht="24" customHeight="1" x14ac:dyDescent="0.25">
      <c r="B48" s="455" t="s">
        <v>328</v>
      </c>
      <c r="C48" s="377">
        <f>SUMIF($K$64:$K$119,B48,$I$64:$I$119)</f>
        <v>1431.1969999999999</v>
      </c>
      <c r="D48" s="378">
        <f>C48/$C$56</f>
        <v>4.6401505756658343E-2</v>
      </c>
      <c r="E48" s="377">
        <f>SUMIF($K$64:$K$119,B48,$J$64:$J$119)</f>
        <v>0</v>
      </c>
      <c r="F48" s="456">
        <f t="shared" ref="F48:F55" si="0">E48/$E$56</f>
        <v>0</v>
      </c>
      <c r="H48" s="37"/>
      <c r="I48" s="37"/>
      <c r="J48" s="37"/>
      <c r="K48" s="37"/>
      <c r="L48" s="37"/>
      <c r="M48" s="37"/>
      <c r="N48" s="37"/>
    </row>
    <row r="49" spans="1:14" ht="24" customHeight="1" x14ac:dyDescent="0.25">
      <c r="B49" s="455" t="s">
        <v>329</v>
      </c>
      <c r="C49" s="377">
        <f t="shared" ref="C49:C55" si="1">SUMIF($K$64:$K$119,B49,$I$64:$I$119)</f>
        <v>7426.4555</v>
      </c>
      <c r="D49" s="378">
        <f t="shared" ref="D49:D55" si="2">C49/$C$56</f>
        <v>0.24077657906969971</v>
      </c>
      <c r="E49" s="377">
        <f t="shared" ref="E49:E55" si="3">SUMIF($K$64:$K$119,B49,$J$64:$J$119)</f>
        <v>16488.1456</v>
      </c>
      <c r="F49" s="456">
        <f t="shared" si="0"/>
        <v>0.97271911564141778</v>
      </c>
      <c r="H49" s="37"/>
      <c r="I49" s="37"/>
      <c r="J49" s="37"/>
      <c r="K49" s="37"/>
      <c r="L49" s="37"/>
      <c r="M49" s="37"/>
      <c r="N49" s="37"/>
    </row>
    <row r="50" spans="1:14" ht="24" customHeight="1" x14ac:dyDescent="0.25">
      <c r="B50" s="455" t="s">
        <v>330</v>
      </c>
      <c r="C50" s="377">
        <f t="shared" si="1"/>
        <v>4987.0962</v>
      </c>
      <c r="D50" s="378">
        <f t="shared" si="2"/>
        <v>0.16168897295991325</v>
      </c>
      <c r="E50" s="377">
        <f t="shared" si="3"/>
        <v>98.117999999999995</v>
      </c>
      <c r="F50" s="456">
        <f t="shared" si="0"/>
        <v>5.7884771583109158E-3</v>
      </c>
      <c r="H50" s="37"/>
      <c r="I50" s="37"/>
      <c r="J50" s="37"/>
      <c r="K50" s="37"/>
      <c r="L50" s="37"/>
      <c r="M50" s="37"/>
      <c r="N50" s="37"/>
    </row>
    <row r="51" spans="1:14" ht="24" customHeight="1" x14ac:dyDescent="0.25">
      <c r="B51" s="455" t="s">
        <v>338</v>
      </c>
      <c r="C51" s="377">
        <f t="shared" si="1"/>
        <v>11629.878299999998</v>
      </c>
      <c r="D51" s="378">
        <f t="shared" si="2"/>
        <v>0.37705771105353481</v>
      </c>
      <c r="E51" s="377">
        <f t="shared" si="3"/>
        <v>0</v>
      </c>
      <c r="F51" s="456">
        <f t="shared" si="0"/>
        <v>0</v>
      </c>
      <c r="H51" s="37"/>
      <c r="I51" s="37"/>
      <c r="J51" s="37"/>
      <c r="K51" s="37"/>
      <c r="L51" s="37"/>
      <c r="M51" s="37"/>
      <c r="N51" s="37"/>
    </row>
    <row r="52" spans="1:14" ht="24" customHeight="1" x14ac:dyDescent="0.25">
      <c r="B52" s="455" t="s">
        <v>337</v>
      </c>
      <c r="C52" s="377">
        <f t="shared" si="1"/>
        <v>612.18779999999992</v>
      </c>
      <c r="D52" s="378">
        <f t="shared" si="2"/>
        <v>1.9848026320524709E-2</v>
      </c>
      <c r="E52" s="377">
        <f t="shared" si="3"/>
        <v>0</v>
      </c>
      <c r="F52" s="456">
        <f t="shared" si="0"/>
        <v>0</v>
      </c>
      <c r="H52" s="37"/>
      <c r="I52" s="37"/>
      <c r="J52" s="37"/>
      <c r="K52" s="37"/>
      <c r="L52" s="37"/>
      <c r="M52" s="37"/>
      <c r="N52" s="37"/>
    </row>
    <row r="53" spans="1:14" ht="24" customHeight="1" x14ac:dyDescent="0.25">
      <c r="B53" s="455" t="s">
        <v>341</v>
      </c>
      <c r="C53" s="377">
        <f t="shared" si="1"/>
        <v>12.5367</v>
      </c>
      <c r="D53" s="378">
        <f t="shared" si="2"/>
        <v>4.0645820052690064E-4</v>
      </c>
      <c r="E53" s="377">
        <f t="shared" si="3"/>
        <v>11.282999999999999</v>
      </c>
      <c r="F53" s="456">
        <f t="shared" si="0"/>
        <v>6.6564124602236146E-4</v>
      </c>
      <c r="H53" s="37"/>
      <c r="I53" s="37"/>
      <c r="J53" s="37"/>
      <c r="K53" s="37"/>
      <c r="L53" s="37"/>
      <c r="M53" s="37"/>
      <c r="N53" s="37"/>
    </row>
    <row r="54" spans="1:14" ht="24" customHeight="1" x14ac:dyDescent="0.25">
      <c r="B54" s="455" t="s">
        <v>340</v>
      </c>
      <c r="C54" s="377">
        <f t="shared" si="1"/>
        <v>0.1071</v>
      </c>
      <c r="D54" s="378">
        <f t="shared" si="2"/>
        <v>3.4723390745914842E-6</v>
      </c>
      <c r="E54" s="377">
        <f t="shared" si="3"/>
        <v>0</v>
      </c>
      <c r="F54" s="456">
        <f t="shared" si="0"/>
        <v>0</v>
      </c>
      <c r="H54" s="37"/>
      <c r="I54" s="37"/>
      <c r="J54" s="37"/>
      <c r="K54" s="37"/>
      <c r="L54" s="37"/>
      <c r="M54" s="37"/>
      <c r="N54" s="37"/>
    </row>
    <row r="55" spans="1:14" ht="24" customHeight="1" x14ac:dyDescent="0.25">
      <c r="B55" s="455" t="s">
        <v>339</v>
      </c>
      <c r="C55" s="377">
        <f t="shared" si="1"/>
        <v>4744.3033999999998</v>
      </c>
      <c r="D55" s="378">
        <f t="shared" si="2"/>
        <v>0.15381727430006753</v>
      </c>
      <c r="E55" s="377">
        <f t="shared" si="3"/>
        <v>353.02559999999994</v>
      </c>
      <c r="F55" s="456">
        <f t="shared" si="0"/>
        <v>2.0826765954249024E-2</v>
      </c>
      <c r="H55" s="37"/>
      <c r="I55" s="37"/>
      <c r="J55" s="37"/>
      <c r="K55" s="37"/>
      <c r="L55" s="37"/>
      <c r="M55" s="37"/>
      <c r="N55" s="37"/>
    </row>
    <row r="56" spans="1:14" ht="24" customHeight="1" thickBot="1" x14ac:dyDescent="0.35">
      <c r="B56" s="457" t="s">
        <v>344</v>
      </c>
      <c r="C56" s="458">
        <f>SUM(C48:C55)</f>
        <v>30843.762000000002</v>
      </c>
      <c r="D56" s="553">
        <f>SUM(D48:D55)</f>
        <v>0.99999999999999989</v>
      </c>
      <c r="E56" s="459">
        <f>SUM(E48:E55)</f>
        <v>16950.572199999999</v>
      </c>
      <c r="F56" s="553">
        <f>SUM(F48:F55)</f>
        <v>1</v>
      </c>
      <c r="H56" s="37"/>
      <c r="I56" s="37"/>
      <c r="J56" s="37"/>
      <c r="K56" s="37"/>
      <c r="L56" s="37"/>
      <c r="M56" s="37"/>
      <c r="N56" s="37"/>
    </row>
    <row r="57" spans="1:14" x14ac:dyDescent="0.25">
      <c r="B57" s="37"/>
      <c r="C57" s="37"/>
      <c r="E57" s="37"/>
      <c r="F57" s="37"/>
      <c r="G57" s="37"/>
      <c r="H57" s="37"/>
      <c r="I57" s="37"/>
      <c r="J57" s="37"/>
      <c r="K57" s="37"/>
      <c r="L57" s="37"/>
      <c r="M57" s="37"/>
      <c r="N57" s="37"/>
    </row>
    <row r="58" spans="1:14" x14ac:dyDescent="0.25">
      <c r="B58" s="38"/>
      <c r="C58" s="38"/>
      <c r="D58" s="37"/>
      <c r="E58" s="37"/>
      <c r="F58" s="37"/>
      <c r="G58" s="371"/>
      <c r="H58" s="371"/>
      <c r="I58" s="37"/>
      <c r="J58" s="37"/>
      <c r="K58" s="300"/>
      <c r="L58" s="300"/>
    </row>
    <row r="59" spans="1:14" x14ac:dyDescent="0.25">
      <c r="B59" s="38"/>
      <c r="C59" s="38"/>
      <c r="D59" s="37"/>
      <c r="E59" s="37"/>
      <c r="F59" s="37"/>
      <c r="G59" s="371"/>
      <c r="H59" s="371"/>
      <c r="I59" s="37"/>
      <c r="J59" s="37"/>
      <c r="K59" s="300"/>
      <c r="L59" s="300"/>
    </row>
    <row r="60" spans="1:14" s="383" customFormat="1" ht="27.65" customHeight="1" x14ac:dyDescent="0.35">
      <c r="A60" s="382"/>
      <c r="B60" s="306" t="s">
        <v>461</v>
      </c>
      <c r="D60" s="384"/>
      <c r="E60" s="384"/>
      <c r="F60" s="384"/>
      <c r="G60" s="384"/>
      <c r="H60" s="384"/>
      <c r="I60" s="384"/>
      <c r="J60" s="384"/>
      <c r="K60" s="384"/>
      <c r="L60" s="384"/>
    </row>
    <row r="61" spans="1:14" s="404" customFormat="1" ht="19.5" customHeight="1" x14ac:dyDescent="0.35">
      <c r="A61" s="403"/>
      <c r="B61" s="386" t="s">
        <v>462</v>
      </c>
      <c r="D61" s="405"/>
      <c r="E61" s="405"/>
      <c r="F61" s="405"/>
      <c r="G61" s="405"/>
      <c r="H61" s="405"/>
      <c r="I61" s="405"/>
      <c r="J61" s="405"/>
      <c r="K61" s="405"/>
      <c r="L61" s="405"/>
    </row>
    <row r="62" spans="1:14" ht="13" thickBot="1" x14ac:dyDescent="0.3">
      <c r="B62" s="37"/>
      <c r="C62" s="37"/>
      <c r="D62" s="37"/>
      <c r="E62" s="37"/>
      <c r="F62" s="37"/>
      <c r="G62" s="37"/>
      <c r="H62" s="37"/>
      <c r="I62" s="37"/>
      <c r="J62" s="37"/>
      <c r="K62" s="37"/>
      <c r="L62" s="37"/>
    </row>
    <row r="63" spans="1:14" s="366" customFormat="1" ht="34" customHeight="1" x14ac:dyDescent="0.3">
      <c r="A63" s="406"/>
      <c r="B63" s="493" t="s">
        <v>320</v>
      </c>
      <c r="C63" s="494" t="s">
        <v>321</v>
      </c>
      <c r="D63" s="494" t="s">
        <v>322</v>
      </c>
      <c r="E63" s="494" t="s">
        <v>323</v>
      </c>
      <c r="F63" s="494"/>
      <c r="G63" s="494" t="s">
        <v>10</v>
      </c>
      <c r="H63" s="494" t="s">
        <v>324</v>
      </c>
      <c r="I63" s="494" t="s">
        <v>325</v>
      </c>
      <c r="J63" s="494" t="s">
        <v>326</v>
      </c>
      <c r="K63" s="495" t="s">
        <v>327</v>
      </c>
      <c r="L63" s="37"/>
    </row>
    <row r="64" spans="1:14" s="366" customFormat="1" ht="34" customHeight="1" x14ac:dyDescent="0.3">
      <c r="A64" s="406"/>
      <c r="B64" s="534" t="s">
        <v>146</v>
      </c>
      <c r="C64" s="390" t="s">
        <v>195</v>
      </c>
      <c r="D64" s="390" t="s">
        <v>200</v>
      </c>
      <c r="E64" s="390">
        <v>55633</v>
      </c>
      <c r="F64" s="390"/>
      <c r="G64" s="390" t="s">
        <v>25</v>
      </c>
      <c r="H64" s="391"/>
      <c r="I64" s="390">
        <v>208.9939</v>
      </c>
      <c r="J64" s="390"/>
      <c r="K64" s="506" t="s">
        <v>337</v>
      </c>
      <c r="L64" s="37"/>
    </row>
    <row r="65" spans="1:12" s="366" customFormat="1" ht="34" customHeight="1" x14ac:dyDescent="0.3">
      <c r="A65" s="406"/>
      <c r="B65" s="534" t="s">
        <v>146</v>
      </c>
      <c r="C65" s="390" t="s">
        <v>201</v>
      </c>
      <c r="D65" s="390" t="s">
        <v>202</v>
      </c>
      <c r="E65" s="390">
        <v>39</v>
      </c>
      <c r="F65" s="390"/>
      <c r="G65" s="390" t="s">
        <v>175</v>
      </c>
      <c r="H65" s="391"/>
      <c r="I65" s="390">
        <v>12.7569</v>
      </c>
      <c r="J65" s="390"/>
      <c r="K65" s="506" t="s">
        <v>330</v>
      </c>
      <c r="L65" s="37"/>
    </row>
    <row r="66" spans="1:12" s="366" customFormat="1" ht="34" customHeight="1" x14ac:dyDescent="0.3">
      <c r="A66" s="406"/>
      <c r="B66" s="534" t="s">
        <v>146</v>
      </c>
      <c r="C66" s="390" t="s">
        <v>201</v>
      </c>
      <c r="D66" s="390" t="s">
        <v>203</v>
      </c>
      <c r="E66" s="390">
        <v>208</v>
      </c>
      <c r="F66" s="390"/>
      <c r="G66" s="390" t="s">
        <v>175</v>
      </c>
      <c r="H66" s="391"/>
      <c r="I66" s="390">
        <v>51.450899999999997</v>
      </c>
      <c r="J66" s="390"/>
      <c r="K66" s="506" t="s">
        <v>330</v>
      </c>
      <c r="L66" s="37"/>
    </row>
    <row r="67" spans="1:12" s="366" customFormat="1" ht="34" customHeight="1" x14ac:dyDescent="0.3">
      <c r="A67" s="406"/>
      <c r="B67" s="534" t="s">
        <v>146</v>
      </c>
      <c r="C67" s="390" t="s">
        <v>201</v>
      </c>
      <c r="D67" s="390" t="s">
        <v>204</v>
      </c>
      <c r="E67" s="390">
        <v>54</v>
      </c>
      <c r="F67" s="390"/>
      <c r="G67" s="390" t="s">
        <v>175</v>
      </c>
      <c r="H67" s="391"/>
      <c r="I67" s="390">
        <v>12.1282</v>
      </c>
      <c r="J67" s="390"/>
      <c r="K67" s="506" t="s">
        <v>330</v>
      </c>
      <c r="L67" s="37"/>
    </row>
    <row r="68" spans="1:12" s="366" customFormat="1" ht="34" customHeight="1" x14ac:dyDescent="0.3">
      <c r="A68" s="406"/>
      <c r="B68" s="534" t="s">
        <v>157</v>
      </c>
      <c r="C68" s="390" t="s">
        <v>172</v>
      </c>
      <c r="D68" s="390" t="s">
        <v>205</v>
      </c>
      <c r="E68" s="390">
        <v>375</v>
      </c>
      <c r="F68" s="390"/>
      <c r="G68" s="390" t="s">
        <v>171</v>
      </c>
      <c r="H68" s="391"/>
      <c r="I68" s="390">
        <v>1.4785999999999999</v>
      </c>
      <c r="J68" s="390"/>
      <c r="K68" s="506" t="s">
        <v>338</v>
      </c>
      <c r="L68" s="37"/>
    </row>
    <row r="69" spans="1:12" s="366" customFormat="1" ht="34" customHeight="1" x14ac:dyDescent="0.3">
      <c r="A69" s="406"/>
      <c r="B69" s="534" t="s">
        <v>146</v>
      </c>
      <c r="C69" s="390" t="s">
        <v>206</v>
      </c>
      <c r="D69" s="390" t="s">
        <v>207</v>
      </c>
      <c r="E69" s="390">
        <v>1410</v>
      </c>
      <c r="F69" s="390"/>
      <c r="G69" s="390" t="s">
        <v>25</v>
      </c>
      <c r="H69" s="391"/>
      <c r="I69" s="390">
        <v>117.8732</v>
      </c>
      <c r="J69" s="390"/>
      <c r="K69" s="506" t="s">
        <v>337</v>
      </c>
      <c r="L69" s="37"/>
    </row>
    <row r="70" spans="1:12" s="366" customFormat="1" ht="34" customHeight="1" x14ac:dyDescent="0.3">
      <c r="A70" s="406"/>
      <c r="B70" s="534" t="s">
        <v>146</v>
      </c>
      <c r="C70" s="390" t="s">
        <v>206</v>
      </c>
      <c r="D70" s="390" t="s">
        <v>208</v>
      </c>
      <c r="E70" s="390">
        <v>2495</v>
      </c>
      <c r="F70" s="390"/>
      <c r="G70" s="390" t="s">
        <v>25</v>
      </c>
      <c r="H70" s="391"/>
      <c r="I70" s="390">
        <v>285.32069999999999</v>
      </c>
      <c r="J70" s="390"/>
      <c r="K70" s="506" t="s">
        <v>337</v>
      </c>
      <c r="L70" s="37"/>
    </row>
    <row r="71" spans="1:12" s="366" customFormat="1" ht="34" customHeight="1" x14ac:dyDescent="0.3">
      <c r="A71" s="406"/>
      <c r="B71" s="534" t="s">
        <v>157</v>
      </c>
      <c r="C71" s="390" t="s">
        <v>172</v>
      </c>
      <c r="D71" s="390" t="s">
        <v>205</v>
      </c>
      <c r="E71" s="390">
        <v>3905</v>
      </c>
      <c r="F71" s="390"/>
      <c r="G71" s="390" t="s">
        <v>171</v>
      </c>
      <c r="H71" s="391"/>
      <c r="I71" s="390">
        <v>15.397399999999999</v>
      </c>
      <c r="J71" s="390"/>
      <c r="K71" s="506" t="s">
        <v>338</v>
      </c>
      <c r="L71" s="37"/>
    </row>
    <row r="72" spans="1:12" s="366" customFormat="1" ht="34" customHeight="1" x14ac:dyDescent="0.3">
      <c r="A72" s="406"/>
      <c r="B72" s="534" t="s">
        <v>146</v>
      </c>
      <c r="C72" s="390" t="s">
        <v>206</v>
      </c>
      <c r="D72" s="390" t="s">
        <v>209</v>
      </c>
      <c r="E72" s="390">
        <v>192</v>
      </c>
      <c r="F72" s="390"/>
      <c r="G72" s="390" t="s">
        <v>25</v>
      </c>
      <c r="H72" s="391"/>
      <c r="I72" s="390">
        <v>64.621399999999994</v>
      </c>
      <c r="J72" s="390"/>
      <c r="K72" s="506" t="s">
        <v>339</v>
      </c>
      <c r="L72" s="37"/>
    </row>
    <row r="73" spans="1:12" s="366" customFormat="1" ht="34" customHeight="1" x14ac:dyDescent="0.3">
      <c r="A73" s="406"/>
      <c r="B73" s="534" t="s">
        <v>148</v>
      </c>
      <c r="C73" s="390" t="s">
        <v>210</v>
      </c>
      <c r="D73" s="390" t="s">
        <v>211</v>
      </c>
      <c r="E73" s="390">
        <v>1797</v>
      </c>
      <c r="F73" s="390"/>
      <c r="G73" s="390" t="s">
        <v>25</v>
      </c>
      <c r="H73" s="391"/>
      <c r="I73" s="390">
        <v>128.03270000000001</v>
      </c>
      <c r="J73" s="390"/>
      <c r="K73" s="506" t="s">
        <v>338</v>
      </c>
      <c r="L73" s="37"/>
    </row>
    <row r="74" spans="1:12" s="366" customFormat="1" ht="34" customHeight="1" x14ac:dyDescent="0.3">
      <c r="A74" s="406"/>
      <c r="B74" s="534" t="s">
        <v>148</v>
      </c>
      <c r="C74" s="390" t="s">
        <v>210</v>
      </c>
      <c r="D74" s="390" t="s">
        <v>212</v>
      </c>
      <c r="E74" s="390">
        <v>1347</v>
      </c>
      <c r="F74" s="390"/>
      <c r="G74" s="390" t="s">
        <v>25</v>
      </c>
      <c r="H74" s="391"/>
      <c r="I74" s="390">
        <v>174.63589999999999</v>
      </c>
      <c r="J74" s="390"/>
      <c r="K74" s="506" t="s">
        <v>338</v>
      </c>
      <c r="L74" s="37"/>
    </row>
    <row r="75" spans="1:12" s="366" customFormat="1" ht="34" customHeight="1" x14ac:dyDescent="0.3">
      <c r="A75" s="406"/>
      <c r="B75" s="534" t="s">
        <v>148</v>
      </c>
      <c r="C75" s="390" t="s">
        <v>210</v>
      </c>
      <c r="D75" s="390" t="s">
        <v>213</v>
      </c>
      <c r="E75" s="390">
        <v>90</v>
      </c>
      <c r="F75" s="390"/>
      <c r="G75" s="390" t="s">
        <v>25</v>
      </c>
      <c r="H75" s="391"/>
      <c r="I75" s="390">
        <v>18.448599999999999</v>
      </c>
      <c r="J75" s="390"/>
      <c r="K75" s="506" t="s">
        <v>338</v>
      </c>
      <c r="L75" s="37"/>
    </row>
    <row r="76" spans="1:12" ht="37.5" x14ac:dyDescent="0.25">
      <c r="B76" s="534" t="s">
        <v>148</v>
      </c>
      <c r="C76" s="390" t="s">
        <v>210</v>
      </c>
      <c r="D76" s="390" t="s">
        <v>214</v>
      </c>
      <c r="E76" s="390">
        <v>157</v>
      </c>
      <c r="F76" s="390"/>
      <c r="G76" s="390" t="s">
        <v>25</v>
      </c>
      <c r="H76" s="391"/>
      <c r="I76" s="390">
        <v>65.556899999999999</v>
      </c>
      <c r="J76" s="390"/>
      <c r="K76" s="506" t="s">
        <v>338</v>
      </c>
      <c r="L76" s="37"/>
    </row>
    <row r="77" spans="1:12" ht="37.5" x14ac:dyDescent="0.25">
      <c r="B77" s="534" t="s">
        <v>148</v>
      </c>
      <c r="C77" s="390" t="s">
        <v>167</v>
      </c>
      <c r="D77" s="390" t="s">
        <v>215</v>
      </c>
      <c r="E77" s="390">
        <v>11531</v>
      </c>
      <c r="F77" s="390"/>
      <c r="G77" s="390" t="s">
        <v>25</v>
      </c>
      <c r="H77" s="391"/>
      <c r="I77" s="390">
        <v>68.626300000000001</v>
      </c>
      <c r="J77" s="390"/>
      <c r="K77" s="506" t="s">
        <v>339</v>
      </c>
      <c r="L77" s="37"/>
    </row>
    <row r="78" spans="1:12" ht="37.5" x14ac:dyDescent="0.25">
      <c r="B78" s="534" t="s">
        <v>148</v>
      </c>
      <c r="C78" s="390" t="s">
        <v>167</v>
      </c>
      <c r="D78" s="390" t="s">
        <v>216</v>
      </c>
      <c r="E78" s="390">
        <v>9951</v>
      </c>
      <c r="F78" s="390"/>
      <c r="G78" s="390" t="s">
        <v>25</v>
      </c>
      <c r="H78" s="391"/>
      <c r="I78" s="390">
        <v>105.91370000000001</v>
      </c>
      <c r="J78" s="390"/>
      <c r="K78" s="506" t="s">
        <v>339</v>
      </c>
      <c r="L78" s="37"/>
    </row>
    <row r="79" spans="1:12" ht="37.5" x14ac:dyDescent="0.25">
      <c r="B79" s="534" t="s">
        <v>148</v>
      </c>
      <c r="C79" s="390" t="s">
        <v>167</v>
      </c>
      <c r="D79" s="390" t="s">
        <v>217</v>
      </c>
      <c r="E79" s="390">
        <v>11183</v>
      </c>
      <c r="F79" s="390"/>
      <c r="G79" s="390" t="s">
        <v>25</v>
      </c>
      <c r="H79" s="391"/>
      <c r="I79" s="390">
        <v>211.6027</v>
      </c>
      <c r="J79" s="390"/>
      <c r="K79" s="506" t="s">
        <v>339</v>
      </c>
      <c r="L79" s="37"/>
    </row>
    <row r="80" spans="1:12" ht="37.5" x14ac:dyDescent="0.25">
      <c r="B80" s="534" t="s">
        <v>148</v>
      </c>
      <c r="C80" s="390" t="s">
        <v>167</v>
      </c>
      <c r="D80" s="390" t="s">
        <v>218</v>
      </c>
      <c r="E80" s="390">
        <v>4436</v>
      </c>
      <c r="F80" s="390"/>
      <c r="G80" s="390" t="s">
        <v>25</v>
      </c>
      <c r="H80" s="391"/>
      <c r="I80" s="390">
        <v>124.81570000000001</v>
      </c>
      <c r="J80" s="390"/>
      <c r="K80" s="506" t="s">
        <v>339</v>
      </c>
      <c r="L80" s="37"/>
    </row>
    <row r="81" spans="2:12" ht="29.15" customHeight="1" x14ac:dyDescent="0.25">
      <c r="B81" s="534" t="s">
        <v>157</v>
      </c>
      <c r="C81" s="390" t="s">
        <v>172</v>
      </c>
      <c r="D81" s="390" t="s">
        <v>173</v>
      </c>
      <c r="E81" s="390">
        <v>174</v>
      </c>
      <c r="F81" s="390"/>
      <c r="G81" s="390" t="s">
        <v>171</v>
      </c>
      <c r="H81" s="391"/>
      <c r="I81" s="390">
        <v>44.462699999999998</v>
      </c>
      <c r="J81" s="390"/>
      <c r="K81" s="506" t="s">
        <v>338</v>
      </c>
      <c r="L81" s="37"/>
    </row>
    <row r="82" spans="2:12" ht="29.15" customHeight="1" x14ac:dyDescent="0.25">
      <c r="B82" s="534" t="s">
        <v>151</v>
      </c>
      <c r="C82" s="390" t="s">
        <v>189</v>
      </c>
      <c r="D82" s="390" t="s">
        <v>747</v>
      </c>
      <c r="E82" s="390">
        <v>28532</v>
      </c>
      <c r="F82" s="390"/>
      <c r="G82" s="390" t="s">
        <v>187</v>
      </c>
      <c r="H82" s="391"/>
      <c r="I82" s="390">
        <v>11.5412</v>
      </c>
      <c r="J82" s="390"/>
      <c r="K82" s="506" t="s">
        <v>339</v>
      </c>
      <c r="L82" s="37"/>
    </row>
    <row r="83" spans="2:12" ht="29.15" customHeight="1" x14ac:dyDescent="0.25">
      <c r="B83" s="534" t="s">
        <v>148</v>
      </c>
      <c r="C83" s="390" t="s">
        <v>180</v>
      </c>
      <c r="D83" s="390" t="s">
        <v>219</v>
      </c>
      <c r="E83" s="390">
        <v>599</v>
      </c>
      <c r="F83" s="390"/>
      <c r="G83" s="390" t="s">
        <v>175</v>
      </c>
      <c r="H83" s="391"/>
      <c r="I83" s="390">
        <v>383.03649999999999</v>
      </c>
      <c r="J83" s="390"/>
      <c r="K83" s="506" t="s">
        <v>338</v>
      </c>
      <c r="L83" s="37"/>
    </row>
    <row r="84" spans="2:12" ht="50" x14ac:dyDescent="0.25">
      <c r="B84" s="534" t="s">
        <v>148</v>
      </c>
      <c r="C84" s="390" t="s">
        <v>180</v>
      </c>
      <c r="D84" s="390" t="s">
        <v>220</v>
      </c>
      <c r="E84" s="390">
        <v>20</v>
      </c>
      <c r="F84" s="390"/>
      <c r="G84" s="390" t="s">
        <v>175</v>
      </c>
      <c r="H84" s="391"/>
      <c r="I84" s="390">
        <v>20.372</v>
      </c>
      <c r="J84" s="390"/>
      <c r="K84" s="506" t="s">
        <v>338</v>
      </c>
      <c r="L84" s="37"/>
    </row>
    <row r="85" spans="2:12" ht="27" customHeight="1" x14ac:dyDescent="0.25">
      <c r="B85" s="534" t="s">
        <v>148</v>
      </c>
      <c r="C85" s="390" t="s">
        <v>180</v>
      </c>
      <c r="D85" s="390" t="s">
        <v>221</v>
      </c>
      <c r="E85" s="390">
        <v>48</v>
      </c>
      <c r="F85" s="390"/>
      <c r="G85" s="390" t="s">
        <v>175</v>
      </c>
      <c r="H85" s="391"/>
      <c r="I85" s="390">
        <v>36.845799999999997</v>
      </c>
      <c r="J85" s="390"/>
      <c r="K85" s="506" t="s">
        <v>338</v>
      </c>
      <c r="L85" s="37"/>
    </row>
    <row r="86" spans="2:12" ht="50" x14ac:dyDescent="0.25">
      <c r="B86" s="534" t="s">
        <v>148</v>
      </c>
      <c r="C86" s="390" t="s">
        <v>180</v>
      </c>
      <c r="D86" s="390" t="s">
        <v>222</v>
      </c>
      <c r="E86" s="390">
        <v>12</v>
      </c>
      <c r="F86" s="390"/>
      <c r="G86" s="390" t="s">
        <v>175</v>
      </c>
      <c r="H86" s="391"/>
      <c r="I86" s="390">
        <v>15.0427</v>
      </c>
      <c r="J86" s="390"/>
      <c r="K86" s="506" t="s">
        <v>338</v>
      </c>
      <c r="L86" s="37"/>
    </row>
    <row r="87" spans="2:12" ht="50" x14ac:dyDescent="0.25">
      <c r="B87" s="534" t="s">
        <v>148</v>
      </c>
      <c r="C87" s="390" t="s">
        <v>180</v>
      </c>
      <c r="D87" s="390" t="s">
        <v>223</v>
      </c>
      <c r="E87" s="390">
        <v>29</v>
      </c>
      <c r="F87" s="390"/>
      <c r="G87" s="390" t="s">
        <v>175</v>
      </c>
      <c r="H87" s="391"/>
      <c r="I87" s="390">
        <v>30.9848</v>
      </c>
      <c r="J87" s="390"/>
      <c r="K87" s="506" t="s">
        <v>338</v>
      </c>
      <c r="L87" s="37"/>
    </row>
    <row r="88" spans="2:12" ht="50" x14ac:dyDescent="0.25">
      <c r="B88" s="534" t="s">
        <v>148</v>
      </c>
      <c r="C88" s="390" t="s">
        <v>180</v>
      </c>
      <c r="D88" s="390" t="s">
        <v>224</v>
      </c>
      <c r="E88" s="390">
        <v>5</v>
      </c>
      <c r="F88" s="390"/>
      <c r="G88" s="390" t="s">
        <v>175</v>
      </c>
      <c r="H88" s="391"/>
      <c r="I88" s="390">
        <v>8.8933</v>
      </c>
      <c r="J88" s="390"/>
      <c r="K88" s="506" t="s">
        <v>338</v>
      </c>
      <c r="L88" s="37"/>
    </row>
    <row r="89" spans="2:12" ht="29.15" customHeight="1" x14ac:dyDescent="0.25">
      <c r="B89" s="534" t="s">
        <v>148</v>
      </c>
      <c r="C89" s="390" t="s">
        <v>225</v>
      </c>
      <c r="D89" s="390" t="s">
        <v>226</v>
      </c>
      <c r="E89" s="390">
        <v>195</v>
      </c>
      <c r="F89" s="390"/>
      <c r="G89" s="390" t="s">
        <v>175</v>
      </c>
      <c r="H89" s="391"/>
      <c r="I89" s="390">
        <v>17.0898</v>
      </c>
      <c r="J89" s="390"/>
      <c r="K89" s="506" t="s">
        <v>338</v>
      </c>
      <c r="L89" s="37"/>
    </row>
    <row r="90" spans="2:12" ht="25" x14ac:dyDescent="0.25">
      <c r="B90" s="534" t="s">
        <v>148</v>
      </c>
      <c r="C90" s="390" t="s">
        <v>227</v>
      </c>
      <c r="D90" s="390" t="s">
        <v>228</v>
      </c>
      <c r="E90" s="390">
        <v>122</v>
      </c>
      <c r="F90" s="390"/>
      <c r="G90" s="390" t="s">
        <v>175</v>
      </c>
      <c r="H90" s="391"/>
      <c r="I90" s="390">
        <v>6.4699999999999994E-2</v>
      </c>
      <c r="J90" s="390"/>
      <c r="K90" s="506" t="s">
        <v>340</v>
      </c>
      <c r="L90" s="37"/>
    </row>
    <row r="91" spans="2:12" s="393" customFormat="1" ht="25" customHeight="1" x14ac:dyDescent="0.25">
      <c r="B91" s="534" t="s">
        <v>148</v>
      </c>
      <c r="C91" s="390" t="s">
        <v>229</v>
      </c>
      <c r="D91" s="390" t="s">
        <v>230</v>
      </c>
      <c r="E91" s="390">
        <v>32</v>
      </c>
      <c r="F91" s="390"/>
      <c r="G91" s="390" t="s">
        <v>175</v>
      </c>
      <c r="H91" s="391"/>
      <c r="I91" s="390">
        <v>129.6</v>
      </c>
      <c r="J91" s="390"/>
      <c r="K91" s="506" t="s">
        <v>339</v>
      </c>
      <c r="L91" s="335"/>
    </row>
    <row r="92" spans="2:12" ht="25" x14ac:dyDescent="0.25">
      <c r="B92" s="534" t="s">
        <v>148</v>
      </c>
      <c r="C92" s="390" t="s">
        <v>227</v>
      </c>
      <c r="D92" s="390" t="s">
        <v>228</v>
      </c>
      <c r="E92" s="390">
        <v>80</v>
      </c>
      <c r="F92" s="390"/>
      <c r="G92" s="390" t="s">
        <v>175</v>
      </c>
      <c r="H92" s="391"/>
      <c r="I92" s="390">
        <v>4.24E-2</v>
      </c>
      <c r="J92" s="390"/>
      <c r="K92" s="506" t="s">
        <v>340</v>
      </c>
      <c r="L92" s="37"/>
    </row>
    <row r="93" spans="2:12" ht="37.5" x14ac:dyDescent="0.25">
      <c r="B93" s="534" t="s">
        <v>148</v>
      </c>
      <c r="C93" s="390" t="s">
        <v>210</v>
      </c>
      <c r="D93" s="390" t="s">
        <v>211</v>
      </c>
      <c r="E93" s="390">
        <v>700</v>
      </c>
      <c r="F93" s="390"/>
      <c r="G93" s="390" t="s">
        <v>25</v>
      </c>
      <c r="H93" s="391"/>
      <c r="I93" s="390">
        <v>49.873600000000003</v>
      </c>
      <c r="J93" s="390"/>
      <c r="K93" s="506" t="s">
        <v>338</v>
      </c>
      <c r="L93" s="37"/>
    </row>
    <row r="94" spans="2:12" ht="25" x14ac:dyDescent="0.25">
      <c r="B94" s="534" t="s">
        <v>150</v>
      </c>
      <c r="C94" s="390" t="s">
        <v>231</v>
      </c>
      <c r="D94" s="390" t="s">
        <v>232</v>
      </c>
      <c r="E94" s="390">
        <v>443519</v>
      </c>
      <c r="F94" s="390"/>
      <c r="G94" s="390" t="s">
        <v>187</v>
      </c>
      <c r="H94" s="391"/>
      <c r="I94" s="390">
        <v>1065.3326</v>
      </c>
      <c r="J94" s="390"/>
      <c r="K94" s="506" t="s">
        <v>328</v>
      </c>
      <c r="L94" s="37"/>
    </row>
    <row r="95" spans="2:12" ht="37.5" x14ac:dyDescent="0.25">
      <c r="B95" s="534" t="s">
        <v>150</v>
      </c>
      <c r="C95" s="390" t="s">
        <v>233</v>
      </c>
      <c r="D95" s="390" t="s">
        <v>234</v>
      </c>
      <c r="E95" s="390">
        <v>374223</v>
      </c>
      <c r="F95" s="390"/>
      <c r="G95" s="390" t="s">
        <v>187</v>
      </c>
      <c r="H95" s="391"/>
      <c r="I95" s="390">
        <v>9099.9807000000001</v>
      </c>
      <c r="J95" s="390"/>
      <c r="K95" s="506" t="s">
        <v>338</v>
      </c>
      <c r="L95" s="37"/>
    </row>
    <row r="96" spans="2:12" ht="50" x14ac:dyDescent="0.25">
      <c r="B96" s="534" t="s">
        <v>151</v>
      </c>
      <c r="C96" s="390" t="s">
        <v>235</v>
      </c>
      <c r="D96" s="390" t="s">
        <v>236</v>
      </c>
      <c r="E96" s="390">
        <v>374223</v>
      </c>
      <c r="F96" s="390"/>
      <c r="G96" s="390" t="s">
        <v>187</v>
      </c>
      <c r="H96" s="391">
        <v>2.04</v>
      </c>
      <c r="I96" s="390">
        <v>2552.9493000000002</v>
      </c>
      <c r="J96" s="390">
        <v>5208.0165999999999</v>
      </c>
      <c r="K96" s="506" t="s">
        <v>329</v>
      </c>
      <c r="L96" s="37"/>
    </row>
    <row r="97" spans="2:12" ht="50" x14ac:dyDescent="0.25">
      <c r="B97" s="534" t="s">
        <v>151</v>
      </c>
      <c r="C97" s="390" t="s">
        <v>235</v>
      </c>
      <c r="D97" s="390" t="s">
        <v>236</v>
      </c>
      <c r="E97" s="390">
        <v>374223</v>
      </c>
      <c r="F97" s="390"/>
      <c r="G97" s="390" t="s">
        <v>187</v>
      </c>
      <c r="H97" s="391">
        <v>2.04</v>
      </c>
      <c r="I97" s="390">
        <v>2552.9493000000002</v>
      </c>
      <c r="J97" s="390">
        <v>5208.0165999999999</v>
      </c>
      <c r="K97" s="506" t="s">
        <v>329</v>
      </c>
      <c r="L97" s="37"/>
    </row>
    <row r="98" spans="2:12" ht="50" x14ac:dyDescent="0.25">
      <c r="B98" s="534" t="s">
        <v>151</v>
      </c>
      <c r="C98" s="390" t="s">
        <v>235</v>
      </c>
      <c r="D98" s="390" t="s">
        <v>237</v>
      </c>
      <c r="E98" s="390">
        <v>374223</v>
      </c>
      <c r="F98" s="390"/>
      <c r="G98" s="390" t="s">
        <v>187</v>
      </c>
      <c r="H98" s="391">
        <v>2.04</v>
      </c>
      <c r="I98" s="390">
        <v>1982.6334999999999</v>
      </c>
      <c r="J98" s="390">
        <v>4044.5722000000001</v>
      </c>
      <c r="K98" s="506" t="s">
        <v>329</v>
      </c>
      <c r="L98" s="37"/>
    </row>
    <row r="99" spans="2:12" ht="37.5" x14ac:dyDescent="0.25">
      <c r="B99" s="534" t="s">
        <v>151</v>
      </c>
      <c r="C99" s="390" t="s">
        <v>238</v>
      </c>
      <c r="D99" s="390" t="s">
        <v>239</v>
      </c>
      <c r="E99" s="390">
        <v>1122669</v>
      </c>
      <c r="F99" s="390"/>
      <c r="G99" s="390" t="s">
        <v>187</v>
      </c>
      <c r="H99" s="391">
        <v>6</v>
      </c>
      <c r="I99" s="390">
        <v>337.92340000000002</v>
      </c>
      <c r="J99" s="390">
        <v>2027.5401999999999</v>
      </c>
      <c r="K99" s="506" t="s">
        <v>329</v>
      </c>
    </row>
    <row r="100" spans="2:12" ht="25" x14ac:dyDescent="0.25">
      <c r="B100" s="534" t="s">
        <v>147</v>
      </c>
      <c r="C100" s="390" t="s">
        <v>183</v>
      </c>
      <c r="D100" s="390" t="s">
        <v>184</v>
      </c>
      <c r="E100" s="390">
        <v>41713</v>
      </c>
      <c r="F100" s="390"/>
      <c r="G100" s="390" t="s">
        <v>25</v>
      </c>
      <c r="H100" s="391"/>
      <c r="I100" s="390">
        <v>2566.2004000000002</v>
      </c>
      <c r="J100" s="390"/>
      <c r="K100" s="506" t="s">
        <v>330</v>
      </c>
    </row>
    <row r="101" spans="2:12" ht="25" x14ac:dyDescent="0.25">
      <c r="B101" s="534" t="s">
        <v>147</v>
      </c>
      <c r="C101" s="390" t="s">
        <v>183</v>
      </c>
      <c r="D101" s="390" t="s">
        <v>240</v>
      </c>
      <c r="E101" s="390">
        <v>22094</v>
      </c>
      <c r="F101" s="390"/>
      <c r="G101" s="390" t="s">
        <v>25</v>
      </c>
      <c r="H101" s="391"/>
      <c r="I101" s="390">
        <v>2167.2093</v>
      </c>
      <c r="J101" s="390"/>
      <c r="K101" s="506" t="s">
        <v>330</v>
      </c>
      <c r="L101" s="300"/>
    </row>
    <row r="102" spans="2:12" ht="25" x14ac:dyDescent="0.25">
      <c r="B102" s="534" t="s">
        <v>147</v>
      </c>
      <c r="C102" s="390" t="s">
        <v>183</v>
      </c>
      <c r="D102" s="390" t="s">
        <v>241</v>
      </c>
      <c r="E102" s="390">
        <v>356</v>
      </c>
      <c r="F102" s="390"/>
      <c r="G102" s="390" t="s">
        <v>25</v>
      </c>
      <c r="H102" s="391"/>
      <c r="I102" s="390">
        <v>106.3728</v>
      </c>
      <c r="J102" s="390"/>
      <c r="K102" s="506" t="s">
        <v>338</v>
      </c>
    </row>
    <row r="103" spans="2:12" ht="25" x14ac:dyDescent="0.25">
      <c r="B103" s="534" t="s">
        <v>154</v>
      </c>
      <c r="C103" s="390" t="s">
        <v>242</v>
      </c>
      <c r="D103" s="390" t="s">
        <v>243</v>
      </c>
      <c r="E103" s="390">
        <v>39</v>
      </c>
      <c r="F103" s="390"/>
      <c r="G103" s="390" t="s">
        <v>175</v>
      </c>
      <c r="H103" s="391">
        <v>5</v>
      </c>
      <c r="I103" s="390">
        <v>0.92930000000000001</v>
      </c>
      <c r="J103" s="390">
        <v>4.6463999999999999</v>
      </c>
      <c r="K103" s="506" t="s">
        <v>339</v>
      </c>
    </row>
    <row r="104" spans="2:12" ht="25" x14ac:dyDescent="0.25">
      <c r="B104" s="534" t="s">
        <v>154</v>
      </c>
      <c r="C104" s="390" t="s">
        <v>242</v>
      </c>
      <c r="D104" s="390" t="s">
        <v>244</v>
      </c>
      <c r="E104" s="390">
        <v>44672</v>
      </c>
      <c r="F104" s="390"/>
      <c r="G104" s="390" t="s">
        <v>25</v>
      </c>
      <c r="H104" s="391">
        <v>5</v>
      </c>
      <c r="I104" s="390">
        <v>35.834400000000002</v>
      </c>
      <c r="J104" s="390">
        <v>179.172</v>
      </c>
      <c r="K104" s="506" t="s">
        <v>339</v>
      </c>
    </row>
    <row r="105" spans="2:12" ht="25" x14ac:dyDescent="0.25">
      <c r="B105" s="534" t="s">
        <v>154</v>
      </c>
      <c r="C105" s="390" t="s">
        <v>242</v>
      </c>
      <c r="D105" s="390" t="s">
        <v>245</v>
      </c>
      <c r="E105" s="390">
        <v>37931</v>
      </c>
      <c r="F105" s="390"/>
      <c r="G105" s="390" t="s">
        <v>25</v>
      </c>
      <c r="H105" s="391">
        <v>5</v>
      </c>
      <c r="I105" s="390">
        <v>33.467799999999997</v>
      </c>
      <c r="J105" s="390">
        <v>167.3389</v>
      </c>
      <c r="K105" s="506" t="s">
        <v>339</v>
      </c>
    </row>
    <row r="106" spans="2:12" ht="25" x14ac:dyDescent="0.25">
      <c r="B106" s="534" t="s">
        <v>154</v>
      </c>
      <c r="C106" s="390" t="s">
        <v>246</v>
      </c>
      <c r="D106" s="390" t="s">
        <v>247</v>
      </c>
      <c r="E106" s="390">
        <v>4</v>
      </c>
      <c r="F106" s="390"/>
      <c r="G106" s="390" t="s">
        <v>175</v>
      </c>
      <c r="H106" s="391">
        <v>0.9</v>
      </c>
      <c r="I106" s="390">
        <v>12.5367</v>
      </c>
      <c r="J106" s="390">
        <v>11.282999999999999</v>
      </c>
      <c r="K106" s="506" t="s">
        <v>341</v>
      </c>
    </row>
    <row r="107" spans="2:12" ht="25" x14ac:dyDescent="0.25">
      <c r="B107" s="534" t="s">
        <v>157</v>
      </c>
      <c r="C107" s="390" t="s">
        <v>172</v>
      </c>
      <c r="D107" s="390" t="s">
        <v>173</v>
      </c>
      <c r="E107" s="390">
        <v>376.79</v>
      </c>
      <c r="F107" s="390"/>
      <c r="G107" s="390" t="s">
        <v>171</v>
      </c>
      <c r="H107" s="391"/>
      <c r="I107" s="390">
        <v>96.282200000000003</v>
      </c>
      <c r="J107" s="390"/>
      <c r="K107" s="506" t="s">
        <v>338</v>
      </c>
    </row>
    <row r="108" spans="2:12" ht="25" x14ac:dyDescent="0.25">
      <c r="B108" s="534" t="s">
        <v>154</v>
      </c>
      <c r="C108" s="390" t="s">
        <v>248</v>
      </c>
      <c r="D108" s="390" t="s">
        <v>249</v>
      </c>
      <c r="E108" s="390">
        <v>7526</v>
      </c>
      <c r="F108" s="390"/>
      <c r="G108" s="390" t="s">
        <v>175</v>
      </c>
      <c r="H108" s="391">
        <v>1.5</v>
      </c>
      <c r="I108" s="390">
        <v>1.2456</v>
      </c>
      <c r="J108" s="390">
        <v>1.8683000000000001</v>
      </c>
      <c r="K108" s="506" t="s">
        <v>339</v>
      </c>
    </row>
    <row r="109" spans="2:12" ht="25" x14ac:dyDescent="0.25">
      <c r="B109" s="534" t="s">
        <v>154</v>
      </c>
      <c r="C109" s="390" t="s">
        <v>250</v>
      </c>
      <c r="D109" s="390" t="s">
        <v>251</v>
      </c>
      <c r="E109" s="390">
        <v>137</v>
      </c>
      <c r="F109" s="390"/>
      <c r="G109" s="390" t="s">
        <v>175</v>
      </c>
      <c r="H109" s="391"/>
      <c r="I109" s="390">
        <v>9.0700000000000003E-2</v>
      </c>
      <c r="J109" s="390"/>
      <c r="K109" s="506" t="s">
        <v>339</v>
      </c>
    </row>
    <row r="110" spans="2:12" ht="25" x14ac:dyDescent="0.25">
      <c r="B110" s="534" t="s">
        <v>157</v>
      </c>
      <c r="C110" s="390" t="s">
        <v>172</v>
      </c>
      <c r="D110" s="390" t="s">
        <v>173</v>
      </c>
      <c r="E110" s="390">
        <v>186</v>
      </c>
      <c r="F110" s="390"/>
      <c r="G110" s="390" t="s">
        <v>171</v>
      </c>
      <c r="H110" s="391"/>
      <c r="I110" s="390">
        <v>47.5291</v>
      </c>
      <c r="J110" s="390"/>
      <c r="K110" s="506" t="s">
        <v>338</v>
      </c>
    </row>
    <row r="111" spans="2:12" ht="25" x14ac:dyDescent="0.25">
      <c r="B111" s="534" t="s">
        <v>148</v>
      </c>
      <c r="C111" s="390" t="s">
        <v>180</v>
      </c>
      <c r="D111" s="390" t="s">
        <v>188</v>
      </c>
      <c r="E111" s="390">
        <v>506</v>
      </c>
      <c r="F111" s="390"/>
      <c r="G111" s="390" t="s">
        <v>175</v>
      </c>
      <c r="H111" s="391"/>
      <c r="I111" s="390">
        <v>1269.5622000000001</v>
      </c>
      <c r="J111" s="390"/>
      <c r="K111" s="506" t="s">
        <v>338</v>
      </c>
    </row>
    <row r="112" spans="2:12" ht="25" x14ac:dyDescent="0.25">
      <c r="B112" s="534" t="s">
        <v>154</v>
      </c>
      <c r="C112" s="390" t="s">
        <v>246</v>
      </c>
      <c r="D112" s="390" t="s">
        <v>252</v>
      </c>
      <c r="E112" s="390">
        <v>790</v>
      </c>
      <c r="F112" s="390"/>
      <c r="G112" s="390" t="s">
        <v>187</v>
      </c>
      <c r="H112" s="391">
        <v>0.9</v>
      </c>
      <c r="I112" s="390">
        <v>109.02</v>
      </c>
      <c r="J112" s="390">
        <v>98.117999999999995</v>
      </c>
      <c r="K112" s="506" t="s">
        <v>330</v>
      </c>
    </row>
    <row r="113" spans="2:12" ht="25" x14ac:dyDescent="0.25">
      <c r="B113" s="534" t="s">
        <v>146</v>
      </c>
      <c r="C113" s="390" t="s">
        <v>195</v>
      </c>
      <c r="D113" s="390" t="s">
        <v>196</v>
      </c>
      <c r="E113" s="390">
        <v>6481</v>
      </c>
      <c r="F113" s="390"/>
      <c r="G113" s="390" t="s">
        <v>25</v>
      </c>
      <c r="H113" s="391"/>
      <c r="I113" s="390">
        <v>68.330500000000001</v>
      </c>
      <c r="J113" s="390"/>
      <c r="K113" s="506" t="s">
        <v>330</v>
      </c>
    </row>
    <row r="114" spans="2:12" ht="25" x14ac:dyDescent="0.25">
      <c r="B114" s="534" t="s">
        <v>155</v>
      </c>
      <c r="C114" s="390" t="s">
        <v>179</v>
      </c>
      <c r="D114" s="390" t="s">
        <v>253</v>
      </c>
      <c r="E114" s="390">
        <v>271968</v>
      </c>
      <c r="F114" s="390"/>
      <c r="G114" s="390" t="s">
        <v>25</v>
      </c>
      <c r="H114" s="391"/>
      <c r="I114" s="390">
        <v>1644.8625</v>
      </c>
      <c r="J114" s="390"/>
      <c r="K114" s="506" t="s">
        <v>339</v>
      </c>
    </row>
    <row r="115" spans="2:12" x14ac:dyDescent="0.25">
      <c r="B115" s="534" t="s">
        <v>149</v>
      </c>
      <c r="C115" s="390" t="s">
        <v>169</v>
      </c>
      <c r="D115" s="390" t="s">
        <v>254</v>
      </c>
      <c r="E115" s="390">
        <v>56554</v>
      </c>
      <c r="F115" s="390"/>
      <c r="G115" s="390" t="s">
        <v>171</v>
      </c>
      <c r="H115" s="391"/>
      <c r="I115" s="390">
        <v>214.08519999999999</v>
      </c>
      <c r="J115" s="390"/>
      <c r="K115" s="506" t="s">
        <v>328</v>
      </c>
    </row>
    <row r="116" spans="2:12" x14ac:dyDescent="0.25">
      <c r="B116" s="534" t="s">
        <v>149</v>
      </c>
      <c r="C116" s="390" t="s">
        <v>169</v>
      </c>
      <c r="D116" s="390" t="s">
        <v>254</v>
      </c>
      <c r="E116" s="390">
        <v>4603.2</v>
      </c>
      <c r="F116" s="390"/>
      <c r="G116" s="390" t="s">
        <v>171</v>
      </c>
      <c r="H116" s="391"/>
      <c r="I116" s="390">
        <v>17.4254</v>
      </c>
      <c r="J116" s="390"/>
      <c r="K116" s="506" t="s">
        <v>328</v>
      </c>
    </row>
    <row r="117" spans="2:12" x14ac:dyDescent="0.25">
      <c r="B117" s="534" t="s">
        <v>149</v>
      </c>
      <c r="C117" s="390" t="s">
        <v>169</v>
      </c>
      <c r="D117" s="390" t="s">
        <v>254</v>
      </c>
      <c r="E117" s="390">
        <v>1150.8</v>
      </c>
      <c r="F117" s="390"/>
      <c r="G117" s="390" t="s">
        <v>171</v>
      </c>
      <c r="H117" s="391"/>
      <c r="I117" s="390">
        <v>4.3563999999999998</v>
      </c>
      <c r="J117" s="390"/>
      <c r="K117" s="506" t="s">
        <v>328</v>
      </c>
    </row>
    <row r="118" spans="2:12" ht="37.5" x14ac:dyDescent="0.25">
      <c r="B118" s="534" t="s">
        <v>157</v>
      </c>
      <c r="C118" s="390" t="s">
        <v>255</v>
      </c>
      <c r="D118" s="390" t="s">
        <v>256</v>
      </c>
      <c r="E118" s="390">
        <v>17501</v>
      </c>
      <c r="F118" s="390"/>
      <c r="G118" s="390" t="s">
        <v>178</v>
      </c>
      <c r="H118" s="391"/>
      <c r="I118" s="390">
        <v>129.9974</v>
      </c>
      <c r="J118" s="390"/>
      <c r="K118" s="506" t="s">
        <v>328</v>
      </c>
    </row>
    <row r="119" spans="2:12" ht="37.5" x14ac:dyDescent="0.25">
      <c r="B119" s="534" t="s">
        <v>148</v>
      </c>
      <c r="C119" s="390" t="s">
        <v>182</v>
      </c>
      <c r="D119" s="390" t="s">
        <v>257</v>
      </c>
      <c r="E119" s="390">
        <v>31156</v>
      </c>
      <c r="F119" s="390"/>
      <c r="G119" s="390" t="s">
        <v>25</v>
      </c>
      <c r="H119" s="391"/>
      <c r="I119" s="390">
        <v>2311.1520999999998</v>
      </c>
      <c r="J119" s="390"/>
      <c r="K119" s="506" t="s">
        <v>339</v>
      </c>
    </row>
    <row r="120" spans="2:12" ht="13" thickBot="1" x14ac:dyDescent="0.3">
      <c r="B120" s="508" t="s">
        <v>344</v>
      </c>
      <c r="C120" s="509"/>
      <c r="D120" s="509"/>
      <c r="E120" s="509"/>
      <c r="F120" s="509"/>
      <c r="G120" s="509"/>
      <c r="H120" s="510"/>
      <c r="I120" s="511">
        <f>SUM(I64:I119)</f>
        <v>30843.762000000002</v>
      </c>
      <c r="J120" s="511">
        <f>SUM(J64:J119)</f>
        <v>16950.572199999995</v>
      </c>
      <c r="K120" s="501" t="s">
        <v>90</v>
      </c>
      <c r="L120" s="300"/>
    </row>
  </sheetData>
  <mergeCells count="27">
    <mergeCell ref="R4:R5"/>
    <mergeCell ref="B34:D34"/>
    <mergeCell ref="B4:B5"/>
    <mergeCell ref="C4:C5"/>
    <mergeCell ref="D4:D5"/>
    <mergeCell ref="G4:H4"/>
    <mergeCell ref="I7:L7"/>
    <mergeCell ref="B8:D8"/>
    <mergeCell ref="B29:G29"/>
    <mergeCell ref="B30:D30"/>
    <mergeCell ref="N4:O4"/>
    <mergeCell ref="P4:Q4"/>
    <mergeCell ref="P5:Q5"/>
    <mergeCell ref="P6:Q6"/>
    <mergeCell ref="B40:D40"/>
    <mergeCell ref="B46:B47"/>
    <mergeCell ref="C46:D46"/>
    <mergeCell ref="I4:M4"/>
    <mergeCell ref="B10:C10"/>
    <mergeCell ref="B12:C12"/>
    <mergeCell ref="B11:C11"/>
    <mergeCell ref="E4:E5"/>
    <mergeCell ref="B13:B14"/>
    <mergeCell ref="B15:B16"/>
    <mergeCell ref="E46:F46"/>
    <mergeCell ref="B17:B20"/>
    <mergeCell ref="B21:B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014A235-814C-44E3-B01E-7D32C6DBC743}">
          <x14:formula1>
            <xm:f>'Task 3 - Material summary'!$B$7:$B$14</xm:f>
          </x14:formula1>
          <xm:sqref>K64:K120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965A-2A14-453D-8475-F4891E88564C}">
  <sheetPr>
    <tabColor theme="0"/>
  </sheetPr>
  <dimension ref="A1:L79"/>
  <sheetViews>
    <sheetView showGridLines="0" topLeftCell="A64" workbookViewId="0"/>
  </sheetViews>
  <sheetFormatPr defaultRowHeight="14.5" x14ac:dyDescent="0.35"/>
  <cols>
    <col min="2" max="2" width="28.453125" customWidth="1"/>
    <col min="3" max="3" width="14.54296875" customWidth="1"/>
    <col min="4" max="4" width="41.54296875" customWidth="1"/>
    <col min="5" max="5" width="19.26953125" customWidth="1"/>
    <col min="6" max="6" width="15.453125" hidden="1" customWidth="1"/>
    <col min="7" max="7" width="17.453125" style="284" hidden="1" customWidth="1"/>
    <col min="8" max="9" width="18.54296875" style="284" hidden="1" customWidth="1"/>
    <col min="10" max="10" width="17.81640625" style="284" hidden="1" customWidth="1"/>
    <col min="11" max="11" width="18" style="284" hidden="1" customWidth="1"/>
    <col min="12" max="12" width="35.81640625" style="278" customWidth="1"/>
  </cols>
  <sheetData>
    <row r="1" spans="1:12" s="1" customFormat="1" ht="25" customHeight="1" x14ac:dyDescent="0.35">
      <c r="A1" s="4"/>
      <c r="B1" s="266" t="s">
        <v>621</v>
      </c>
      <c r="C1" s="4"/>
      <c r="D1" s="8"/>
      <c r="E1" s="8"/>
      <c r="F1" s="8"/>
      <c r="G1" s="8"/>
      <c r="H1" s="8"/>
      <c r="I1" s="8"/>
      <c r="J1" s="8"/>
      <c r="K1" s="8"/>
    </row>
    <row r="2" spans="1:12" s="1" customFormat="1" ht="49" customHeight="1" x14ac:dyDescent="0.35">
      <c r="B2" s="737" t="s">
        <v>617</v>
      </c>
      <c r="C2" s="737"/>
      <c r="D2" s="737"/>
      <c r="E2" s="737"/>
      <c r="F2" s="737"/>
      <c r="G2" s="737"/>
      <c r="H2" s="737"/>
    </row>
    <row r="3" spans="1:12" s="256" customFormat="1" ht="18" customHeight="1" x14ac:dyDescent="0.35">
      <c r="B3" s="294"/>
      <c r="C3" s="254"/>
      <c r="D3" s="254"/>
      <c r="E3" s="254"/>
      <c r="F3" s="255"/>
      <c r="G3" s="255"/>
    </row>
    <row r="4" spans="1:12" ht="29" x14ac:dyDescent="0.35">
      <c r="B4" s="630" t="s">
        <v>508</v>
      </c>
      <c r="C4" s="630" t="s">
        <v>509</v>
      </c>
      <c r="D4" s="630" t="s">
        <v>456</v>
      </c>
      <c r="E4" s="630" t="s">
        <v>510</v>
      </c>
      <c r="F4" s="630" t="s">
        <v>511</v>
      </c>
      <c r="G4" s="630" t="s">
        <v>512</v>
      </c>
      <c r="H4" s="630" t="s">
        <v>513</v>
      </c>
      <c r="I4" s="630" t="s">
        <v>514</v>
      </c>
      <c r="J4" s="630" t="s">
        <v>515</v>
      </c>
      <c r="K4" s="630" t="s">
        <v>516</v>
      </c>
      <c r="L4" s="630" t="s">
        <v>75</v>
      </c>
    </row>
    <row r="5" spans="1:12" x14ac:dyDescent="0.35">
      <c r="B5" s="286" t="s">
        <v>517</v>
      </c>
      <c r="C5" s="287"/>
      <c r="D5" s="287"/>
      <c r="E5" s="287"/>
      <c r="F5" s="287"/>
      <c r="G5" s="288"/>
      <c r="H5" s="288"/>
      <c r="I5" s="288"/>
      <c r="J5" s="288"/>
      <c r="K5" s="288"/>
      <c r="L5" s="289"/>
    </row>
    <row r="6" spans="1:12" ht="43.5" x14ac:dyDescent="0.35">
      <c r="B6" s="285" t="s">
        <v>518</v>
      </c>
      <c r="C6" s="290" t="s">
        <v>291</v>
      </c>
      <c r="D6" s="279" t="s">
        <v>519</v>
      </c>
      <c r="E6" s="279" t="s">
        <v>520</v>
      </c>
      <c r="F6" s="281" t="s">
        <v>521</v>
      </c>
      <c r="G6" s="282" t="s">
        <v>522</v>
      </c>
      <c r="H6" s="282">
        <v>121</v>
      </c>
      <c r="I6" s="282">
        <v>20.5</v>
      </c>
      <c r="J6" s="282" t="s">
        <v>523</v>
      </c>
      <c r="K6" s="282" t="s">
        <v>524</v>
      </c>
      <c r="L6" s="170">
        <f>H6*I6</f>
        <v>2480.5</v>
      </c>
    </row>
    <row r="7" spans="1:12" ht="29" x14ac:dyDescent="0.35">
      <c r="B7" s="285" t="s">
        <v>518</v>
      </c>
      <c r="C7" s="290" t="s">
        <v>292</v>
      </c>
      <c r="D7" s="279" t="s">
        <v>525</v>
      </c>
      <c r="E7" s="279" t="s">
        <v>526</v>
      </c>
      <c r="F7" s="281" t="s">
        <v>527</v>
      </c>
      <c r="G7" s="282" t="s">
        <v>522</v>
      </c>
      <c r="H7" s="282">
        <v>43</v>
      </c>
      <c r="I7" s="282">
        <v>20.5</v>
      </c>
      <c r="J7" s="282" t="s">
        <v>523</v>
      </c>
      <c r="K7" s="282" t="s">
        <v>528</v>
      </c>
      <c r="L7" s="170">
        <f t="shared" ref="L7:L9" si="0">H7*I7</f>
        <v>881.5</v>
      </c>
    </row>
    <row r="8" spans="1:12" ht="29" x14ac:dyDescent="0.35">
      <c r="B8" s="285" t="s">
        <v>518</v>
      </c>
      <c r="C8" s="290" t="s">
        <v>293</v>
      </c>
      <c r="D8" s="279" t="s">
        <v>529</v>
      </c>
      <c r="E8" s="279" t="s">
        <v>530</v>
      </c>
      <c r="F8" s="281" t="s">
        <v>531</v>
      </c>
      <c r="G8" s="282" t="s">
        <v>522</v>
      </c>
      <c r="H8" s="282">
        <v>49</v>
      </c>
      <c r="I8" s="282">
        <v>20.5</v>
      </c>
      <c r="J8" s="282" t="s">
        <v>523</v>
      </c>
      <c r="K8" s="282" t="s">
        <v>532</v>
      </c>
      <c r="L8" s="170">
        <f t="shared" si="0"/>
        <v>1004.5</v>
      </c>
    </row>
    <row r="9" spans="1:12" ht="29" x14ac:dyDescent="0.35">
      <c r="B9" s="285" t="s">
        <v>518</v>
      </c>
      <c r="C9" s="290" t="s">
        <v>371</v>
      </c>
      <c r="D9" s="279" t="s">
        <v>533</v>
      </c>
      <c r="E9" s="279" t="s">
        <v>534</v>
      </c>
      <c r="F9" s="281" t="s">
        <v>535</v>
      </c>
      <c r="G9" s="282" t="s">
        <v>522</v>
      </c>
      <c r="H9" s="282">
        <v>98</v>
      </c>
      <c r="I9" s="282">
        <v>20.5</v>
      </c>
      <c r="J9" s="282" t="s">
        <v>523</v>
      </c>
      <c r="K9" s="282" t="s">
        <v>532</v>
      </c>
      <c r="L9" s="170">
        <f t="shared" si="0"/>
        <v>2009</v>
      </c>
    </row>
    <row r="10" spans="1:12" x14ac:dyDescent="0.35">
      <c r="B10" s="286" t="s">
        <v>21</v>
      </c>
      <c r="C10" s="287"/>
      <c r="D10" s="287"/>
      <c r="E10" s="287"/>
      <c r="F10" s="287"/>
      <c r="G10" s="288"/>
      <c r="H10" s="288"/>
      <c r="I10" s="288"/>
      <c r="J10" s="288"/>
      <c r="K10" s="288"/>
      <c r="L10" s="289"/>
    </row>
    <row r="11" spans="1:12" ht="29" x14ac:dyDescent="0.35">
      <c r="B11" s="285" t="s">
        <v>536</v>
      </c>
      <c r="C11" s="291" t="s">
        <v>288</v>
      </c>
      <c r="D11" s="279" t="s">
        <v>537</v>
      </c>
      <c r="E11" s="279" t="s">
        <v>538</v>
      </c>
      <c r="F11" s="281" t="s">
        <v>539</v>
      </c>
      <c r="G11" s="282" t="s">
        <v>522</v>
      </c>
      <c r="H11" s="282">
        <v>45</v>
      </c>
      <c r="I11" s="282">
        <v>9.4</v>
      </c>
      <c r="J11" s="282">
        <v>5.3</v>
      </c>
      <c r="K11" s="282" t="s">
        <v>540</v>
      </c>
      <c r="L11" s="170">
        <f>H11*I11</f>
        <v>423</v>
      </c>
    </row>
    <row r="12" spans="1:12" ht="29" x14ac:dyDescent="0.35">
      <c r="B12" s="285" t="s">
        <v>536</v>
      </c>
      <c r="C12" s="290" t="s">
        <v>366</v>
      </c>
      <c r="D12" s="279" t="s">
        <v>541</v>
      </c>
      <c r="E12" s="279" t="s">
        <v>542</v>
      </c>
      <c r="F12" s="281" t="s">
        <v>539</v>
      </c>
      <c r="G12" s="282" t="s">
        <v>522</v>
      </c>
      <c r="H12" s="282">
        <v>50.8</v>
      </c>
      <c r="I12" s="282">
        <v>7.1</v>
      </c>
      <c r="J12" s="282">
        <v>5.3</v>
      </c>
      <c r="K12" s="282" t="s">
        <v>543</v>
      </c>
      <c r="L12" s="170">
        <f t="shared" ref="L12:L14" si="1">H12*I12</f>
        <v>360.67999999999995</v>
      </c>
    </row>
    <row r="13" spans="1:12" ht="29" x14ac:dyDescent="0.35">
      <c r="B13" s="285" t="s">
        <v>536</v>
      </c>
      <c r="C13" s="290" t="s">
        <v>367</v>
      </c>
      <c r="D13" s="279" t="s">
        <v>544</v>
      </c>
      <c r="E13" s="279" t="s">
        <v>545</v>
      </c>
      <c r="F13" s="281" t="s">
        <v>539</v>
      </c>
      <c r="G13" s="282" t="s">
        <v>522</v>
      </c>
      <c r="H13" s="282">
        <v>56.3</v>
      </c>
      <c r="I13" s="282">
        <v>8.6</v>
      </c>
      <c r="J13" s="282">
        <v>5.3</v>
      </c>
      <c r="K13" s="282" t="s">
        <v>543</v>
      </c>
      <c r="L13" s="170">
        <f t="shared" si="1"/>
        <v>484.17999999999995</v>
      </c>
    </row>
    <row r="14" spans="1:12" ht="29" x14ac:dyDescent="0.35">
      <c r="B14" s="285" t="s">
        <v>536</v>
      </c>
      <c r="C14" s="290" t="s">
        <v>289</v>
      </c>
      <c r="D14" s="279" t="s">
        <v>546</v>
      </c>
      <c r="E14" s="279" t="s">
        <v>547</v>
      </c>
      <c r="F14" s="281" t="s">
        <v>539</v>
      </c>
      <c r="G14" s="282" t="s">
        <v>522</v>
      </c>
      <c r="H14" s="282">
        <v>46.5</v>
      </c>
      <c r="I14" s="282">
        <v>13.6</v>
      </c>
      <c r="J14" s="282">
        <v>5.3</v>
      </c>
      <c r="K14" s="282" t="s">
        <v>548</v>
      </c>
      <c r="L14" s="170">
        <f t="shared" si="1"/>
        <v>632.4</v>
      </c>
    </row>
    <row r="15" spans="1:12" x14ac:dyDescent="0.35">
      <c r="B15" s="286" t="s">
        <v>549</v>
      </c>
      <c r="C15" s="287"/>
      <c r="D15" s="287"/>
      <c r="E15" s="287"/>
      <c r="F15" s="287"/>
      <c r="G15" s="288"/>
      <c r="H15" s="288"/>
      <c r="I15" s="288"/>
      <c r="J15" s="288"/>
      <c r="K15" s="288"/>
      <c r="L15" s="289"/>
    </row>
    <row r="16" spans="1:12" ht="28.5" x14ac:dyDescent="0.35">
      <c r="B16" s="285" t="s">
        <v>550</v>
      </c>
      <c r="C16" s="290" t="s">
        <v>263</v>
      </c>
      <c r="D16" s="279" t="s">
        <v>551</v>
      </c>
      <c r="E16" s="279" t="s">
        <v>552</v>
      </c>
      <c r="F16" s="281" t="s">
        <v>553</v>
      </c>
      <c r="G16" s="282" t="s">
        <v>522</v>
      </c>
      <c r="H16" s="282">
        <v>15</v>
      </c>
      <c r="I16" s="282">
        <v>20.5</v>
      </c>
      <c r="J16" s="282">
        <v>4.5</v>
      </c>
      <c r="K16" s="282" t="s">
        <v>554</v>
      </c>
      <c r="L16" s="170">
        <f>H16*I16</f>
        <v>307.5</v>
      </c>
    </row>
    <row r="17" spans="2:12" x14ac:dyDescent="0.35">
      <c r="B17" s="285" t="s">
        <v>550</v>
      </c>
      <c r="C17" s="290" t="s">
        <v>295</v>
      </c>
      <c r="D17" s="279" t="s">
        <v>555</v>
      </c>
      <c r="E17" s="279" t="s">
        <v>556</v>
      </c>
      <c r="F17" s="281" t="s">
        <v>553</v>
      </c>
      <c r="G17" s="282" t="s">
        <v>522</v>
      </c>
      <c r="H17" s="282">
        <v>14.2</v>
      </c>
      <c r="I17" s="282">
        <v>20.5</v>
      </c>
      <c r="J17" s="282">
        <v>4.5</v>
      </c>
      <c r="K17" s="282" t="s">
        <v>557</v>
      </c>
      <c r="L17" s="170">
        <f t="shared" ref="L17:L49" si="2">H17*I17</f>
        <v>291.09999999999997</v>
      </c>
    </row>
    <row r="18" spans="2:12" x14ac:dyDescent="0.35">
      <c r="B18" s="285" t="s">
        <v>550</v>
      </c>
      <c r="C18" s="290" t="s">
        <v>558</v>
      </c>
      <c r="D18" s="279" t="s">
        <v>559</v>
      </c>
      <c r="E18" s="279" t="s">
        <v>560</v>
      </c>
      <c r="F18" s="281" t="s">
        <v>553</v>
      </c>
      <c r="G18" s="282" t="s">
        <v>522</v>
      </c>
      <c r="H18" s="282">
        <v>15.2</v>
      </c>
      <c r="I18" s="282">
        <v>20.5</v>
      </c>
      <c r="J18" s="282">
        <v>7</v>
      </c>
      <c r="K18" s="282" t="s">
        <v>561</v>
      </c>
      <c r="L18" s="170">
        <f t="shared" si="2"/>
        <v>311.59999999999997</v>
      </c>
    </row>
    <row r="19" spans="2:12" x14ac:dyDescent="0.35">
      <c r="B19" s="285" t="s">
        <v>550</v>
      </c>
      <c r="C19" s="290" t="s">
        <v>129</v>
      </c>
      <c r="D19" s="279" t="s">
        <v>562</v>
      </c>
      <c r="E19" s="279" t="s">
        <v>563</v>
      </c>
      <c r="F19" s="281" t="s">
        <v>553</v>
      </c>
      <c r="G19" s="282" t="s">
        <v>522</v>
      </c>
      <c r="H19" s="282">
        <v>14.4</v>
      </c>
      <c r="I19" s="282">
        <v>20.5</v>
      </c>
      <c r="J19" s="282">
        <v>5.3</v>
      </c>
      <c r="K19" s="282" t="s">
        <v>561</v>
      </c>
      <c r="L19" s="170">
        <f t="shared" si="2"/>
        <v>295.2</v>
      </c>
    </row>
    <row r="20" spans="2:12" ht="29" x14ac:dyDescent="0.35">
      <c r="B20" s="285" t="s">
        <v>550</v>
      </c>
      <c r="C20" s="290" t="s">
        <v>131</v>
      </c>
      <c r="D20" s="279" t="s">
        <v>564</v>
      </c>
      <c r="E20" s="279" t="s">
        <v>565</v>
      </c>
      <c r="F20" s="281" t="s">
        <v>566</v>
      </c>
      <c r="G20" s="282" t="s">
        <v>567</v>
      </c>
      <c r="H20" s="282">
        <v>6.5</v>
      </c>
      <c r="I20" s="282">
        <v>20.5</v>
      </c>
      <c r="J20" s="282">
        <v>4.8</v>
      </c>
      <c r="K20" s="282" t="s">
        <v>90</v>
      </c>
      <c r="L20" s="170">
        <f t="shared" si="2"/>
        <v>133.25</v>
      </c>
    </row>
    <row r="21" spans="2:12" x14ac:dyDescent="0.35">
      <c r="B21" s="285" t="s">
        <v>550</v>
      </c>
      <c r="C21" s="290" t="s">
        <v>130</v>
      </c>
      <c r="D21" s="279" t="s">
        <v>568</v>
      </c>
      <c r="E21" s="279" t="s">
        <v>569</v>
      </c>
      <c r="F21" s="281" t="s">
        <v>553</v>
      </c>
      <c r="G21" s="282" t="s">
        <v>522</v>
      </c>
      <c r="H21" s="282">
        <v>15.1</v>
      </c>
      <c r="I21" s="282">
        <v>20.5</v>
      </c>
      <c r="J21" s="282">
        <v>5.3</v>
      </c>
      <c r="K21" s="282" t="s">
        <v>570</v>
      </c>
      <c r="L21" s="170">
        <f t="shared" si="2"/>
        <v>309.55</v>
      </c>
    </row>
    <row r="22" spans="2:12" ht="29" x14ac:dyDescent="0.35">
      <c r="B22" s="285" t="s">
        <v>550</v>
      </c>
      <c r="C22" s="290" t="s">
        <v>296</v>
      </c>
      <c r="D22" s="279" t="s">
        <v>571</v>
      </c>
      <c r="E22" s="279" t="s">
        <v>572</v>
      </c>
      <c r="F22" s="281" t="s">
        <v>539</v>
      </c>
      <c r="G22" s="282" t="s">
        <v>522</v>
      </c>
      <c r="H22" s="282">
        <v>61</v>
      </c>
      <c r="I22" s="282">
        <v>20.5</v>
      </c>
      <c r="J22" s="282">
        <v>5.3</v>
      </c>
      <c r="K22" s="282" t="s">
        <v>573</v>
      </c>
      <c r="L22" s="170">
        <f t="shared" si="2"/>
        <v>1250.5</v>
      </c>
    </row>
    <row r="23" spans="2:12" x14ac:dyDescent="0.35">
      <c r="B23" s="285" t="s">
        <v>550</v>
      </c>
      <c r="C23" s="290" t="s">
        <v>297</v>
      </c>
      <c r="D23" s="279" t="s">
        <v>574</v>
      </c>
      <c r="E23" s="279" t="s">
        <v>575</v>
      </c>
      <c r="F23" s="281" t="s">
        <v>576</v>
      </c>
      <c r="G23" s="282" t="s">
        <v>522</v>
      </c>
      <c r="H23" s="282">
        <v>18.2</v>
      </c>
      <c r="I23" s="282">
        <v>20.5</v>
      </c>
      <c r="J23" s="282">
        <v>5.3</v>
      </c>
      <c r="K23" s="282" t="s">
        <v>577</v>
      </c>
      <c r="L23" s="170">
        <f t="shared" si="2"/>
        <v>373.09999999999997</v>
      </c>
    </row>
    <row r="24" spans="2:12" x14ac:dyDescent="0.35">
      <c r="B24" s="285" t="s">
        <v>550</v>
      </c>
      <c r="C24" s="290" t="s">
        <v>132</v>
      </c>
      <c r="D24" s="279" t="s">
        <v>578</v>
      </c>
      <c r="E24" s="279" t="s">
        <v>579</v>
      </c>
      <c r="F24" s="281" t="s">
        <v>553</v>
      </c>
      <c r="G24" s="282" t="s">
        <v>522</v>
      </c>
      <c r="H24" s="282">
        <v>10.8</v>
      </c>
      <c r="I24" s="282">
        <v>20.5</v>
      </c>
      <c r="J24" s="282">
        <v>5.3</v>
      </c>
      <c r="K24" s="282" t="s">
        <v>580</v>
      </c>
      <c r="L24" s="170">
        <f t="shared" si="2"/>
        <v>221.4</v>
      </c>
    </row>
    <row r="25" spans="2:12" x14ac:dyDescent="0.35">
      <c r="B25" s="285" t="s">
        <v>550</v>
      </c>
      <c r="C25" s="290" t="s">
        <v>298</v>
      </c>
      <c r="D25" s="279" t="s">
        <v>581</v>
      </c>
      <c r="E25" s="279" t="s">
        <v>582</v>
      </c>
      <c r="F25" s="281" t="s">
        <v>576</v>
      </c>
      <c r="G25" s="282" t="s">
        <v>522</v>
      </c>
      <c r="H25" s="282">
        <v>17.899999999999999</v>
      </c>
      <c r="I25" s="282">
        <v>20.5</v>
      </c>
      <c r="J25" s="282">
        <v>5.3</v>
      </c>
      <c r="K25" s="282" t="s">
        <v>577</v>
      </c>
      <c r="L25" s="170">
        <f t="shared" si="2"/>
        <v>366.95</v>
      </c>
    </row>
    <row r="26" spans="2:12" ht="29" x14ac:dyDescent="0.35">
      <c r="B26" s="285" t="s">
        <v>550</v>
      </c>
      <c r="C26" s="291" t="s">
        <v>299</v>
      </c>
      <c r="D26" s="279" t="s">
        <v>583</v>
      </c>
      <c r="E26" s="279" t="s">
        <v>584</v>
      </c>
      <c r="F26" s="281" t="s">
        <v>566</v>
      </c>
      <c r="G26" s="282" t="s">
        <v>567</v>
      </c>
      <c r="H26" s="282">
        <v>8.1</v>
      </c>
      <c r="I26" s="282">
        <v>20.5</v>
      </c>
      <c r="J26" s="282">
        <v>4.5</v>
      </c>
      <c r="K26" s="282" t="s">
        <v>585</v>
      </c>
      <c r="L26" s="170">
        <f t="shared" si="2"/>
        <v>166.04999999999998</v>
      </c>
    </row>
    <row r="27" spans="2:12" ht="29" x14ac:dyDescent="0.35">
      <c r="B27" s="285" t="s">
        <v>550</v>
      </c>
      <c r="C27" s="290" t="s">
        <v>300</v>
      </c>
      <c r="D27" s="279" t="s">
        <v>586</v>
      </c>
      <c r="E27" s="279" t="s">
        <v>587</v>
      </c>
      <c r="F27" s="281" t="s">
        <v>588</v>
      </c>
      <c r="G27" s="282" t="s">
        <v>522</v>
      </c>
      <c r="H27" s="282">
        <v>53.2</v>
      </c>
      <c r="I27" s="282">
        <v>20.5</v>
      </c>
      <c r="J27" s="282">
        <v>5.3</v>
      </c>
      <c r="K27" s="282" t="s">
        <v>548</v>
      </c>
      <c r="L27" s="170">
        <f t="shared" si="2"/>
        <v>1090.6000000000001</v>
      </c>
    </row>
    <row r="28" spans="2:12" x14ac:dyDescent="0.35">
      <c r="B28" s="286" t="s">
        <v>589</v>
      </c>
      <c r="C28" s="287"/>
      <c r="D28" s="287"/>
      <c r="E28" s="287"/>
      <c r="F28" s="287"/>
      <c r="G28" s="288"/>
      <c r="H28" s="288"/>
      <c r="I28" s="288" t="s">
        <v>590</v>
      </c>
      <c r="J28" s="288"/>
      <c r="K28" s="288"/>
      <c r="L28" s="289"/>
    </row>
    <row r="29" spans="2:12" x14ac:dyDescent="0.35">
      <c r="B29" s="285" t="s">
        <v>591</v>
      </c>
      <c r="C29" s="290" t="s">
        <v>117</v>
      </c>
      <c r="D29" s="279" t="s">
        <v>592</v>
      </c>
      <c r="E29" s="280">
        <v>10060</v>
      </c>
      <c r="F29" s="281" t="s">
        <v>593</v>
      </c>
      <c r="G29" s="282" t="s">
        <v>567</v>
      </c>
      <c r="H29" s="282">
        <v>4.2</v>
      </c>
      <c r="I29" s="282">
        <v>28.17</v>
      </c>
      <c r="J29" s="282">
        <v>5</v>
      </c>
      <c r="K29" s="282"/>
      <c r="L29" s="170">
        <f t="shared" si="2"/>
        <v>118.31400000000001</v>
      </c>
    </row>
    <row r="30" spans="2:12" x14ac:dyDescent="0.35">
      <c r="B30" s="285" t="s">
        <v>591</v>
      </c>
      <c r="C30" s="290" t="s">
        <v>133</v>
      </c>
      <c r="D30" s="279" t="s">
        <v>592</v>
      </c>
      <c r="E30" s="280">
        <v>10380</v>
      </c>
      <c r="F30" s="281" t="s">
        <v>593</v>
      </c>
      <c r="G30" s="282" t="s">
        <v>567</v>
      </c>
      <c r="H30" s="282">
        <v>3.6</v>
      </c>
      <c r="I30" s="282">
        <v>26.1</v>
      </c>
      <c r="J30" s="282">
        <v>5.2</v>
      </c>
      <c r="K30" s="282"/>
      <c r="L30" s="170">
        <f t="shared" si="2"/>
        <v>93.960000000000008</v>
      </c>
    </row>
    <row r="31" spans="2:12" x14ac:dyDescent="0.35">
      <c r="B31" s="285" t="s">
        <v>591</v>
      </c>
      <c r="C31" s="290" t="s">
        <v>119</v>
      </c>
      <c r="D31" s="279" t="s">
        <v>592</v>
      </c>
      <c r="E31" s="280">
        <v>10500</v>
      </c>
      <c r="F31" s="281" t="s">
        <v>593</v>
      </c>
      <c r="G31" s="282" t="s">
        <v>567</v>
      </c>
      <c r="H31" s="282">
        <v>4.2</v>
      </c>
      <c r="I31" s="282">
        <v>24.035</v>
      </c>
      <c r="J31" s="282">
        <v>4.2</v>
      </c>
      <c r="K31" s="282"/>
      <c r="L31" s="170">
        <f t="shared" si="2"/>
        <v>100.947</v>
      </c>
    </row>
    <row r="32" spans="2:12" ht="29" x14ac:dyDescent="0.35">
      <c r="B32" s="285" t="s">
        <v>591</v>
      </c>
      <c r="C32" s="290" t="s">
        <v>272</v>
      </c>
      <c r="D32" s="279" t="s">
        <v>594</v>
      </c>
      <c r="E32" s="280">
        <v>11205</v>
      </c>
      <c r="F32" s="281" t="s">
        <v>595</v>
      </c>
      <c r="G32" s="282" t="s">
        <v>522</v>
      </c>
      <c r="H32" s="282">
        <v>64.5</v>
      </c>
      <c r="I32" s="282">
        <v>11.5</v>
      </c>
      <c r="J32" s="282">
        <v>18</v>
      </c>
      <c r="K32" s="282" t="s">
        <v>596</v>
      </c>
      <c r="L32" s="170">
        <f>H32*I32</f>
        <v>741.75</v>
      </c>
    </row>
    <row r="33" spans="2:12" x14ac:dyDescent="0.35">
      <c r="B33" s="285" t="s">
        <v>591</v>
      </c>
      <c r="C33" s="290" t="s">
        <v>118</v>
      </c>
      <c r="D33" s="279" t="s">
        <v>592</v>
      </c>
      <c r="E33" s="280">
        <v>12690</v>
      </c>
      <c r="F33" s="281" t="s">
        <v>522</v>
      </c>
      <c r="G33" s="282" t="s">
        <v>522</v>
      </c>
      <c r="H33" s="282">
        <v>4</v>
      </c>
      <c r="I33" s="282">
        <v>28.262</v>
      </c>
      <c r="J33" s="282">
        <v>4.8</v>
      </c>
      <c r="K33" s="282"/>
      <c r="L33" s="170">
        <f t="shared" si="2"/>
        <v>113.048</v>
      </c>
    </row>
    <row r="34" spans="2:12" x14ac:dyDescent="0.35">
      <c r="B34" s="285" t="s">
        <v>591</v>
      </c>
      <c r="C34" s="290" t="s">
        <v>283</v>
      </c>
      <c r="D34" s="279" t="s">
        <v>592</v>
      </c>
      <c r="E34" s="280">
        <v>13235</v>
      </c>
      <c r="F34" s="281" t="s">
        <v>522</v>
      </c>
      <c r="G34" s="282" t="s">
        <v>567</v>
      </c>
      <c r="H34" s="282">
        <v>3.8</v>
      </c>
      <c r="I34" s="282">
        <v>38.35</v>
      </c>
      <c r="J34" s="282">
        <v>4.4000000000000004</v>
      </c>
      <c r="K34" s="282"/>
      <c r="L34" s="170">
        <f t="shared" si="2"/>
        <v>145.72999999999999</v>
      </c>
    </row>
    <row r="35" spans="2:12" x14ac:dyDescent="0.35">
      <c r="B35" s="285" t="s">
        <v>591</v>
      </c>
      <c r="C35" s="290" t="s">
        <v>290</v>
      </c>
      <c r="D35" s="279" t="s">
        <v>597</v>
      </c>
      <c r="E35" s="280">
        <v>11980</v>
      </c>
      <c r="F35" s="281" t="s">
        <v>522</v>
      </c>
      <c r="G35" s="282" t="s">
        <v>522</v>
      </c>
      <c r="H35" s="282">
        <v>2.5</v>
      </c>
      <c r="I35" s="282">
        <f>30.65+8.8</f>
        <v>39.450000000000003</v>
      </c>
      <c r="J35" s="282">
        <v>2.7</v>
      </c>
      <c r="K35" s="282"/>
      <c r="L35" s="170">
        <f t="shared" si="2"/>
        <v>98.625</v>
      </c>
    </row>
    <row r="36" spans="2:12" x14ac:dyDescent="0.35">
      <c r="B36" s="285" t="s">
        <v>591</v>
      </c>
      <c r="C36" s="290" t="s">
        <v>120</v>
      </c>
      <c r="D36" s="279" t="s">
        <v>592</v>
      </c>
      <c r="E36" s="280">
        <v>13305</v>
      </c>
      <c r="F36" s="281" t="s">
        <v>522</v>
      </c>
      <c r="G36" s="282" t="s">
        <v>567</v>
      </c>
      <c r="H36" s="282">
        <v>4</v>
      </c>
      <c r="I36" s="282">
        <v>36.104999999999997</v>
      </c>
      <c r="J36" s="282">
        <v>4.5</v>
      </c>
      <c r="K36" s="282"/>
      <c r="L36" s="170">
        <f t="shared" si="2"/>
        <v>144.41999999999999</v>
      </c>
    </row>
    <row r="37" spans="2:12" x14ac:dyDescent="0.35">
      <c r="B37" s="285" t="s">
        <v>591</v>
      </c>
      <c r="C37" s="290" t="s">
        <v>294</v>
      </c>
      <c r="D37" s="279" t="s">
        <v>598</v>
      </c>
      <c r="E37" s="280">
        <v>14500</v>
      </c>
      <c r="F37" s="281" t="s">
        <v>522</v>
      </c>
      <c r="G37" s="282" t="s">
        <v>567</v>
      </c>
      <c r="H37" s="282">
        <v>3</v>
      </c>
      <c r="I37" s="282">
        <v>25.07</v>
      </c>
      <c r="J37" s="282">
        <v>3.4</v>
      </c>
      <c r="K37" s="282"/>
      <c r="L37" s="170">
        <f t="shared" si="2"/>
        <v>75.210000000000008</v>
      </c>
    </row>
    <row r="38" spans="2:12" x14ac:dyDescent="0.35">
      <c r="B38" s="285" t="s">
        <v>591</v>
      </c>
      <c r="C38" s="290" t="s">
        <v>121</v>
      </c>
      <c r="D38" s="279" t="s">
        <v>592</v>
      </c>
      <c r="E38" s="280">
        <v>16000</v>
      </c>
      <c r="F38" s="281" t="s">
        <v>522</v>
      </c>
      <c r="G38" s="282" t="s">
        <v>522</v>
      </c>
      <c r="H38" s="282">
        <v>4.2</v>
      </c>
      <c r="I38" s="282">
        <v>38.64</v>
      </c>
      <c r="J38" s="282">
        <v>4.0999999999999996</v>
      </c>
      <c r="K38" s="282"/>
      <c r="L38" s="170">
        <f t="shared" si="2"/>
        <v>162.28800000000001</v>
      </c>
    </row>
    <row r="39" spans="2:12" x14ac:dyDescent="0.35">
      <c r="B39" s="285" t="s">
        <v>591</v>
      </c>
      <c r="C39" s="290" t="s">
        <v>284</v>
      </c>
      <c r="D39" s="279" t="s">
        <v>592</v>
      </c>
      <c r="E39" s="280">
        <v>17825</v>
      </c>
      <c r="F39" s="281" t="s">
        <v>593</v>
      </c>
      <c r="G39" s="282" t="s">
        <v>522</v>
      </c>
      <c r="H39" s="282">
        <v>4</v>
      </c>
      <c r="I39" s="282">
        <v>33.25</v>
      </c>
      <c r="J39" s="282">
        <v>4.5999999999999996</v>
      </c>
      <c r="K39" s="282"/>
      <c r="L39" s="170">
        <f t="shared" si="2"/>
        <v>133</v>
      </c>
    </row>
    <row r="40" spans="2:12" x14ac:dyDescent="0.35">
      <c r="B40" s="285" t="s">
        <v>591</v>
      </c>
      <c r="C40" s="290" t="s">
        <v>124</v>
      </c>
      <c r="D40" s="279" t="s">
        <v>592</v>
      </c>
      <c r="E40" s="280">
        <v>20700</v>
      </c>
      <c r="F40" s="281" t="s">
        <v>593</v>
      </c>
      <c r="G40" s="282" t="s">
        <v>522</v>
      </c>
      <c r="H40" s="282">
        <v>3.8</v>
      </c>
      <c r="I40" s="282">
        <v>24.95</v>
      </c>
      <c r="J40" s="282">
        <v>4</v>
      </c>
      <c r="K40" s="282"/>
      <c r="L40" s="170">
        <f t="shared" si="2"/>
        <v>94.809999999999988</v>
      </c>
    </row>
    <row r="41" spans="2:12" ht="29" x14ac:dyDescent="0.35">
      <c r="B41" s="285" t="s">
        <v>550</v>
      </c>
      <c r="C41" s="290" t="s">
        <v>301</v>
      </c>
      <c r="D41" s="279" t="s">
        <v>599</v>
      </c>
      <c r="E41" s="279" t="s">
        <v>600</v>
      </c>
      <c r="F41" s="281" t="s">
        <v>566</v>
      </c>
      <c r="G41" s="282" t="s">
        <v>567</v>
      </c>
      <c r="H41" s="282">
        <v>10.5</v>
      </c>
      <c r="I41" s="282">
        <v>20.5</v>
      </c>
      <c r="J41" s="282">
        <v>4.5</v>
      </c>
      <c r="K41" s="282" t="s">
        <v>90</v>
      </c>
      <c r="L41" s="170">
        <f t="shared" si="2"/>
        <v>215.25</v>
      </c>
    </row>
    <row r="42" spans="2:12" ht="29" x14ac:dyDescent="0.35">
      <c r="B42" s="285" t="s">
        <v>550</v>
      </c>
      <c r="C42" s="290" t="s">
        <v>287</v>
      </c>
      <c r="D42" s="279" t="s">
        <v>599</v>
      </c>
      <c r="E42" s="279" t="s">
        <v>601</v>
      </c>
      <c r="F42" s="281" t="s">
        <v>566</v>
      </c>
      <c r="G42" s="282" t="s">
        <v>567</v>
      </c>
      <c r="H42" s="282">
        <v>8.9499999999999993</v>
      </c>
      <c r="I42" s="282">
        <v>20.5</v>
      </c>
      <c r="J42" s="282">
        <v>5.4</v>
      </c>
      <c r="K42" s="282" t="s">
        <v>90</v>
      </c>
      <c r="L42" s="170">
        <f t="shared" si="2"/>
        <v>183.47499999999999</v>
      </c>
    </row>
    <row r="43" spans="2:12" x14ac:dyDescent="0.35">
      <c r="B43" s="285" t="s">
        <v>550</v>
      </c>
      <c r="C43" s="290" t="s">
        <v>302</v>
      </c>
      <c r="D43" s="279" t="s">
        <v>599</v>
      </c>
      <c r="E43" s="279" t="s">
        <v>602</v>
      </c>
      <c r="F43" s="281" t="s">
        <v>553</v>
      </c>
      <c r="G43" s="282" t="s">
        <v>522</v>
      </c>
      <c r="H43" s="282">
        <v>11.3</v>
      </c>
      <c r="I43" s="282">
        <v>20.5</v>
      </c>
      <c r="J43" s="282">
        <v>4.2</v>
      </c>
      <c r="K43" s="282" t="s">
        <v>603</v>
      </c>
      <c r="L43" s="170">
        <f t="shared" si="2"/>
        <v>231.65</v>
      </c>
    </row>
    <row r="44" spans="2:12" x14ac:dyDescent="0.35">
      <c r="B44" s="285" t="s">
        <v>591</v>
      </c>
      <c r="C44" s="290" t="s">
        <v>125</v>
      </c>
      <c r="D44" s="279" t="s">
        <v>592</v>
      </c>
      <c r="E44" s="280">
        <v>23930</v>
      </c>
      <c r="F44" s="281" t="s">
        <v>593</v>
      </c>
      <c r="G44" s="282" t="s">
        <v>522</v>
      </c>
      <c r="H44" s="282">
        <v>4.2</v>
      </c>
      <c r="I44" s="282">
        <v>29.36</v>
      </c>
      <c r="J44" s="282">
        <v>5</v>
      </c>
      <c r="K44" s="282"/>
      <c r="L44" s="170">
        <f t="shared" si="2"/>
        <v>123.312</v>
      </c>
    </row>
    <row r="45" spans="2:12" x14ac:dyDescent="0.35">
      <c r="B45" s="285" t="s">
        <v>591</v>
      </c>
      <c r="C45" s="290" t="s">
        <v>126</v>
      </c>
      <c r="D45" s="279" t="s">
        <v>592</v>
      </c>
      <c r="E45" s="280">
        <v>26020</v>
      </c>
      <c r="F45" s="281" t="s">
        <v>593</v>
      </c>
      <c r="G45" s="282" t="s">
        <v>567</v>
      </c>
      <c r="H45" s="282">
        <v>4.2</v>
      </c>
      <c r="I45" s="282">
        <v>27.32</v>
      </c>
      <c r="J45" s="282">
        <v>5</v>
      </c>
      <c r="K45" s="282"/>
      <c r="L45" s="170">
        <f t="shared" si="2"/>
        <v>114.744</v>
      </c>
    </row>
    <row r="46" spans="2:12" x14ac:dyDescent="0.35">
      <c r="B46" s="285" t="s">
        <v>591</v>
      </c>
      <c r="C46" s="290" t="s">
        <v>127</v>
      </c>
      <c r="D46" s="279" t="s">
        <v>592</v>
      </c>
      <c r="E46" s="280">
        <v>27575</v>
      </c>
      <c r="F46" s="281" t="s">
        <v>593</v>
      </c>
      <c r="G46" s="282" t="s">
        <v>567</v>
      </c>
      <c r="H46" s="282">
        <v>4.2</v>
      </c>
      <c r="I46" s="282">
        <v>27.19</v>
      </c>
      <c r="J46" s="282">
        <v>4.5999999999999996</v>
      </c>
      <c r="K46" s="282"/>
      <c r="L46" s="170">
        <f t="shared" si="2"/>
        <v>114.19800000000001</v>
      </c>
    </row>
    <row r="47" spans="2:12" x14ac:dyDescent="0.35">
      <c r="B47" s="285" t="s">
        <v>591</v>
      </c>
      <c r="C47" s="290" t="s">
        <v>128</v>
      </c>
      <c r="D47" s="279" t="s">
        <v>592</v>
      </c>
      <c r="E47" s="280">
        <v>28375</v>
      </c>
      <c r="F47" s="281" t="s">
        <v>593</v>
      </c>
      <c r="G47" s="282" t="s">
        <v>522</v>
      </c>
      <c r="H47" s="282">
        <v>4.2</v>
      </c>
      <c r="I47" s="282">
        <v>28.3</v>
      </c>
      <c r="J47" s="282">
        <v>3</v>
      </c>
      <c r="K47" s="282"/>
      <c r="L47" s="170">
        <f t="shared" si="2"/>
        <v>118.86000000000001</v>
      </c>
    </row>
    <row r="48" spans="2:12" x14ac:dyDescent="0.35">
      <c r="B48" s="285" t="s">
        <v>591</v>
      </c>
      <c r="C48" s="290" t="s">
        <v>285</v>
      </c>
      <c r="D48" s="279" t="s">
        <v>592</v>
      </c>
      <c r="E48" s="283">
        <v>29830</v>
      </c>
      <c r="F48" s="281" t="s">
        <v>604</v>
      </c>
      <c r="G48" s="282" t="s">
        <v>522</v>
      </c>
      <c r="H48" s="282">
        <v>4.8</v>
      </c>
      <c r="I48" s="282">
        <v>23.64</v>
      </c>
      <c r="J48" s="282">
        <v>2.6</v>
      </c>
      <c r="K48" s="282"/>
      <c r="L48" s="170">
        <f t="shared" si="2"/>
        <v>113.47199999999999</v>
      </c>
    </row>
    <row r="49" spans="2:12" x14ac:dyDescent="0.35">
      <c r="B49" s="285" t="s">
        <v>591</v>
      </c>
      <c r="C49" s="290" t="s">
        <v>286</v>
      </c>
      <c r="D49" s="279" t="s">
        <v>592</v>
      </c>
      <c r="E49" s="280">
        <v>30875</v>
      </c>
      <c r="F49" s="281" t="s">
        <v>593</v>
      </c>
      <c r="G49" s="282" t="s">
        <v>522</v>
      </c>
      <c r="H49" s="282">
        <v>4.2</v>
      </c>
      <c r="I49" s="282">
        <v>28.72</v>
      </c>
      <c r="J49" s="282">
        <v>4</v>
      </c>
      <c r="K49" s="282"/>
      <c r="L49" s="170">
        <f t="shared" si="2"/>
        <v>120.624</v>
      </c>
    </row>
    <row r="50" spans="2:12" x14ac:dyDescent="0.35">
      <c r="G50"/>
      <c r="H50"/>
      <c r="I50"/>
      <c r="J50"/>
      <c r="K50"/>
    </row>
    <row r="51" spans="2:12" x14ac:dyDescent="0.35">
      <c r="G51"/>
      <c r="H51"/>
      <c r="I51"/>
      <c r="J51"/>
      <c r="K51"/>
    </row>
    <row r="52" spans="2:12" ht="22.5" customHeight="1" x14ac:dyDescent="0.35">
      <c r="B52" s="630" t="s">
        <v>61</v>
      </c>
      <c r="C52" s="630" t="s">
        <v>10</v>
      </c>
      <c r="D52" s="630" t="s">
        <v>590</v>
      </c>
      <c r="E52" s="293"/>
      <c r="F52" s="293"/>
      <c r="G52" s="293"/>
      <c r="H52" s="293"/>
      <c r="I52" s="293"/>
      <c r="J52" s="293"/>
    </row>
    <row r="53" spans="2:12" ht="29" x14ac:dyDescent="0.35">
      <c r="B53" s="448" t="s">
        <v>605</v>
      </c>
      <c r="C53" s="295" t="s">
        <v>25</v>
      </c>
      <c r="D53" s="169">
        <v>70.48</v>
      </c>
      <c r="E53" s="293"/>
      <c r="F53" s="293"/>
      <c r="G53" s="293"/>
      <c r="H53" s="293"/>
      <c r="I53" s="293"/>
      <c r="J53" s="293"/>
    </row>
    <row r="54" spans="2:12" ht="29" x14ac:dyDescent="0.35">
      <c r="B54" s="449" t="s">
        <v>618</v>
      </c>
      <c r="C54" s="295" t="s">
        <v>25</v>
      </c>
      <c r="D54" s="169">
        <v>197.87</v>
      </c>
      <c r="E54" s="293"/>
      <c r="F54" s="293"/>
      <c r="G54" s="293"/>
      <c r="H54" s="293"/>
      <c r="I54" s="293"/>
      <c r="J54" s="293"/>
    </row>
    <row r="55" spans="2:12" ht="29" x14ac:dyDescent="0.35">
      <c r="B55" s="448" t="s">
        <v>606</v>
      </c>
      <c r="C55" s="295" t="s">
        <v>25</v>
      </c>
      <c r="D55" s="169">
        <v>30.73</v>
      </c>
      <c r="E55" s="293"/>
      <c r="F55" s="293"/>
      <c r="G55" s="293"/>
      <c r="H55" s="293"/>
      <c r="I55" s="293"/>
      <c r="J55" s="293"/>
    </row>
    <row r="56" spans="2:12" ht="29" x14ac:dyDescent="0.35">
      <c r="B56" s="448" t="s">
        <v>607</v>
      </c>
      <c r="C56" s="295" t="s">
        <v>25</v>
      </c>
      <c r="D56" s="169">
        <v>316.33999999999997</v>
      </c>
      <c r="E56" s="293"/>
      <c r="F56" s="293"/>
      <c r="G56" s="293"/>
      <c r="H56" s="293"/>
      <c r="I56" s="293"/>
      <c r="J56" s="293"/>
    </row>
    <row r="57" spans="2:12" ht="29" x14ac:dyDescent="0.35">
      <c r="B57" s="448" t="s">
        <v>608</v>
      </c>
      <c r="C57" s="295" t="s">
        <v>25</v>
      </c>
      <c r="D57" s="169">
        <v>34.83</v>
      </c>
      <c r="E57" s="293"/>
      <c r="F57" s="293"/>
      <c r="G57" s="293"/>
      <c r="H57" s="293"/>
      <c r="I57" s="293"/>
      <c r="J57" s="293"/>
    </row>
    <row r="58" spans="2:12" ht="29" x14ac:dyDescent="0.35">
      <c r="B58" s="448" t="s">
        <v>609</v>
      </c>
      <c r="C58" s="295" t="s">
        <v>25</v>
      </c>
      <c r="D58" s="169">
        <v>30.04</v>
      </c>
      <c r="E58" s="293"/>
      <c r="F58" s="293"/>
      <c r="G58" s="293"/>
      <c r="H58" s="293"/>
      <c r="I58" s="293"/>
      <c r="J58" s="293"/>
    </row>
    <row r="59" spans="2:12" ht="29" x14ac:dyDescent="0.35">
      <c r="B59" s="448" t="s">
        <v>610</v>
      </c>
      <c r="C59" s="295" t="s">
        <v>25</v>
      </c>
      <c r="D59" s="169">
        <v>39.229999999999997</v>
      </c>
      <c r="E59" s="293"/>
      <c r="F59" s="293"/>
      <c r="G59" s="293"/>
      <c r="H59" s="293"/>
      <c r="I59" s="293"/>
      <c r="J59" s="293"/>
    </row>
    <row r="60" spans="2:12" ht="29" x14ac:dyDescent="0.35">
      <c r="B60" s="448" t="s">
        <v>611</v>
      </c>
      <c r="C60" s="295" t="s">
        <v>25</v>
      </c>
      <c r="D60" s="169">
        <v>31.63</v>
      </c>
      <c r="E60" s="293"/>
      <c r="F60" s="293"/>
      <c r="G60" s="293"/>
      <c r="H60" s="293"/>
      <c r="I60" s="293"/>
      <c r="J60" s="293"/>
    </row>
    <row r="61" spans="2:12" ht="29" x14ac:dyDescent="0.35">
      <c r="B61" s="448" t="s">
        <v>612</v>
      </c>
      <c r="C61" s="295" t="s">
        <v>25</v>
      </c>
      <c r="D61" s="169">
        <v>21.89</v>
      </c>
      <c r="E61" s="293"/>
      <c r="F61" s="293"/>
      <c r="G61" s="293"/>
      <c r="H61" s="293"/>
      <c r="I61" s="293"/>
      <c r="J61" s="293"/>
    </row>
    <row r="62" spans="2:12" ht="29" x14ac:dyDescent="0.35">
      <c r="B62" s="448" t="s">
        <v>613</v>
      </c>
      <c r="C62" s="295" t="s">
        <v>25</v>
      </c>
      <c r="D62" s="169">
        <v>54.66</v>
      </c>
      <c r="E62" s="293"/>
      <c r="F62" s="293"/>
      <c r="G62" s="293"/>
      <c r="H62" s="293"/>
      <c r="I62" s="293"/>
      <c r="J62" s="293"/>
    </row>
    <row r="63" spans="2:12" ht="29" x14ac:dyDescent="0.35">
      <c r="B63" s="448" t="s">
        <v>614</v>
      </c>
      <c r="C63" s="295" t="s">
        <v>25</v>
      </c>
      <c r="D63" s="169">
        <v>32</v>
      </c>
      <c r="E63" s="293"/>
      <c r="F63" s="293"/>
      <c r="G63" s="293"/>
      <c r="H63" s="293"/>
      <c r="I63" s="293"/>
      <c r="J63" s="293"/>
    </row>
    <row r="64" spans="2:12" ht="29" x14ac:dyDescent="0.35">
      <c r="B64" s="448" t="s">
        <v>615</v>
      </c>
      <c r="C64" s="295" t="s">
        <v>25</v>
      </c>
      <c r="D64" s="169">
        <v>32.15</v>
      </c>
      <c r="E64" s="293"/>
      <c r="F64" s="293"/>
      <c r="G64" s="293"/>
      <c r="H64" s="293"/>
      <c r="I64" s="293"/>
      <c r="J64" s="293"/>
    </row>
    <row r="65" spans="2:12" ht="29" x14ac:dyDescent="0.35">
      <c r="B65" s="448" t="s">
        <v>616</v>
      </c>
      <c r="C65" s="295" t="s">
        <v>25</v>
      </c>
      <c r="D65" s="169">
        <v>22.3</v>
      </c>
      <c r="E65" s="293"/>
      <c r="F65" s="293"/>
      <c r="G65" s="293"/>
      <c r="H65" s="293"/>
      <c r="I65" s="293"/>
      <c r="J65" s="293"/>
    </row>
    <row r="66" spans="2:12" x14ac:dyDescent="0.35">
      <c r="B66" s="448" t="s">
        <v>619</v>
      </c>
      <c r="C66" s="295" t="s">
        <v>25</v>
      </c>
      <c r="D66" s="169">
        <v>112</v>
      </c>
      <c r="E66" s="293"/>
      <c r="F66" s="293"/>
      <c r="G66" s="293"/>
      <c r="H66" s="293"/>
      <c r="I66" s="293"/>
      <c r="J66" s="293"/>
    </row>
    <row r="67" spans="2:12" ht="46.5" customHeight="1" x14ac:dyDescent="0.35">
      <c r="B67" s="646" t="s">
        <v>620</v>
      </c>
      <c r="C67" s="647" t="s">
        <v>25</v>
      </c>
      <c r="D67" s="648">
        <f>SUM(D53:D66)</f>
        <v>1026.1500000000001</v>
      </c>
      <c r="E67" s="293"/>
      <c r="F67" s="293"/>
      <c r="G67" s="293"/>
      <c r="H67" s="293"/>
      <c r="I67" s="293"/>
      <c r="J67" s="293"/>
    </row>
    <row r="69" spans="2:12" x14ac:dyDescent="0.35">
      <c r="B69" s="630" t="s">
        <v>757</v>
      </c>
      <c r="C69" s="630" t="s">
        <v>590</v>
      </c>
      <c r="D69" s="630" t="s">
        <v>10</v>
      </c>
      <c r="G69"/>
      <c r="H69"/>
      <c r="I69"/>
      <c r="J69"/>
      <c r="K69"/>
      <c r="L69"/>
    </row>
    <row r="70" spans="2:12" x14ac:dyDescent="0.35">
      <c r="B70" s="448" t="s">
        <v>166</v>
      </c>
      <c r="C70" s="638">
        <v>22.2</v>
      </c>
      <c r="D70" s="639" t="s">
        <v>411</v>
      </c>
      <c r="G70"/>
      <c r="H70"/>
      <c r="I70"/>
      <c r="J70"/>
      <c r="K70"/>
      <c r="L70"/>
    </row>
    <row r="71" spans="2:12" x14ac:dyDescent="0.35">
      <c r="B71" s="639" t="s">
        <v>64</v>
      </c>
      <c r="C71" s="643">
        <v>908.8</v>
      </c>
      <c r="D71" s="639" t="s">
        <v>25</v>
      </c>
      <c r="G71"/>
      <c r="H71"/>
      <c r="I71"/>
      <c r="J71"/>
      <c r="K71"/>
      <c r="L71"/>
    </row>
    <row r="72" spans="2:12" x14ac:dyDescent="0.35">
      <c r="B72" s="639" t="s">
        <v>65</v>
      </c>
      <c r="C72" s="643">
        <v>1059.5999999999999</v>
      </c>
      <c r="D72" s="639" t="s">
        <v>25</v>
      </c>
      <c r="G72"/>
      <c r="H72"/>
      <c r="I72"/>
      <c r="J72"/>
      <c r="K72"/>
      <c r="L72"/>
    </row>
    <row r="73" spans="2:12" x14ac:dyDescent="0.35">
      <c r="B73" s="639" t="s">
        <v>66</v>
      </c>
      <c r="C73" s="643">
        <v>1273.0999999999999</v>
      </c>
      <c r="D73" s="639" t="s">
        <v>25</v>
      </c>
      <c r="G73"/>
      <c r="H73"/>
      <c r="I73"/>
      <c r="J73"/>
      <c r="K73"/>
      <c r="L73"/>
    </row>
    <row r="74" spans="2:12" x14ac:dyDescent="0.35">
      <c r="B74" s="639" t="s">
        <v>67</v>
      </c>
      <c r="C74" s="643">
        <v>777.4</v>
      </c>
      <c r="D74" s="639" t="s">
        <v>25</v>
      </c>
      <c r="G74"/>
      <c r="H74"/>
      <c r="I74"/>
      <c r="J74"/>
      <c r="K74"/>
      <c r="L74"/>
    </row>
    <row r="75" spans="2:12" x14ac:dyDescent="0.35">
      <c r="B75" s="644" t="s">
        <v>68</v>
      </c>
      <c r="C75" s="645">
        <v>697</v>
      </c>
      <c r="D75" s="644" t="s">
        <v>25</v>
      </c>
      <c r="G75"/>
      <c r="H75"/>
      <c r="I75"/>
      <c r="J75"/>
      <c r="K75"/>
      <c r="L75"/>
    </row>
    <row r="76" spans="2:12" x14ac:dyDescent="0.35">
      <c r="B76" s="639" t="s">
        <v>758</v>
      </c>
      <c r="C76" s="643">
        <v>3760</v>
      </c>
      <c r="D76" s="639" t="s">
        <v>25</v>
      </c>
      <c r="G76"/>
      <c r="H76"/>
      <c r="I76"/>
      <c r="J76"/>
      <c r="K76"/>
      <c r="L76"/>
    </row>
    <row r="77" spans="2:12" x14ac:dyDescent="0.35">
      <c r="G77"/>
      <c r="H77"/>
      <c r="I77"/>
      <c r="J77"/>
      <c r="K77"/>
      <c r="L77"/>
    </row>
    <row r="78" spans="2:12" x14ac:dyDescent="0.35">
      <c r="G78"/>
      <c r="H78"/>
      <c r="I78"/>
      <c r="J78"/>
      <c r="K78"/>
      <c r="L78"/>
    </row>
    <row r="79" spans="2:12" x14ac:dyDescent="0.35">
      <c r="G79"/>
      <c r="H79"/>
      <c r="I79"/>
      <c r="J79"/>
      <c r="K79"/>
      <c r="L79"/>
    </row>
  </sheetData>
  <autoFilter ref="B4:L49" xr:uid="{8FAF965A-2A14-453D-8475-F4891E88564C}"/>
  <mergeCells count="1">
    <mergeCell ref="B2:H2"/>
  </mergeCells>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7510-55D2-4885-A787-D51A09488D5B}">
  <sheetPr>
    <tabColor theme="0"/>
  </sheetPr>
  <dimension ref="A1:K17"/>
  <sheetViews>
    <sheetView showGridLines="0" topLeftCell="A7" zoomScale="70" zoomScaleNormal="70" workbookViewId="0">
      <selection activeCell="B10" sqref="B10:J10"/>
    </sheetView>
  </sheetViews>
  <sheetFormatPr defaultColWidth="9.1796875" defaultRowHeight="14.5" x14ac:dyDescent="0.35"/>
  <cols>
    <col min="1" max="1" width="6" style="439" customWidth="1"/>
    <col min="2" max="2" width="11.26953125" style="439" customWidth="1"/>
    <col min="3" max="3" width="23" style="439" customWidth="1"/>
    <col min="4" max="4" width="13.453125" style="439" customWidth="1"/>
    <col min="5" max="5" width="14.453125" style="439" customWidth="1"/>
    <col min="6" max="6" width="24.54296875" style="439" customWidth="1"/>
    <col min="7" max="7" width="12.81640625" style="439" customWidth="1"/>
    <col min="8" max="8" width="51.7265625" style="439" customWidth="1"/>
    <col min="9" max="9" width="33.453125" style="439" customWidth="1"/>
    <col min="10" max="10" width="25.26953125" customWidth="1"/>
    <col min="12" max="16384" width="9.1796875" style="439"/>
  </cols>
  <sheetData>
    <row r="1" spans="1:11" s="1" customFormat="1" ht="25" customHeight="1" x14ac:dyDescent="0.35">
      <c r="A1" s="4"/>
      <c r="B1" s="266" t="s">
        <v>744</v>
      </c>
      <c r="C1" s="4"/>
      <c r="D1" s="8"/>
      <c r="E1" s="8"/>
      <c r="F1" s="8"/>
      <c r="G1" s="8"/>
      <c r="H1" s="8"/>
      <c r="I1" s="8"/>
      <c r="J1" s="8"/>
      <c r="K1" s="8"/>
    </row>
    <row r="2" spans="1:11" s="1" customFormat="1" ht="49" customHeight="1" x14ac:dyDescent="0.35">
      <c r="B2" s="737" t="s">
        <v>745</v>
      </c>
      <c r="C2" s="737"/>
      <c r="D2" s="737"/>
      <c r="E2" s="737"/>
      <c r="F2" s="737"/>
      <c r="G2" s="737"/>
      <c r="H2" s="737"/>
    </row>
    <row r="3" spans="1:11" ht="36.75" customHeight="1" x14ac:dyDescent="0.35">
      <c r="C3" s="440"/>
      <c r="D3" s="441"/>
      <c r="E3" s="441"/>
      <c r="F3" s="441"/>
      <c r="G3" s="441"/>
    </row>
    <row r="4" spans="1:11" ht="39" x14ac:dyDescent="0.35">
      <c r="B4" s="837" t="s">
        <v>659</v>
      </c>
      <c r="C4" s="837"/>
      <c r="D4" s="690" t="s">
        <v>660</v>
      </c>
      <c r="E4" s="691" t="s">
        <v>727</v>
      </c>
      <c r="F4" s="691" t="s">
        <v>728</v>
      </c>
      <c r="G4" s="692" t="s">
        <v>661</v>
      </c>
      <c r="H4" s="693" t="s">
        <v>36</v>
      </c>
      <c r="I4" s="693" t="s">
        <v>729</v>
      </c>
      <c r="J4" s="694" t="s">
        <v>731</v>
      </c>
    </row>
    <row r="5" spans="1:11" ht="52" x14ac:dyDescent="0.35">
      <c r="B5" s="838" t="s">
        <v>34</v>
      </c>
      <c r="C5" s="442" t="s">
        <v>662</v>
      </c>
      <c r="D5" s="443">
        <v>51</v>
      </c>
      <c r="E5" s="443">
        <f>4150*D5</f>
        <v>211650</v>
      </c>
      <c r="F5" s="443">
        <v>122</v>
      </c>
      <c r="G5" s="445">
        <f>(E5*F5)/1000</f>
        <v>25821.3</v>
      </c>
      <c r="H5" s="444" t="s">
        <v>725</v>
      </c>
      <c r="I5" s="444"/>
      <c r="J5" s="595">
        <v>466.26</v>
      </c>
    </row>
    <row r="6" spans="1:11" ht="52" x14ac:dyDescent="0.35">
      <c r="B6" s="838"/>
      <c r="C6" s="442" t="s">
        <v>663</v>
      </c>
      <c r="D6" s="443">
        <v>46</v>
      </c>
      <c r="E6" s="443">
        <f t="shared" ref="E6:E10" si="0">4150*D6</f>
        <v>190900</v>
      </c>
      <c r="F6" s="443">
        <v>122</v>
      </c>
      <c r="G6" s="445">
        <f t="shared" ref="G6:G10" si="1">(E6*F6)/1000</f>
        <v>23289.8</v>
      </c>
      <c r="H6" s="444" t="s">
        <v>725</v>
      </c>
      <c r="I6" s="444"/>
      <c r="J6" s="595">
        <v>420.56</v>
      </c>
    </row>
    <row r="7" spans="1:11" ht="52" x14ac:dyDescent="0.35">
      <c r="B7" s="838"/>
      <c r="C7" s="442" t="s">
        <v>664</v>
      </c>
      <c r="D7" s="443">
        <v>16</v>
      </c>
      <c r="E7" s="443">
        <f t="shared" si="0"/>
        <v>66400</v>
      </c>
      <c r="F7" s="443">
        <v>122</v>
      </c>
      <c r="G7" s="445">
        <f t="shared" si="1"/>
        <v>8100.8</v>
      </c>
      <c r="H7" s="444" t="s">
        <v>725</v>
      </c>
      <c r="I7" s="444"/>
      <c r="J7" s="595">
        <v>146.28</v>
      </c>
    </row>
    <row r="8" spans="1:11" ht="52" x14ac:dyDescent="0.35">
      <c r="B8" s="838"/>
      <c r="C8" s="442" t="s">
        <v>665</v>
      </c>
      <c r="D8" s="443">
        <v>40</v>
      </c>
      <c r="E8" s="443">
        <f t="shared" si="0"/>
        <v>166000</v>
      </c>
      <c r="F8" s="443">
        <v>122</v>
      </c>
      <c r="G8" s="445">
        <f t="shared" si="1"/>
        <v>20252</v>
      </c>
      <c r="H8" s="444" t="s">
        <v>725</v>
      </c>
      <c r="I8" s="444"/>
      <c r="J8" s="595">
        <v>365.7</v>
      </c>
    </row>
    <row r="9" spans="1:11" ht="52" x14ac:dyDescent="0.35">
      <c r="B9" s="838"/>
      <c r="C9" s="442" t="s">
        <v>666</v>
      </c>
      <c r="D9" s="443">
        <v>22</v>
      </c>
      <c r="E9" s="443">
        <f t="shared" si="0"/>
        <v>91300</v>
      </c>
      <c r="F9" s="443">
        <v>122</v>
      </c>
      <c r="G9" s="445">
        <f t="shared" si="1"/>
        <v>11138.6</v>
      </c>
      <c r="H9" s="444" t="s">
        <v>725</v>
      </c>
      <c r="I9" s="444"/>
      <c r="J9" s="595">
        <v>201.14</v>
      </c>
    </row>
    <row r="10" spans="1:11" ht="65" x14ac:dyDescent="0.35">
      <c r="B10" s="596" t="s">
        <v>7</v>
      </c>
      <c r="C10" s="597" t="s">
        <v>667</v>
      </c>
      <c r="D10" s="597">
        <v>10</v>
      </c>
      <c r="E10" s="597">
        <f t="shared" si="0"/>
        <v>41500</v>
      </c>
      <c r="F10" s="443">
        <v>122</v>
      </c>
      <c r="G10" s="445">
        <f t="shared" si="1"/>
        <v>5063</v>
      </c>
      <c r="H10" s="444" t="s">
        <v>725</v>
      </c>
      <c r="I10" s="444" t="s">
        <v>730</v>
      </c>
      <c r="J10" s="595">
        <v>101.18</v>
      </c>
    </row>
    <row r="11" spans="1:11" x14ac:dyDescent="0.35">
      <c r="E11" s="441"/>
      <c r="F11" s="441"/>
      <c r="G11" s="441"/>
    </row>
    <row r="12" spans="1:11" x14ac:dyDescent="0.35">
      <c r="C12" s="441"/>
      <c r="D12" s="441"/>
      <c r="E12" s="441"/>
      <c r="F12" s="441"/>
      <c r="G12" s="441"/>
    </row>
    <row r="13" spans="1:11" ht="41.25" customHeight="1" x14ac:dyDescent="0.35">
      <c r="B13" s="839" t="s">
        <v>668</v>
      </c>
      <c r="C13" s="839"/>
      <c r="D13" s="695" t="s">
        <v>669</v>
      </c>
      <c r="E13" s="692" t="s">
        <v>728</v>
      </c>
      <c r="F13" s="695" t="s">
        <v>727</v>
      </c>
      <c r="G13" s="692" t="s">
        <v>661</v>
      </c>
      <c r="H13" s="694" t="s">
        <v>731</v>
      </c>
      <c r="I13" s="695" t="s">
        <v>36</v>
      </c>
    </row>
    <row r="14" spans="1:11" ht="18.649999999999999" customHeight="1" x14ac:dyDescent="0.35">
      <c r="B14" s="840" t="s">
        <v>34</v>
      </c>
      <c r="C14" s="604" t="s">
        <v>670</v>
      </c>
      <c r="D14" s="597">
        <v>1</v>
      </c>
      <c r="E14" s="598">
        <v>200</v>
      </c>
      <c r="F14" s="598">
        <f>24*365</f>
        <v>8760</v>
      </c>
      <c r="G14" s="599">
        <f>((F14*E14)/1000)*D14</f>
        <v>1752</v>
      </c>
      <c r="H14" s="595">
        <v>31.64</v>
      </c>
      <c r="I14" s="594" t="s">
        <v>726</v>
      </c>
    </row>
    <row r="15" spans="1:11" ht="22" customHeight="1" x14ac:dyDescent="0.35">
      <c r="B15" s="840"/>
      <c r="C15" s="604" t="s">
        <v>671</v>
      </c>
      <c r="D15" s="597">
        <v>1</v>
      </c>
      <c r="E15" s="598">
        <v>201</v>
      </c>
      <c r="F15" s="598">
        <f t="shared" ref="F15:F16" si="2">24*365</f>
        <v>8760</v>
      </c>
      <c r="G15" s="599">
        <f t="shared" ref="G15:G16" si="3">((F15*E15)/1000)*D15</f>
        <v>1760.76</v>
      </c>
      <c r="H15" s="595">
        <v>31.8</v>
      </c>
      <c r="I15" s="594" t="s">
        <v>726</v>
      </c>
      <c r="J15" s="600"/>
    </row>
    <row r="16" spans="1:11" ht="21.65" customHeight="1" x14ac:dyDescent="0.35">
      <c r="B16" s="603" t="s">
        <v>7</v>
      </c>
      <c r="C16" s="597" t="s">
        <v>416</v>
      </c>
      <c r="D16" s="597">
        <v>2</v>
      </c>
      <c r="E16" s="598">
        <v>202</v>
      </c>
      <c r="F16" s="598">
        <f t="shared" si="2"/>
        <v>8760</v>
      </c>
      <c r="G16" s="599">
        <f t="shared" si="3"/>
        <v>3539.04</v>
      </c>
      <c r="H16" s="595">
        <v>63.91</v>
      </c>
      <c r="I16" s="594" t="s">
        <v>726</v>
      </c>
    </row>
    <row r="17" spans="5:7" x14ac:dyDescent="0.35">
      <c r="E17" s="441"/>
      <c r="F17" s="441"/>
      <c r="G17" s="441"/>
    </row>
  </sheetData>
  <mergeCells count="5">
    <mergeCell ref="B4:C4"/>
    <mergeCell ref="B5:B9"/>
    <mergeCell ref="B13:C13"/>
    <mergeCell ref="B14:B15"/>
    <mergeCell ref="B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8B3911917E5742B8E8EF299C7F0C8C" ma:contentTypeVersion="17" ma:contentTypeDescription="Create a new document." ma:contentTypeScope="" ma:versionID="7d09eb2113143070487d0c0adbe79926">
  <xsd:schema xmlns:xsd="http://www.w3.org/2001/XMLSchema" xmlns:xs="http://www.w3.org/2001/XMLSchema" xmlns:p="http://schemas.microsoft.com/office/2006/metadata/properties" xmlns:ns2="21ef1dca-44ee-4775-8824-7860583c2792" xmlns:ns3="5ee617bb-1b62-4061-bb9c-ec2aa7cdee9a" targetNamespace="http://schemas.microsoft.com/office/2006/metadata/properties" ma:root="true" ma:fieldsID="62a6d1a4c9891b311d9b7b5003513e35" ns2:_="" ns3:_="">
    <xsd:import namespace="21ef1dca-44ee-4775-8824-7860583c2792"/>
    <xsd:import namespace="5ee617bb-1b62-4061-bb9c-ec2aa7cdee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f1dca-44ee-4775-8824-7860583c27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166aa50-2606-4bee-b14b-7e98c91f201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e617bb-1b62-4061-bb9c-ec2aa7cdee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ce6fce-c9ec-402c-8773-0a9b7a8c7e95}" ma:internalName="TaxCatchAll" ma:showField="CatchAllData" ma:web="5ee617bb-1b62-4061-bb9c-ec2aa7cdee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ef1dca-44ee-4775-8824-7860583c2792">
      <Terms xmlns="http://schemas.microsoft.com/office/infopath/2007/PartnerControls"/>
    </lcf76f155ced4ddcb4097134ff3c332f>
    <TaxCatchAll xmlns="5ee617bb-1b62-4061-bb9c-ec2aa7cdee9a" xsi:nil="true"/>
  </documentManagement>
</p:properties>
</file>

<file path=customXml/itemProps1.xml><?xml version="1.0" encoding="utf-8"?>
<ds:datastoreItem xmlns:ds="http://schemas.openxmlformats.org/officeDocument/2006/customXml" ds:itemID="{E61C9F69-42AC-4ACE-8CF4-9C1488767803}">
  <ds:schemaRefs>
    <ds:schemaRef ds:uri="http://schemas.microsoft.com/sharepoint/v3/contenttype/forms"/>
  </ds:schemaRefs>
</ds:datastoreItem>
</file>

<file path=customXml/itemProps2.xml><?xml version="1.0" encoding="utf-8"?>
<ds:datastoreItem xmlns:ds="http://schemas.openxmlformats.org/officeDocument/2006/customXml" ds:itemID="{BF55A142-A958-44DF-851B-728E236F9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f1dca-44ee-4775-8824-7860583c2792"/>
    <ds:schemaRef ds:uri="5ee617bb-1b62-4061-bb9c-ec2aa7cdee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318675-5C28-44D9-9F80-181C99E7D4DB}">
  <ds:schemaRefs>
    <ds:schemaRef ds:uri="http://purl.org/dc/dcmitype/"/>
    <ds:schemaRef ds:uri="http://purl.org/dc/terms/"/>
    <ds:schemaRef ds:uri="http://schemas.microsoft.com/office/infopath/2007/PartnerControls"/>
    <ds:schemaRef ds:uri="http://schemas.microsoft.com/office/2006/documentManagement/types"/>
    <ds:schemaRef ds:uri="21ef1dca-44ee-4775-8824-7860583c2792"/>
    <ds:schemaRef ds:uri="http://purl.org/dc/elements/1.1/"/>
    <ds:schemaRef ds:uri="http://schemas.openxmlformats.org/package/2006/metadata/core-properties"/>
    <ds:schemaRef ds:uri="5ee617bb-1b62-4061-bb9c-ec2aa7cdee9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 Page</vt:lpstr>
      <vt:lpstr>Overview</vt:lpstr>
      <vt:lpstr>Benchmark summary</vt:lpstr>
      <vt:lpstr>Task 1 - Emission summary</vt:lpstr>
      <vt:lpstr>Task 2 - Series summary</vt:lpstr>
      <vt:lpstr>Task 3 - Material summary</vt:lpstr>
      <vt:lpstr>Task 2 - Asset lvl analysis</vt:lpstr>
      <vt:lpstr>Task 4 - Maintenance summary</vt:lpstr>
      <vt:lpstr>S02C download</vt:lpstr>
      <vt:lpstr>J Toonlane ET download</vt:lpstr>
      <vt:lpstr>J Baile ET download</vt:lpstr>
      <vt:lpstr>Side roads ET download</vt:lpstr>
      <vt:lpstr>S25A ET download</vt:lpstr>
      <vt:lpstr>Mainline ET download</vt:lpstr>
      <vt:lpstr>J Carringapooca ET download</vt:lpstr>
      <vt:lpstr>J Coolcour ET download</vt:lpstr>
      <vt:lpstr>J Gurteenroe ET Download</vt:lpstr>
      <vt:lpstr>Other structures</vt:lpstr>
      <vt:lpstr>AOB</vt:lpstr>
      <vt:lpstr>AUB</vt:lpstr>
      <vt:lpstr>CAUB</vt:lpstr>
      <vt:lpstr>CUB</vt:lpstr>
      <vt:lpstr>JUB</vt:lpstr>
      <vt:lpstr>OB</vt:lpstr>
      <vt:lpstr>PUP</vt:lpstr>
      <vt:lpstr>SR</vt:lpstr>
      <vt:lpstr>RB</vt:lpstr>
      <vt:lpstr>UB</vt:lpstr>
      <vt:lpstr>M</vt:lpstr>
      <vt:lpstr>J</vt:lpstr>
      <vt:lpstr>C</vt:lpstr>
      <vt:lpstr>M (no EW)</vt:lpstr>
      <vt:lpstr>Structure dimensions</vt:lpstr>
      <vt:lpstr>Operational Energy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Eleri</dc:creator>
  <cp:keywords/>
  <dc:description/>
  <cp:lastModifiedBy>Vincent O'Malley</cp:lastModifiedBy>
  <cp:revision/>
  <dcterms:created xsi:type="dcterms:W3CDTF">2023-08-21T11:17:26Z</dcterms:created>
  <dcterms:modified xsi:type="dcterms:W3CDTF">2025-04-14T14:32:03Z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0x010100D28B3911917E5742B8E8EF299C7F0C8C</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