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shortcut-targets-by-id\0B4cmHN5L2Sg0cGNyYjJsajZjYzQ\Ecochain Memory\002_Sales\002_Clients\TNO\2022 - PCR Ierland\"/>
    </mc:Choice>
  </mc:AlternateContent>
  <xr:revisionPtr revIDLastSave="0" documentId="13_ncr:1_{93007F21-2440-48BF-9112-711C6A40802C}" xr6:coauthVersionLast="47" xr6:coauthVersionMax="47" xr10:uidLastSave="{00000000-0000-0000-0000-000000000000}"/>
  <workbookProtection workbookAlgorithmName="SHA-512" workbookHashValue="7IoFPP54A6aCpZnt6Z9Qmm+XrmEHJJxWFODKNNO6kvtlXTjP1wlSmpiWe+B2pCpsP0jvJ+G8nhwEgKYrGXo48Q==" workbookSaltValue="j3u0b3ukFDAHLm9oBwKboA==" workbookSpinCount="100000" lockStructure="1"/>
  <bookViews>
    <workbookView xWindow="-108" yWindow="-108" windowWidth="23256" windowHeight="12456" xr2:uid="{00000000-000D-0000-FFFF-FFFF00000000}"/>
  </bookViews>
  <sheets>
    <sheet name="Input" sheetId="1" r:id="rId1"/>
    <sheet name="Results" sheetId="2" r:id="rId2"/>
    <sheet name="Help Amounts" sheetId="3" r:id="rId3"/>
    <sheet name="Help Moisture percentages" sheetId="5" r:id="rId4"/>
    <sheet name="Help Moisture content mixture" sheetId="6" r:id="rId5"/>
    <sheet name="Lijsten" sheetId="4" state="hidden" r:id="rId6"/>
    <sheet name="Projectinformatie" sheetId="7" state="hidden" r:id="rId7"/>
    <sheet name="Model" sheetId="8" state="hidden" r:id="rId8"/>
    <sheet name="Model_mengselspecifiek" sheetId="9" state="hidden" r:id="rId9"/>
    <sheet name="Model_specificmixture" sheetId="17" state="hidden" r:id="rId10"/>
    <sheet name="Invloedsfactoren" sheetId="10" state="hidden" r:id="rId11"/>
    <sheet name="Energiebalans" sheetId="11" state="hidden" r:id="rId12"/>
    <sheet name="Energiedragers" sheetId="12" state="hidden" r:id="rId13"/>
    <sheet name="Conversie" sheetId="13" state="hidden" r:id="rId14"/>
    <sheet name="DB_Overig" sheetId="14" state="hidden" r:id="rId15"/>
    <sheet name="Lists" sheetId="15" state="hidden" r:id="rId16"/>
    <sheet name="Lists2" sheetId="16" state="hidden" r:id="rId17"/>
  </sheets>
  <definedNames>
    <definedName name="AANVOERTEMPERATUUR">Lists!$B$62:$B$64</definedName>
    <definedName name="Bitumenverwarming">Lists!$B$32:$B$34</definedName>
    <definedName name="Brandstoftabel">DB_Overig!$B$178:$F$181</definedName>
    <definedName name="Button_table">Lists!$G$3:$J$24</definedName>
    <definedName name="DOORLOOPTIJD">Lists!$B$67:$B$69</definedName>
    <definedName name="Energiedragers">Energiedragers!$B$3:$B$50</definedName>
    <definedName name="Energiedragers_tabel">Energiedragers!$B$3:$M$50</definedName>
    <definedName name="ENERGY_CARRIERS_SELECT">Lists!$B$13</definedName>
    <definedName name="ISOLATIE">Lists!$B$72:$B$74</definedName>
    <definedName name="ISOLATIE2">Lists!$B$77:$B$79</definedName>
    <definedName name="ITEMS">Lists!$B$57:$B$59</definedName>
    <definedName name="Keuze_Ja_Nee" localSheetId="15">Lists!$B$23:$B$24</definedName>
    <definedName name="Keuze_Ja_Nee_Nvt">Lists!$B$27:$B$29</definedName>
    <definedName name="LOCATIE">Lists!$B$52:$B$54</definedName>
    <definedName name="PRODUCT_SELECT">Lists!$B$38:$B$43</definedName>
    <definedName name="SPECIFIC_DELIVERY_COSTS">Projectinformatie!$B$33:$D$34</definedName>
    <definedName name="TOTAL_ENERGY_CONSUMPTION">Lists!$B$46</definedName>
    <definedName name="TOTAL_ENERGY_COSTS">Lists!$B$49</definedName>
    <definedName name="Type_installatie">Lists!$B$18:$B$20</definedName>
    <definedName name="TypeMaatregel1">Lists!$B$3:$B$5</definedName>
    <definedName name="TypeMaatregel2">Lists!$B$8:$B$10</definedName>
    <definedName name="Z_56FC0FE9_9B3F_407A_AF7C_55F78A904BD4_.wvu.Cols" localSheetId="12">Energiedragers!$O:$IV</definedName>
    <definedName name="Z_56FC0FE9_9B3F_407A_AF7C_55F78A904BD4_.wvu.Cols" localSheetId="6">Projectinformatie!$F:$IV</definedName>
    <definedName name="Z_56FC0FE9_9B3F_407A_AF7C_55F78A904BD4_.wvu.Rows" localSheetId="12">Energiedragers!$20:$65536</definedName>
    <definedName name="Z_56FC0FE9_9B3F_407A_AF7C_55F78A904BD4_.wvu.Rows" localSheetId="6">Projectinformatie!$74:$65565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0" roundtripDataSignature="AMtx7mhFTNKxR0/ImyIdNjlbV8J4b8BdVA=="/>
    </ext>
  </extLst>
</workbook>
</file>

<file path=xl/calcChain.xml><?xml version="1.0" encoding="utf-8"?>
<calcChain xmlns="http://schemas.openxmlformats.org/spreadsheetml/2006/main">
  <c r="C22" i="1" l="1"/>
  <c r="C30" i="1"/>
  <c r="Q42" i="17"/>
  <c r="Y42" i="17"/>
  <c r="R43" i="17"/>
  <c r="S43" i="17"/>
  <c r="T43" i="17"/>
  <c r="U43" i="17"/>
  <c r="V43" i="17"/>
  <c r="W43" i="17"/>
  <c r="X43" i="17"/>
  <c r="Q44" i="17"/>
  <c r="Y44" i="17"/>
  <c r="R45" i="17"/>
  <c r="S45" i="17"/>
  <c r="T45" i="17"/>
  <c r="U45" i="17"/>
  <c r="V45" i="17"/>
  <c r="W45" i="17"/>
  <c r="X45" i="17"/>
  <c r="Q48" i="17"/>
  <c r="R48" i="17"/>
  <c r="S48" i="17"/>
  <c r="T48" i="17"/>
  <c r="U48" i="17"/>
  <c r="V48" i="17"/>
  <c r="W48" i="17"/>
  <c r="X48" i="17"/>
  <c r="Y48" i="17"/>
  <c r="Y49" i="17"/>
  <c r="Q50" i="17"/>
  <c r="R50" i="17"/>
  <c r="S50" i="17"/>
  <c r="T50" i="17"/>
  <c r="U50" i="17"/>
  <c r="V50" i="17"/>
  <c r="W50" i="17"/>
  <c r="X50" i="17"/>
  <c r="Y50" i="17"/>
  <c r="Q51" i="17"/>
  <c r="R51" i="17"/>
  <c r="S51" i="17"/>
  <c r="T51" i="17"/>
  <c r="U51" i="17"/>
  <c r="V51" i="17"/>
  <c r="W51" i="17"/>
  <c r="X51" i="17"/>
  <c r="Y51" i="17"/>
  <c r="P43" i="17"/>
  <c r="P45" i="17"/>
  <c r="P48" i="17"/>
  <c r="P50" i="17"/>
  <c r="P51" i="17"/>
  <c r="M57" i="17"/>
  <c r="M57" i="8"/>
  <c r="M56" i="17"/>
  <c r="M56" i="8"/>
  <c r="P54" i="8"/>
  <c r="E56" i="8"/>
  <c r="H70" i="7"/>
  <c r="B56" i="2"/>
  <c r="C24" i="1"/>
  <c r="C18" i="7" s="1"/>
  <c r="Q5" i="17"/>
  <c r="Q3" i="17"/>
  <c r="Q4" i="17" s="1"/>
  <c r="E50" i="17"/>
  <c r="F50" i="17"/>
  <c r="G50" i="17"/>
  <c r="H50" i="17"/>
  <c r="I50" i="17"/>
  <c r="J50" i="17"/>
  <c r="K50" i="17"/>
  <c r="L50" i="17"/>
  <c r="M50" i="17"/>
  <c r="D50" i="17"/>
  <c r="F49" i="17"/>
  <c r="G49" i="17"/>
  <c r="H49" i="17"/>
  <c r="I49" i="17"/>
  <c r="J49" i="17"/>
  <c r="K49" i="17"/>
  <c r="L49" i="17"/>
  <c r="D49" i="17"/>
  <c r="F29" i="17"/>
  <c r="F56" i="17" s="1"/>
  <c r="G29" i="17"/>
  <c r="H29" i="17"/>
  <c r="I29" i="17"/>
  <c r="I56" i="17" s="1"/>
  <c r="J29" i="17"/>
  <c r="K29" i="17"/>
  <c r="K56" i="17" s="1"/>
  <c r="L29" i="17"/>
  <c r="L56" i="17" s="1"/>
  <c r="D29" i="17"/>
  <c r="H56" i="17"/>
  <c r="F28" i="17"/>
  <c r="G28" i="17"/>
  <c r="H28" i="17"/>
  <c r="I28" i="17"/>
  <c r="J28" i="17"/>
  <c r="K28" i="17"/>
  <c r="L28" i="17"/>
  <c r="D28" i="17"/>
  <c r="D107" i="17"/>
  <c r="D106" i="17"/>
  <c r="D105" i="17"/>
  <c r="D104" i="17"/>
  <c r="D98" i="17"/>
  <c r="D94" i="17"/>
  <c r="M64" i="17"/>
  <c r="L64" i="17"/>
  <c r="K64" i="17"/>
  <c r="J64" i="17"/>
  <c r="M54" i="17"/>
  <c r="L54" i="17"/>
  <c r="K54" i="17"/>
  <c r="J54" i="17"/>
  <c r="I54" i="17"/>
  <c r="H54" i="17"/>
  <c r="G54" i="17"/>
  <c r="F54" i="17"/>
  <c r="E54" i="17"/>
  <c r="D54" i="17"/>
  <c r="M53" i="17"/>
  <c r="E38" i="17"/>
  <c r="E43" i="17" s="1"/>
  <c r="M37" i="17"/>
  <c r="L37" i="17"/>
  <c r="K37" i="17"/>
  <c r="J37" i="17"/>
  <c r="M36" i="17"/>
  <c r="L36" i="17"/>
  <c r="K36" i="17"/>
  <c r="J36" i="17"/>
  <c r="M35" i="17"/>
  <c r="L35" i="17"/>
  <c r="K35" i="17"/>
  <c r="J35" i="17"/>
  <c r="M34" i="17"/>
  <c r="I34" i="17"/>
  <c r="H34" i="17"/>
  <c r="G34" i="17"/>
  <c r="L34" i="17" s="1"/>
  <c r="F34" i="17"/>
  <c r="K34" i="17" s="1"/>
  <c r="D34" i="17"/>
  <c r="M33" i="17"/>
  <c r="I33" i="17"/>
  <c r="H33" i="17"/>
  <c r="G33" i="17"/>
  <c r="F33" i="17"/>
  <c r="F38" i="17" s="1"/>
  <c r="D33" i="17"/>
  <c r="M32" i="17"/>
  <c r="L32" i="17"/>
  <c r="K32" i="17"/>
  <c r="J32" i="17"/>
  <c r="D56" i="17"/>
  <c r="I8" i="17"/>
  <c r="I6" i="17"/>
  <c r="AQ96" i="8"/>
  <c r="AQ97" i="8"/>
  <c r="AQ98" i="8"/>
  <c r="AQ95" i="8"/>
  <c r="AR98" i="8"/>
  <c r="AR97" i="8"/>
  <c r="AR96" i="8"/>
  <c r="AR95" i="8"/>
  <c r="C36" i="2"/>
  <c r="E44" i="17" l="1"/>
  <c r="D38" i="17"/>
  <c r="F57" i="17"/>
  <c r="K33" i="17"/>
  <c r="E42" i="17"/>
  <c r="E45" i="17"/>
  <c r="E46" i="17"/>
  <c r="F41" i="17"/>
  <c r="M38" i="17"/>
  <c r="M46" i="17" s="1"/>
  <c r="E41" i="17"/>
  <c r="F42" i="17"/>
  <c r="M42" i="17"/>
  <c r="E40" i="17"/>
  <c r="D57" i="17"/>
  <c r="K57" i="17"/>
  <c r="J57" i="17"/>
  <c r="D45" i="17"/>
  <c r="D44" i="17"/>
  <c r="D43" i="17"/>
  <c r="D40" i="17"/>
  <c r="G56" i="17"/>
  <c r="G38" i="17"/>
  <c r="G41" i="17" s="1"/>
  <c r="L33" i="17"/>
  <c r="D42" i="17"/>
  <c r="J34" i="17"/>
  <c r="H38" i="17"/>
  <c r="H41" i="17" s="1"/>
  <c r="K38" i="17"/>
  <c r="F46" i="17"/>
  <c r="F45" i="17"/>
  <c r="F44" i="17"/>
  <c r="F43" i="17"/>
  <c r="F6" i="17" s="1"/>
  <c r="F40" i="17"/>
  <c r="G57" i="17"/>
  <c r="I38" i="17"/>
  <c r="I42" i="17" s="1"/>
  <c r="H57" i="17"/>
  <c r="J56" i="17"/>
  <c r="J38" i="17"/>
  <c r="J46" i="17" s="1"/>
  <c r="D46" i="17"/>
  <c r="I57" i="17"/>
  <c r="D41" i="17"/>
  <c r="J33" i="17"/>
  <c r="L57" i="17"/>
  <c r="D104" i="8"/>
  <c r="D105" i="8"/>
  <c r="AR94" i="8"/>
  <c r="AR93" i="8"/>
  <c r="AR88" i="8"/>
  <c r="AR89" i="8"/>
  <c r="AR90" i="8"/>
  <c r="AR83" i="8"/>
  <c r="AL7" i="8"/>
  <c r="AL5" i="8"/>
  <c r="AK11" i="8"/>
  <c r="AK8" i="8"/>
  <c r="AK6" i="8"/>
  <c r="AJ11" i="8"/>
  <c r="AJ8" i="8"/>
  <c r="AJ6" i="8"/>
  <c r="AI11" i="8"/>
  <c r="AI8" i="8"/>
  <c r="AI6" i="8"/>
  <c r="AL12" i="8"/>
  <c r="AL11" i="8"/>
  <c r="AC11" i="8"/>
  <c r="AC8" i="8"/>
  <c r="AC6" i="8"/>
  <c r="C104" i="7"/>
  <c r="D46" i="7"/>
  <c r="D47" i="7"/>
  <c r="D48" i="7"/>
  <c r="M54" i="8"/>
  <c r="E54" i="8"/>
  <c r="L54" i="8"/>
  <c r="K54" i="8"/>
  <c r="J54" i="8"/>
  <c r="M33" i="8"/>
  <c r="M34" i="8"/>
  <c r="M35" i="8"/>
  <c r="M36" i="8"/>
  <c r="M37" i="8"/>
  <c r="M32" i="8"/>
  <c r="L35" i="8"/>
  <c r="L36" i="8"/>
  <c r="L37" i="8"/>
  <c r="L32" i="8"/>
  <c r="K35" i="8"/>
  <c r="K36" i="8"/>
  <c r="K37" i="8"/>
  <c r="K32" i="8"/>
  <c r="J35" i="8"/>
  <c r="J36" i="8"/>
  <c r="J37" i="8"/>
  <c r="J32" i="8"/>
  <c r="C99" i="7"/>
  <c r="J29" i="8" s="1"/>
  <c r="J56" i="8" s="1"/>
  <c r="C100" i="7"/>
  <c r="K29" i="8" s="1"/>
  <c r="K56" i="8" s="1"/>
  <c r="C101" i="7"/>
  <c r="L29" i="8" s="1"/>
  <c r="L56" i="8" s="1"/>
  <c r="C90" i="7"/>
  <c r="J28" i="8" s="1"/>
  <c r="C91" i="7"/>
  <c r="K28" i="8" s="1"/>
  <c r="AX40" i="8" s="1"/>
  <c r="I28" i="2" s="1"/>
  <c r="C92" i="7"/>
  <c r="L28" i="8" s="1"/>
  <c r="C30" i="10"/>
  <c r="C47" i="7" s="1"/>
  <c r="D30" i="10"/>
  <c r="E30" i="10"/>
  <c r="C31" i="10"/>
  <c r="D31" i="10"/>
  <c r="F31" i="10" s="1"/>
  <c r="E31" i="10"/>
  <c r="L53" i="17" s="1"/>
  <c r="E29" i="10"/>
  <c r="D29" i="10"/>
  <c r="C29" i="10"/>
  <c r="C46" i="7" s="1"/>
  <c r="E76" i="1"/>
  <c r="D76" i="1"/>
  <c r="C76" i="1"/>
  <c r="C17" i="3"/>
  <c r="D17" i="3"/>
  <c r="E17" i="3"/>
  <c r="C18" i="3"/>
  <c r="D18" i="3"/>
  <c r="E18" i="3"/>
  <c r="C19" i="3"/>
  <c r="D19" i="3"/>
  <c r="E19" i="3"/>
  <c r="E12" i="3"/>
  <c r="F28" i="3"/>
  <c r="D16" i="3"/>
  <c r="C16" i="3"/>
  <c r="D57" i="7"/>
  <c r="D58" i="7"/>
  <c r="D59" i="7"/>
  <c r="D60" i="7"/>
  <c r="M53" i="8"/>
  <c r="J64" i="8"/>
  <c r="K64" i="8"/>
  <c r="L64" i="8"/>
  <c r="M64" i="8"/>
  <c r="AG80" i="9"/>
  <c r="AG79" i="9"/>
  <c r="I6" i="8"/>
  <c r="F26" i="6"/>
  <c r="H66" i="7"/>
  <c r="H67" i="7"/>
  <c r="H68" i="7"/>
  <c r="H69" i="7"/>
  <c r="H65" i="7"/>
  <c r="E36" i="2"/>
  <c r="B57" i="2" s="1"/>
  <c r="E10" i="2"/>
  <c r="B55" i="2"/>
  <c r="C10" i="2"/>
  <c r="E22" i="2"/>
  <c r="J53" i="17" l="1"/>
  <c r="E23" i="2"/>
  <c r="C57" i="2"/>
  <c r="K53" i="17"/>
  <c r="M45" i="17"/>
  <c r="M40" i="17"/>
  <c r="M43" i="17"/>
  <c r="J41" i="17"/>
  <c r="M41" i="17"/>
  <c r="M44" i="17"/>
  <c r="E5" i="17"/>
  <c r="G42" i="17"/>
  <c r="J40" i="17"/>
  <c r="J44" i="17"/>
  <c r="K46" i="17"/>
  <c r="K40" i="17"/>
  <c r="K45" i="17"/>
  <c r="K43" i="17"/>
  <c r="K44" i="17"/>
  <c r="J45" i="17"/>
  <c r="J42" i="17"/>
  <c r="H44" i="17"/>
  <c r="H43" i="17"/>
  <c r="H40" i="17"/>
  <c r="H46" i="17"/>
  <c r="H45" i="17"/>
  <c r="H42" i="17"/>
  <c r="K42" i="17"/>
  <c r="K41" i="17"/>
  <c r="J43" i="17"/>
  <c r="I46" i="17"/>
  <c r="I43" i="17"/>
  <c r="I40" i="17"/>
  <c r="I45" i="17"/>
  <c r="I44" i="17"/>
  <c r="I41" i="17"/>
  <c r="G45" i="17"/>
  <c r="G44" i="17"/>
  <c r="G43" i="17"/>
  <c r="G40" i="17"/>
  <c r="L38" i="17"/>
  <c r="L41" i="17" s="1"/>
  <c r="G46" i="17"/>
  <c r="J57" i="8"/>
  <c r="K53" i="8"/>
  <c r="E42" i="2"/>
  <c r="E44" i="2"/>
  <c r="E43" i="2"/>
  <c r="AW40" i="8"/>
  <c r="H28" i="2" s="1"/>
  <c r="AY40" i="8"/>
  <c r="J28" i="2" s="1"/>
  <c r="AX41" i="8"/>
  <c r="I29" i="2" s="1"/>
  <c r="AY41" i="8"/>
  <c r="J29" i="2" s="1"/>
  <c r="AW41" i="8"/>
  <c r="H29" i="2" s="1"/>
  <c r="L57" i="8"/>
  <c r="K57" i="8"/>
  <c r="L53" i="8"/>
  <c r="J53" i="8"/>
  <c r="C57" i="7"/>
  <c r="C58" i="7"/>
  <c r="C59" i="7"/>
  <c r="C48" i="7"/>
  <c r="C68" i="7"/>
  <c r="C60" i="7"/>
  <c r="F29" i="10"/>
  <c r="F30" i="10"/>
  <c r="E54" i="9"/>
  <c r="I54" i="9"/>
  <c r="H54" i="9"/>
  <c r="G54" i="9"/>
  <c r="F54" i="9"/>
  <c r="D54" i="9"/>
  <c r="I54" i="8"/>
  <c r="H54" i="8"/>
  <c r="G54" i="8"/>
  <c r="F54" i="8"/>
  <c r="D54" i="8"/>
  <c r="BF19" i="8"/>
  <c r="BK19" i="8"/>
  <c r="D28" i="9"/>
  <c r="F28" i="9"/>
  <c r="G28" i="9"/>
  <c r="H28" i="9"/>
  <c r="I28" i="9"/>
  <c r="E156" i="14"/>
  <c r="F178" i="14" s="1"/>
  <c r="H3" i="12"/>
  <c r="F3" i="12"/>
  <c r="D28" i="10"/>
  <c r="E28" i="10"/>
  <c r="C28" i="10"/>
  <c r="C27" i="10"/>
  <c r="D25" i="10"/>
  <c r="E25" i="10"/>
  <c r="C25" i="10"/>
  <c r="C76" i="7"/>
  <c r="D50" i="9"/>
  <c r="D49" i="9"/>
  <c r="I34" i="8"/>
  <c r="I33" i="8"/>
  <c r="H34" i="8"/>
  <c r="H33" i="8"/>
  <c r="G34" i="8"/>
  <c r="L34" i="8" s="1"/>
  <c r="G33" i="8"/>
  <c r="L33" i="8" s="1"/>
  <c r="F34" i="8"/>
  <c r="K34" i="8" s="1"/>
  <c r="F33" i="8"/>
  <c r="K33" i="8" s="1"/>
  <c r="D34" i="8"/>
  <c r="J34" i="8" s="1"/>
  <c r="D33" i="8"/>
  <c r="J33" i="8" s="1"/>
  <c r="E56" i="9"/>
  <c r="F49" i="9"/>
  <c r="H116" i="7"/>
  <c r="H117" i="7"/>
  <c r="H115" i="7"/>
  <c r="H112" i="7"/>
  <c r="H113" i="7"/>
  <c r="H111" i="7"/>
  <c r="H108" i="7"/>
  <c r="H109" i="7"/>
  <c r="H107" i="7"/>
  <c r="H102" i="7"/>
  <c r="C109" i="7" s="1"/>
  <c r="H75" i="7"/>
  <c r="H76" i="7"/>
  <c r="H74" i="7"/>
  <c r="H61" i="7"/>
  <c r="H62" i="7"/>
  <c r="H60" i="7"/>
  <c r="C67" i="7" s="1"/>
  <c r="D112" i="17" s="1"/>
  <c r="I53" i="17" l="1"/>
  <c r="H53" i="17"/>
  <c r="L25" i="8"/>
  <c r="L25" i="17"/>
  <c r="C80" i="17"/>
  <c r="C78" i="17"/>
  <c r="K25" i="8"/>
  <c r="K25" i="17"/>
  <c r="J25" i="8"/>
  <c r="J25" i="17"/>
  <c r="M25" i="8"/>
  <c r="M25" i="17"/>
  <c r="C68" i="17"/>
  <c r="I64" i="17"/>
  <c r="C64" i="17"/>
  <c r="C65" i="17" s="1"/>
  <c r="C66" i="17" s="1"/>
  <c r="C67" i="17"/>
  <c r="H64" i="17"/>
  <c r="G64" i="17"/>
  <c r="E64" i="17"/>
  <c r="D64" i="17"/>
  <c r="F64" i="17"/>
  <c r="C69" i="17"/>
  <c r="F57" i="9"/>
  <c r="L46" i="17"/>
  <c r="L45" i="17"/>
  <c r="L40" i="17"/>
  <c r="L44" i="17"/>
  <c r="L42" i="17"/>
  <c r="L43" i="17"/>
  <c r="C69" i="7"/>
  <c r="H53" i="8"/>
  <c r="D50" i="8"/>
  <c r="L50" i="8"/>
  <c r="M50" i="8"/>
  <c r="K50" i="8"/>
  <c r="J50" i="8"/>
  <c r="G50" i="8"/>
  <c r="C110" i="7"/>
  <c r="C184" i="14" s="1"/>
  <c r="C118" i="7"/>
  <c r="N75" i="17" s="1"/>
  <c r="C114" i="7"/>
  <c r="C188" i="14" s="1"/>
  <c r="D57" i="9"/>
  <c r="F50" i="8"/>
  <c r="H57" i="9"/>
  <c r="E50" i="8"/>
  <c r="C117" i="7"/>
  <c r="H50" i="8"/>
  <c r="I50" i="8"/>
  <c r="G57" i="9"/>
  <c r="I57" i="9"/>
  <c r="D38" i="9"/>
  <c r="F41" i="3"/>
  <c r="G41" i="3"/>
  <c r="F42" i="3"/>
  <c r="G42" i="3"/>
  <c r="G4" i="16"/>
  <c r="G3" i="16"/>
  <c r="E25" i="15"/>
  <c r="E24" i="15"/>
  <c r="E23" i="15"/>
  <c r="E22" i="15"/>
  <c r="F180" i="14"/>
  <c r="E180" i="14"/>
  <c r="B180" i="14"/>
  <c r="E179" i="14"/>
  <c r="E178" i="14"/>
  <c r="E174" i="14"/>
  <c r="F179" i="14" s="1"/>
  <c r="F181" i="14" s="1"/>
  <c r="C174" i="14"/>
  <c r="H173" i="14"/>
  <c r="I173" i="14" s="1"/>
  <c r="D173" i="14"/>
  <c r="D171" i="14"/>
  <c r="D170" i="14"/>
  <c r="H169" i="14"/>
  <c r="I169" i="14" s="1"/>
  <c r="D169" i="14"/>
  <c r="C165" i="14"/>
  <c r="H164" i="14"/>
  <c r="I164" i="14" s="1"/>
  <c r="D164" i="14"/>
  <c r="D162" i="14"/>
  <c r="D165" i="14" s="1"/>
  <c r="D161" i="14"/>
  <c r="E165" i="14" s="1"/>
  <c r="H160" i="14"/>
  <c r="D160" i="14"/>
  <c r="H155" i="14"/>
  <c r="I155" i="14" s="1"/>
  <c r="D155" i="14"/>
  <c r="D153" i="14"/>
  <c r="C151" i="14"/>
  <c r="H151" i="14" s="1"/>
  <c r="I151" i="14" s="1"/>
  <c r="C145" i="14"/>
  <c r="C140" i="14"/>
  <c r="C139" i="14"/>
  <c r="C134" i="14"/>
  <c r="C120" i="14"/>
  <c r="C121" i="14" s="1"/>
  <c r="C122" i="14" s="1"/>
  <c r="C123" i="14" s="1"/>
  <c r="C124" i="14" s="1"/>
  <c r="C125" i="14" s="1"/>
  <c r="C126" i="14" s="1"/>
  <c r="C127" i="14" s="1"/>
  <c r="C128" i="14" s="1"/>
  <c r="C111" i="14"/>
  <c r="C112" i="14" s="1"/>
  <c r="C113" i="14" s="1"/>
  <c r="C114" i="14" s="1"/>
  <c r="C115" i="14" s="1"/>
  <c r="C116" i="14" s="1"/>
  <c r="C117" i="14" s="1"/>
  <c r="C118" i="14" s="1"/>
  <c r="C110" i="14"/>
  <c r="C103" i="14"/>
  <c r="C104" i="14" s="1"/>
  <c r="C105" i="14" s="1"/>
  <c r="C106" i="14" s="1"/>
  <c r="C107" i="14" s="1"/>
  <c r="C108" i="14" s="1"/>
  <c r="C100" i="14"/>
  <c r="C101" i="14" s="1"/>
  <c r="C102" i="14" s="1"/>
  <c r="C91" i="14"/>
  <c r="C92" i="14" s="1"/>
  <c r="C93" i="14" s="1"/>
  <c r="C94" i="14" s="1"/>
  <c r="C95" i="14" s="1"/>
  <c r="C96" i="14" s="1"/>
  <c r="C97" i="14" s="1"/>
  <c r="C98" i="14" s="1"/>
  <c r="C90" i="14"/>
  <c r="C80" i="14"/>
  <c r="C81" i="14" s="1"/>
  <c r="C82" i="14" s="1"/>
  <c r="C83" i="14" s="1"/>
  <c r="C84" i="14" s="1"/>
  <c r="C85" i="14" s="1"/>
  <c r="C86" i="14" s="1"/>
  <c r="C87" i="14" s="1"/>
  <c r="C88" i="14" s="1"/>
  <c r="C77" i="14"/>
  <c r="C78" i="14" s="1"/>
  <c r="C76" i="14"/>
  <c r="C73" i="14"/>
  <c r="C74" i="14" s="1"/>
  <c r="C75" i="14" s="1"/>
  <c r="C70" i="14"/>
  <c r="C71" i="14" s="1"/>
  <c r="C72" i="14" s="1"/>
  <c r="C66" i="14"/>
  <c r="C67" i="14" s="1"/>
  <c r="C68" i="14" s="1"/>
  <c r="C65" i="14"/>
  <c r="C63" i="14"/>
  <c r="C60" i="14"/>
  <c r="C61" i="14" s="1"/>
  <c r="C62" i="14" s="1"/>
  <c r="C58" i="14"/>
  <c r="C56" i="14"/>
  <c r="C57" i="14" s="1"/>
  <c r="C55" i="14"/>
  <c r="C50" i="14"/>
  <c r="C51" i="14" s="1"/>
  <c r="C52" i="14" s="1"/>
  <c r="C53" i="14" s="1"/>
  <c r="C46" i="14"/>
  <c r="C47" i="14" s="1"/>
  <c r="C48" i="14" s="1"/>
  <c r="C45" i="14"/>
  <c r="C40" i="14"/>
  <c r="C41" i="14" s="1"/>
  <c r="C42" i="14" s="1"/>
  <c r="C43" i="14" s="1"/>
  <c r="F17" i="14"/>
  <c r="E17" i="14"/>
  <c r="D17" i="14"/>
  <c r="C17" i="14"/>
  <c r="C14" i="14"/>
  <c r="B9" i="14"/>
  <c r="B8" i="14"/>
  <c r="B7" i="14"/>
  <c r="B6" i="14"/>
  <c r="B5" i="14"/>
  <c r="B4" i="14"/>
  <c r="C92" i="13"/>
  <c r="C93" i="13" s="1"/>
  <c r="C88" i="13"/>
  <c r="C89" i="13" s="1"/>
  <c r="C87" i="13"/>
  <c r="C84" i="13"/>
  <c r="C82" i="13"/>
  <c r="C79" i="13"/>
  <c r="C80" i="13" s="1"/>
  <c r="C77" i="13"/>
  <c r="C75" i="13"/>
  <c r="C73" i="13"/>
  <c r="C71" i="13"/>
  <c r="C68" i="13"/>
  <c r="C67" i="13"/>
  <c r="C65" i="13"/>
  <c r="C66" i="13" s="1"/>
  <c r="C64" i="13"/>
  <c r="C63" i="13"/>
  <c r="C62" i="13"/>
  <c r="C61" i="13"/>
  <c r="C60" i="13"/>
  <c r="C59" i="13"/>
  <c r="C58" i="13"/>
  <c r="C55" i="13"/>
  <c r="C56" i="13" s="1"/>
  <c r="C50" i="13"/>
  <c r="C51" i="13" s="1"/>
  <c r="C48" i="13"/>
  <c r="C49" i="13" s="1"/>
  <c r="C46" i="13"/>
  <c r="C47" i="13" s="1"/>
  <c r="C44" i="13"/>
  <c r="C42" i="13"/>
  <c r="C41" i="13"/>
  <c r="C40" i="13"/>
  <c r="C39" i="13"/>
  <c r="C37" i="13"/>
  <c r="C33" i="13"/>
  <c r="C32" i="13"/>
  <c r="C34" i="13" s="1"/>
  <c r="C35" i="13" s="1"/>
  <c r="C30" i="13"/>
  <c r="C31" i="13" s="1"/>
  <c r="C26" i="13"/>
  <c r="C15" i="13"/>
  <c r="C13" i="13"/>
  <c r="C14" i="13" s="1"/>
  <c r="C8" i="13"/>
  <c r="C9" i="13" s="1"/>
  <c r="C7" i="13"/>
  <c r="C5" i="13"/>
  <c r="D50" i="12"/>
  <c r="H49" i="12"/>
  <c r="H48" i="12"/>
  <c r="H47" i="12"/>
  <c r="H46" i="12"/>
  <c r="H45" i="12"/>
  <c r="H44" i="12"/>
  <c r="H43" i="12"/>
  <c r="H42" i="12"/>
  <c r="H41" i="12"/>
  <c r="H40" i="12"/>
  <c r="H39" i="12"/>
  <c r="H38" i="12"/>
  <c r="H37" i="12"/>
  <c r="D37" i="12"/>
  <c r="H36" i="12"/>
  <c r="H35" i="12"/>
  <c r="D34" i="12"/>
  <c r="H34" i="12" s="1"/>
  <c r="H33" i="12"/>
  <c r="H32" i="12"/>
  <c r="H31" i="12"/>
  <c r="G31" i="12"/>
  <c r="F31" i="12"/>
  <c r="H30" i="12"/>
  <c r="H29" i="12"/>
  <c r="D28" i="12"/>
  <c r="H28" i="12" s="1"/>
  <c r="H27" i="12"/>
  <c r="F27" i="12"/>
  <c r="H26" i="12"/>
  <c r="D26" i="12"/>
  <c r="H25" i="12"/>
  <c r="H24" i="12"/>
  <c r="H23" i="12"/>
  <c r="H22" i="12"/>
  <c r="H21" i="12"/>
  <c r="D20" i="12"/>
  <c r="H20" i="12" s="1"/>
  <c r="H19" i="12"/>
  <c r="H18" i="12"/>
  <c r="D18" i="12"/>
  <c r="H17" i="12"/>
  <c r="H16" i="12"/>
  <c r="H15" i="12"/>
  <c r="H14" i="12"/>
  <c r="H13" i="12"/>
  <c r="H12" i="12"/>
  <c r="H11" i="12"/>
  <c r="G11" i="12"/>
  <c r="F11" i="12"/>
  <c r="H10" i="12"/>
  <c r="G10" i="12"/>
  <c r="F10" i="12"/>
  <c r="H9" i="12"/>
  <c r="G9" i="12"/>
  <c r="F9" i="12"/>
  <c r="H8" i="12"/>
  <c r="G8" i="12"/>
  <c r="F8" i="12"/>
  <c r="E181" i="14" s="1"/>
  <c r="H7" i="12"/>
  <c r="G7" i="12"/>
  <c r="F7" i="12"/>
  <c r="H6" i="12"/>
  <c r="G6" i="12"/>
  <c r="F6" i="12"/>
  <c r="H5" i="12"/>
  <c r="G5" i="12"/>
  <c r="F5" i="12"/>
  <c r="H4" i="12"/>
  <c r="G4" i="12"/>
  <c r="F4" i="12"/>
  <c r="D22" i="11"/>
  <c r="AF15" i="9" s="1"/>
  <c r="D21" i="11"/>
  <c r="AQ14" i="8" s="1"/>
  <c r="D20" i="11"/>
  <c r="AF13" i="9" s="1"/>
  <c r="D19" i="11"/>
  <c r="AF12" i="9" s="1"/>
  <c r="D18" i="11"/>
  <c r="AQ11" i="8" s="1"/>
  <c r="D17" i="11"/>
  <c r="AQ10" i="8" s="1"/>
  <c r="D16" i="11"/>
  <c r="AF9" i="9" s="1"/>
  <c r="D15" i="11"/>
  <c r="AF8" i="9" s="1"/>
  <c r="D14" i="11"/>
  <c r="AQ7" i="8" s="1"/>
  <c r="D13" i="11"/>
  <c r="AF6" i="9" s="1"/>
  <c r="G12" i="11"/>
  <c r="D12" i="11"/>
  <c r="C12" i="11"/>
  <c r="B12" i="11"/>
  <c r="C10" i="11"/>
  <c r="C9" i="11"/>
  <c r="C8" i="11"/>
  <c r="C7" i="11"/>
  <c r="C6" i="11"/>
  <c r="C5" i="11"/>
  <c r="H4" i="11"/>
  <c r="F4" i="11"/>
  <c r="E4" i="11"/>
  <c r="E6" i="11" s="1"/>
  <c r="C4" i="11"/>
  <c r="B3" i="11"/>
  <c r="C2" i="11"/>
  <c r="B2" i="11"/>
  <c r="F28" i="10"/>
  <c r="E27" i="10"/>
  <c r="F53" i="17" s="1"/>
  <c r="D27" i="10"/>
  <c r="C44" i="7"/>
  <c r="F26" i="10"/>
  <c r="H53" i="9"/>
  <c r="E24" i="10"/>
  <c r="D24" i="10"/>
  <c r="F24" i="10" s="1"/>
  <c r="C24" i="10"/>
  <c r="C41" i="7" s="1"/>
  <c r="E23" i="10"/>
  <c r="D23" i="10"/>
  <c r="C23" i="10"/>
  <c r="C40" i="7" s="1"/>
  <c r="F22" i="10"/>
  <c r="F21" i="10"/>
  <c r="F20" i="10"/>
  <c r="F19" i="10"/>
  <c r="F6" i="10"/>
  <c r="E6" i="10"/>
  <c r="F5" i="10"/>
  <c r="E5" i="10"/>
  <c r="D107" i="9"/>
  <c r="D105" i="9"/>
  <c r="D104" i="9"/>
  <c r="D98" i="9"/>
  <c r="D94" i="9"/>
  <c r="I53" i="9"/>
  <c r="I50" i="9"/>
  <c r="H50" i="9"/>
  <c r="G50" i="9"/>
  <c r="F50" i="9"/>
  <c r="E50" i="9"/>
  <c r="I49" i="9"/>
  <c r="H49" i="9"/>
  <c r="G49" i="9"/>
  <c r="AK40" i="9"/>
  <c r="E40" i="9"/>
  <c r="E38" i="9"/>
  <c r="AH34" i="9"/>
  <c r="AG33" i="9"/>
  <c r="G38" i="9"/>
  <c r="G46" i="9" s="1"/>
  <c r="AH31" i="9"/>
  <c r="AJ40" i="9"/>
  <c r="AH25" i="9"/>
  <c r="AH23" i="9"/>
  <c r="U18" i="9"/>
  <c r="AG63" i="9" s="1"/>
  <c r="AG16" i="9"/>
  <c r="AF16" i="9"/>
  <c r="AH15" i="9"/>
  <c r="AH32" i="9" s="1"/>
  <c r="AH14" i="9"/>
  <c r="AH12" i="9"/>
  <c r="AH29" i="9" s="1"/>
  <c r="AH11" i="9"/>
  <c r="AH28" i="9" s="1"/>
  <c r="AA11" i="9"/>
  <c r="Z11" i="9"/>
  <c r="Y11" i="9"/>
  <c r="X11" i="9"/>
  <c r="W11" i="9"/>
  <c r="V11" i="9"/>
  <c r="AH10" i="9"/>
  <c r="AH27" i="9" s="1"/>
  <c r="AH9" i="9"/>
  <c r="AH26" i="9" s="1"/>
  <c r="AH8" i="9"/>
  <c r="AA8" i="9"/>
  <c r="Z8" i="9"/>
  <c r="Y8" i="9"/>
  <c r="X8" i="9"/>
  <c r="V8" i="9"/>
  <c r="I8" i="9"/>
  <c r="AH7" i="9"/>
  <c r="AH24" i="9" s="1"/>
  <c r="W7" i="9"/>
  <c r="AH6" i="9"/>
  <c r="AA6" i="9"/>
  <c r="Z6" i="9"/>
  <c r="Y6" i="9"/>
  <c r="V6" i="9"/>
  <c r="I6" i="9"/>
  <c r="D107" i="8"/>
  <c r="D106" i="8"/>
  <c r="D98" i="8"/>
  <c r="D94" i="8"/>
  <c r="AR87" i="8"/>
  <c r="AR86" i="8"/>
  <c r="AR85" i="8"/>
  <c r="AR84" i="8"/>
  <c r="I53" i="8"/>
  <c r="E38" i="8"/>
  <c r="AS34" i="8"/>
  <c r="D21" i="2" s="1"/>
  <c r="AB18" i="8"/>
  <c r="AR63" i="8" s="1"/>
  <c r="AR16" i="8"/>
  <c r="AR33" i="8" s="1"/>
  <c r="C20" i="2" s="1"/>
  <c r="AQ16" i="8"/>
  <c r="AS15" i="8"/>
  <c r="AS32" i="8" s="1"/>
  <c r="D19" i="2" s="1"/>
  <c r="AS14" i="8"/>
  <c r="AS31" i="8" s="1"/>
  <c r="D18" i="2" s="1"/>
  <c r="AS12" i="8"/>
  <c r="AS29" i="8" s="1"/>
  <c r="AS11" i="8"/>
  <c r="AS28" i="8" s="1"/>
  <c r="D16" i="2" s="1"/>
  <c r="AH11" i="8"/>
  <c r="AG11" i="8"/>
  <c r="AF11" i="8"/>
  <c r="AE11" i="8"/>
  <c r="AD11" i="8"/>
  <c r="AS10" i="8"/>
  <c r="AS27" i="8" s="1"/>
  <c r="D15" i="2" s="1"/>
  <c r="AS9" i="8"/>
  <c r="AS26" i="8" s="1"/>
  <c r="D14" i="2" s="1"/>
  <c r="AS8" i="8"/>
  <c r="AS25" i="8" s="1"/>
  <c r="D13" i="2" s="1"/>
  <c r="AG8" i="8"/>
  <c r="AF8" i="8"/>
  <c r="AE8" i="8"/>
  <c r="I8" i="8"/>
  <c r="AH8" i="8" s="1"/>
  <c r="AS7" i="8"/>
  <c r="AS24" i="8" s="1"/>
  <c r="D12" i="2" s="1"/>
  <c r="AD7" i="8"/>
  <c r="AS6" i="8"/>
  <c r="AG6" i="8"/>
  <c r="AF6" i="8"/>
  <c r="AH6" i="8"/>
  <c r="C122" i="7"/>
  <c r="D113" i="17" s="1"/>
  <c r="C121" i="7"/>
  <c r="C120" i="7"/>
  <c r="C113" i="7"/>
  <c r="C187" i="14" s="1"/>
  <c r="C112" i="7"/>
  <c r="C186" i="14" s="1"/>
  <c r="C111" i="7"/>
  <c r="C185" i="14" s="1"/>
  <c r="D115" i="7"/>
  <c r="C105" i="7"/>
  <c r="C103" i="7"/>
  <c r="C98" i="7"/>
  <c r="C97" i="7"/>
  <c r="F29" i="8" s="1"/>
  <c r="AS41" i="8" s="1"/>
  <c r="C96" i="7"/>
  <c r="C95" i="7"/>
  <c r="C94" i="7"/>
  <c r="C93" i="7"/>
  <c r="D29" i="9" s="1"/>
  <c r="D56" i="9" s="1"/>
  <c r="C89" i="7"/>
  <c r="C88" i="7"/>
  <c r="M23" i="9" s="1"/>
  <c r="C87" i="7"/>
  <c r="C86" i="7"/>
  <c r="C85" i="7"/>
  <c r="C83" i="7"/>
  <c r="C82" i="7"/>
  <c r="C81" i="7"/>
  <c r="C80" i="7"/>
  <c r="C79" i="7"/>
  <c r="C75" i="7"/>
  <c r="C74" i="7"/>
  <c r="C73" i="7"/>
  <c r="D70" i="7"/>
  <c r="AB17" i="8"/>
  <c r="AR62" i="8" s="1"/>
  <c r="D65" i="7"/>
  <c r="D63" i="7"/>
  <c r="D56" i="7"/>
  <c r="C56" i="7"/>
  <c r="I25" i="17" s="1"/>
  <c r="D55" i="7"/>
  <c r="D54" i="7"/>
  <c r="D53" i="7"/>
  <c r="D52" i="7"/>
  <c r="D51" i="7"/>
  <c r="D49" i="7"/>
  <c r="D45" i="7"/>
  <c r="C45" i="7"/>
  <c r="D44" i="7"/>
  <c r="D43" i="7"/>
  <c r="C43" i="7"/>
  <c r="D42" i="7"/>
  <c r="C42" i="7"/>
  <c r="D41" i="7"/>
  <c r="D40" i="7"/>
  <c r="D39" i="7"/>
  <c r="C39" i="7"/>
  <c r="D38" i="7"/>
  <c r="C38" i="7"/>
  <c r="D37" i="7"/>
  <c r="C37" i="7"/>
  <c r="D36" i="7"/>
  <c r="C36" i="7"/>
  <c r="B34" i="7"/>
  <c r="D34" i="7" s="1"/>
  <c r="B33" i="7"/>
  <c r="B31" i="7"/>
  <c r="D31" i="7" s="1"/>
  <c r="B30" i="7"/>
  <c r="D30" i="7" s="1"/>
  <c r="D28" i="7"/>
  <c r="C28" i="7"/>
  <c r="D27" i="7"/>
  <c r="B27" i="7"/>
  <c r="D26" i="7"/>
  <c r="B26" i="7"/>
  <c r="D24" i="7"/>
  <c r="D23" i="7"/>
  <c r="B23" i="7"/>
  <c r="D22" i="7"/>
  <c r="B22" i="7"/>
  <c r="D20" i="7"/>
  <c r="D19" i="7"/>
  <c r="B19" i="7"/>
  <c r="D18" i="7"/>
  <c r="B82" i="15"/>
  <c r="D17" i="7"/>
  <c r="B17" i="7"/>
  <c r="D16" i="7"/>
  <c r="C16" i="7"/>
  <c r="I111" i="5"/>
  <c r="F111" i="5"/>
  <c r="E111" i="5"/>
  <c r="I110" i="5"/>
  <c r="F110" i="5"/>
  <c r="E110" i="5"/>
  <c r="I109" i="5"/>
  <c r="F109" i="5"/>
  <c r="E109" i="5"/>
  <c r="I108" i="5"/>
  <c r="F108" i="5"/>
  <c r="E108" i="5"/>
  <c r="I107" i="5"/>
  <c r="F107" i="5"/>
  <c r="E107" i="5"/>
  <c r="I106" i="5"/>
  <c r="F106" i="5"/>
  <c r="E106" i="5"/>
  <c r="I105" i="5"/>
  <c r="F105" i="5"/>
  <c r="E105" i="5"/>
  <c r="I104" i="5"/>
  <c r="F104" i="5"/>
  <c r="E104" i="5"/>
  <c r="I103" i="5"/>
  <c r="F103" i="5"/>
  <c r="E103" i="5"/>
  <c r="I102" i="5"/>
  <c r="F102" i="5"/>
  <c r="E102" i="5"/>
  <c r="I101" i="5"/>
  <c r="F101" i="5"/>
  <c r="E101" i="5"/>
  <c r="I100" i="5"/>
  <c r="F100" i="5"/>
  <c r="E100" i="5"/>
  <c r="I99" i="5"/>
  <c r="F99" i="5"/>
  <c r="E99" i="5"/>
  <c r="I98" i="5"/>
  <c r="F98" i="5"/>
  <c r="E98" i="5"/>
  <c r="I97" i="5"/>
  <c r="F97" i="5"/>
  <c r="E97" i="5"/>
  <c r="I96" i="5"/>
  <c r="F96" i="5"/>
  <c r="E96" i="5"/>
  <c r="I95" i="5"/>
  <c r="F95" i="5"/>
  <c r="E95" i="5"/>
  <c r="I94" i="5"/>
  <c r="F94" i="5"/>
  <c r="E94" i="5"/>
  <c r="I93" i="5"/>
  <c r="F93" i="5"/>
  <c r="E93" i="5"/>
  <c r="I92" i="5"/>
  <c r="F92" i="5"/>
  <c r="E92" i="5"/>
  <c r="I91" i="5"/>
  <c r="F91" i="5"/>
  <c r="E91" i="5"/>
  <c r="I90" i="5"/>
  <c r="F90" i="5"/>
  <c r="E90" i="5"/>
  <c r="I89" i="5"/>
  <c r="F89" i="5"/>
  <c r="E89" i="5"/>
  <c r="I88" i="5"/>
  <c r="F88" i="5"/>
  <c r="E88" i="5"/>
  <c r="I87" i="5"/>
  <c r="F87" i="5"/>
  <c r="E87" i="5"/>
  <c r="I86" i="5"/>
  <c r="F86" i="5"/>
  <c r="E86" i="5"/>
  <c r="I85" i="5"/>
  <c r="F85" i="5"/>
  <c r="E85" i="5"/>
  <c r="I84" i="5"/>
  <c r="F84" i="5"/>
  <c r="E84" i="5"/>
  <c r="I83" i="5"/>
  <c r="F83" i="5"/>
  <c r="E83" i="5"/>
  <c r="I82" i="5"/>
  <c r="F82" i="5"/>
  <c r="E82" i="5"/>
  <c r="I81" i="5"/>
  <c r="F81" i="5"/>
  <c r="E81" i="5"/>
  <c r="I80" i="5"/>
  <c r="F80" i="5"/>
  <c r="E80" i="5"/>
  <c r="I79" i="5"/>
  <c r="F79" i="5"/>
  <c r="E79" i="5"/>
  <c r="I78" i="5"/>
  <c r="F78" i="5"/>
  <c r="E78" i="5"/>
  <c r="I77" i="5"/>
  <c r="F77" i="5"/>
  <c r="E77" i="5"/>
  <c r="I76" i="5"/>
  <c r="F76" i="5"/>
  <c r="E76" i="5"/>
  <c r="I75" i="5"/>
  <c r="F75" i="5"/>
  <c r="E75" i="5"/>
  <c r="I74" i="5"/>
  <c r="F74" i="5"/>
  <c r="E74" i="5"/>
  <c r="I73" i="5"/>
  <c r="F73" i="5"/>
  <c r="E73" i="5"/>
  <c r="I72" i="5"/>
  <c r="F72" i="5"/>
  <c r="E72" i="5"/>
  <c r="I71" i="5"/>
  <c r="F71" i="5"/>
  <c r="E71" i="5"/>
  <c r="I70" i="5"/>
  <c r="F70" i="5"/>
  <c r="E70" i="5"/>
  <c r="I69" i="5"/>
  <c r="F69" i="5"/>
  <c r="E69" i="5"/>
  <c r="I68" i="5"/>
  <c r="F68" i="5"/>
  <c r="E68" i="5"/>
  <c r="I67" i="5"/>
  <c r="F67" i="5"/>
  <c r="E67" i="5"/>
  <c r="I66" i="5"/>
  <c r="F66" i="5"/>
  <c r="E66" i="5"/>
  <c r="I65" i="5"/>
  <c r="F65" i="5"/>
  <c r="E65" i="5"/>
  <c r="I64" i="5"/>
  <c r="F64" i="5"/>
  <c r="E64" i="5"/>
  <c r="I63" i="5"/>
  <c r="F63" i="5"/>
  <c r="E63" i="5"/>
  <c r="I62" i="5"/>
  <c r="F62" i="5"/>
  <c r="E62" i="5"/>
  <c r="I61" i="5"/>
  <c r="F61" i="5"/>
  <c r="E61" i="5"/>
  <c r="I60" i="5"/>
  <c r="F60" i="5"/>
  <c r="E60" i="5"/>
  <c r="I59" i="5"/>
  <c r="F59" i="5"/>
  <c r="E59" i="5"/>
  <c r="I58" i="5"/>
  <c r="F58" i="5"/>
  <c r="E58" i="5"/>
  <c r="I57" i="5"/>
  <c r="F57" i="5"/>
  <c r="E57" i="5"/>
  <c r="I56" i="5"/>
  <c r="F56" i="5"/>
  <c r="E56" i="5"/>
  <c r="I55" i="5"/>
  <c r="F55" i="5"/>
  <c r="E55" i="5"/>
  <c r="I54" i="5"/>
  <c r="F54" i="5"/>
  <c r="E54" i="5"/>
  <c r="I53" i="5"/>
  <c r="F53" i="5"/>
  <c r="E53" i="5"/>
  <c r="I52" i="5"/>
  <c r="F52" i="5"/>
  <c r="E52" i="5"/>
  <c r="I51" i="5"/>
  <c r="F51" i="5"/>
  <c r="E51" i="5"/>
  <c r="I50" i="5"/>
  <c r="F50" i="5"/>
  <c r="E50" i="5"/>
  <c r="I49" i="5"/>
  <c r="F49" i="5"/>
  <c r="E49" i="5"/>
  <c r="I48" i="5"/>
  <c r="F48" i="5"/>
  <c r="E48" i="5"/>
  <c r="I47" i="5"/>
  <c r="F47" i="5"/>
  <c r="E47" i="5"/>
  <c r="I46" i="5"/>
  <c r="F46" i="5"/>
  <c r="E46" i="5"/>
  <c r="I45" i="5"/>
  <c r="F45" i="5"/>
  <c r="E45" i="5"/>
  <c r="I44" i="5"/>
  <c r="F44" i="5"/>
  <c r="E44" i="5"/>
  <c r="I43" i="5"/>
  <c r="F43" i="5"/>
  <c r="E43" i="5"/>
  <c r="I42" i="5"/>
  <c r="F42" i="5"/>
  <c r="E42" i="5"/>
  <c r="I41" i="5"/>
  <c r="F41" i="5"/>
  <c r="E41" i="5"/>
  <c r="I40" i="5"/>
  <c r="F40" i="5"/>
  <c r="E40" i="5"/>
  <c r="I39" i="5"/>
  <c r="F39" i="5"/>
  <c r="E39" i="5"/>
  <c r="I38" i="5"/>
  <c r="F38" i="5"/>
  <c r="E38" i="5"/>
  <c r="I37" i="5"/>
  <c r="F37" i="5"/>
  <c r="L22" i="6" s="1"/>
  <c r="E37" i="5"/>
  <c r="I36" i="5"/>
  <c r="F36" i="5"/>
  <c r="E36" i="5"/>
  <c r="I35" i="5"/>
  <c r="F35" i="5"/>
  <c r="E35" i="5"/>
  <c r="F34" i="5"/>
  <c r="E34" i="5"/>
  <c r="F33" i="5"/>
  <c r="L26" i="6" s="1"/>
  <c r="E33" i="5"/>
  <c r="F32" i="5"/>
  <c r="E32" i="5"/>
  <c r="F31" i="5"/>
  <c r="L21" i="6" s="1"/>
  <c r="O21" i="6" s="1"/>
  <c r="E31" i="5"/>
  <c r="F21" i="6" s="1"/>
  <c r="I21" i="6" s="1"/>
  <c r="F30" i="5"/>
  <c r="E30" i="5"/>
  <c r="F29" i="5"/>
  <c r="L19" i="6" s="1"/>
  <c r="E29" i="5"/>
  <c r="F28" i="5"/>
  <c r="E28" i="5"/>
  <c r="F27" i="5"/>
  <c r="E27" i="5"/>
  <c r="F26" i="5"/>
  <c r="E26" i="5"/>
  <c r="F25" i="5"/>
  <c r="E25" i="5"/>
  <c r="F24" i="5"/>
  <c r="E24" i="5"/>
  <c r="F23" i="5"/>
  <c r="L24" i="6" s="1"/>
  <c r="E23" i="5"/>
  <c r="F24" i="6" s="1"/>
  <c r="F22" i="5"/>
  <c r="E22" i="5"/>
  <c r="D18" i="5"/>
  <c r="I23" i="5" s="1"/>
  <c r="D17" i="5"/>
  <c r="I30" i="5" s="1"/>
  <c r="D16" i="5"/>
  <c r="D15" i="5"/>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0" i="3"/>
  <c r="F40" i="3"/>
  <c r="G39" i="3"/>
  <c r="F39" i="3"/>
  <c r="G38" i="3"/>
  <c r="F38" i="3"/>
  <c r="G37" i="3"/>
  <c r="F37" i="3"/>
  <c r="G36" i="3"/>
  <c r="F36" i="3"/>
  <c r="G35" i="3"/>
  <c r="F35" i="3"/>
  <c r="G34" i="3"/>
  <c r="F34" i="3"/>
  <c r="G33" i="3"/>
  <c r="F33" i="3"/>
  <c r="G32" i="3"/>
  <c r="F32" i="3"/>
  <c r="G31" i="3"/>
  <c r="F31" i="3"/>
  <c r="G30" i="3"/>
  <c r="E15" i="3" s="1"/>
  <c r="F30" i="3"/>
  <c r="D15" i="3" s="1"/>
  <c r="G29" i="3"/>
  <c r="F29" i="3"/>
  <c r="D13" i="3" s="1"/>
  <c r="G28" i="3"/>
  <c r="G27" i="3"/>
  <c r="F27" i="3"/>
  <c r="G26" i="3"/>
  <c r="F26" i="3"/>
  <c r="G25" i="3"/>
  <c r="F25" i="3"/>
  <c r="G24" i="3"/>
  <c r="F24" i="3"/>
  <c r="C15" i="3"/>
  <c r="C14" i="3"/>
  <c r="C13" i="3"/>
  <c r="C12" i="3"/>
  <c r="I24" i="5" l="1"/>
  <c r="I22" i="5"/>
  <c r="I31" i="5"/>
  <c r="F19" i="6"/>
  <c r="I19" i="6" s="1"/>
  <c r="F22" i="6"/>
  <c r="I22" i="6" s="1"/>
  <c r="L25" i="6"/>
  <c r="M25" i="6" s="1"/>
  <c r="F55" i="8"/>
  <c r="F5" i="8" s="1"/>
  <c r="M6" i="17"/>
  <c r="Y43" i="17" s="1"/>
  <c r="G55" i="17"/>
  <c r="M6" i="8"/>
  <c r="F23" i="10"/>
  <c r="D53" i="17"/>
  <c r="G53" i="17"/>
  <c r="J74" i="9"/>
  <c r="N74" i="17"/>
  <c r="K55" i="8"/>
  <c r="L58" i="17" a="1"/>
  <c r="L58" i="17" s="1"/>
  <c r="L7" i="17" s="1"/>
  <c r="X44" i="17" s="1"/>
  <c r="F58" i="17" a="1"/>
  <c r="F58" i="17" s="1"/>
  <c r="F7" i="17" s="1"/>
  <c r="R44" i="17" s="1"/>
  <c r="K58" i="17" a="1"/>
  <c r="K58" i="17" s="1"/>
  <c r="K7" i="17" s="1"/>
  <c r="W44" i="17" s="1"/>
  <c r="D58" i="17" a="1"/>
  <c r="D58" i="17" s="1"/>
  <c r="D7" i="17" s="1"/>
  <c r="P44" i="17" s="1"/>
  <c r="J58" i="17" a="1"/>
  <c r="J58" i="17" s="1"/>
  <c r="J7" i="17" s="1"/>
  <c r="V44" i="17" s="1"/>
  <c r="I58" i="17" a="1"/>
  <c r="I58" i="17" s="1"/>
  <c r="I7" i="17" s="1"/>
  <c r="U44" i="17" s="1"/>
  <c r="G58" i="17" a="1"/>
  <c r="G58" i="17" s="1"/>
  <c r="G7" i="17" s="1"/>
  <c r="S44" i="17" s="1"/>
  <c r="H58" i="17" a="1"/>
  <c r="H58" i="17" s="1"/>
  <c r="H7" i="17" s="1"/>
  <c r="T44" i="17" s="1"/>
  <c r="F55" i="17"/>
  <c r="F5" i="17" s="1"/>
  <c r="R42" i="17" s="1"/>
  <c r="D55" i="17"/>
  <c r="D5" i="17" s="1"/>
  <c r="P42" i="17" s="1"/>
  <c r="J55" i="17"/>
  <c r="J5" i="17" s="1"/>
  <c r="V42" i="17" s="1"/>
  <c r="L55" i="17"/>
  <c r="L5" i="17" s="1"/>
  <c r="X42" i="17" s="1"/>
  <c r="I55" i="17"/>
  <c r="I5" i="17" s="1"/>
  <c r="U42" i="17" s="1"/>
  <c r="H55" i="17"/>
  <c r="H5" i="17" s="1"/>
  <c r="T42" i="17" s="1"/>
  <c r="G5" i="17"/>
  <c r="S42" i="17" s="1"/>
  <c r="K55" i="17"/>
  <c r="K5" i="17" s="1"/>
  <c r="W42" i="17" s="1"/>
  <c r="F8" i="11"/>
  <c r="O20" i="8"/>
  <c r="AN20" i="8"/>
  <c r="C20" i="3"/>
  <c r="O19" i="8"/>
  <c r="AN19" i="8"/>
  <c r="J55" i="8"/>
  <c r="L55" i="8"/>
  <c r="L58" i="8" a="1"/>
  <c r="L58" i="8" s="1"/>
  <c r="AY42" i="8" s="1"/>
  <c r="J30" i="2" s="1"/>
  <c r="J58" i="8" a="1"/>
  <c r="J58" i="8" s="1"/>
  <c r="K58" i="8" a="1"/>
  <c r="K58" i="8" s="1"/>
  <c r="AX42" i="8" s="1"/>
  <c r="I30" i="2" s="1"/>
  <c r="AQ15" i="8"/>
  <c r="AQ9" i="8"/>
  <c r="E43" i="8"/>
  <c r="M38" i="8"/>
  <c r="D53" i="8"/>
  <c r="C52" i="7"/>
  <c r="E25" i="17" s="1"/>
  <c r="E57" i="17" s="1"/>
  <c r="E6" i="17" s="1"/>
  <c r="Q43" i="17" s="1"/>
  <c r="D58" i="8" a="1"/>
  <c r="D58" i="8" s="1"/>
  <c r="G29" i="8"/>
  <c r="J49" i="8"/>
  <c r="D49" i="8"/>
  <c r="M49" i="8"/>
  <c r="K49" i="8"/>
  <c r="L49" i="8"/>
  <c r="L37" i="12"/>
  <c r="M37" i="12" s="1"/>
  <c r="I28" i="8"/>
  <c r="O23" i="9"/>
  <c r="H28" i="8"/>
  <c r="E16" i="3"/>
  <c r="E13" i="3"/>
  <c r="E20" i="3" s="1"/>
  <c r="D12" i="3"/>
  <c r="D14" i="3"/>
  <c r="E14" i="3"/>
  <c r="E40" i="2"/>
  <c r="E38" i="2"/>
  <c r="E37" i="2"/>
  <c r="E41" i="2"/>
  <c r="E39" i="2"/>
  <c r="I25" i="8"/>
  <c r="E44" i="8"/>
  <c r="E40" i="8"/>
  <c r="E45" i="8"/>
  <c r="E41" i="8"/>
  <c r="AF11" i="9"/>
  <c r="E42" i="8"/>
  <c r="E46" i="8"/>
  <c r="I29" i="5"/>
  <c r="I27" i="5"/>
  <c r="I26" i="5"/>
  <c r="F25" i="6"/>
  <c r="G25" i="6" s="1"/>
  <c r="F23" i="6"/>
  <c r="I23" i="6" s="1"/>
  <c r="L23" i="6"/>
  <c r="O23" i="6" s="1"/>
  <c r="F20" i="6"/>
  <c r="G20" i="6" s="1"/>
  <c r="I25" i="5"/>
  <c r="L20" i="6"/>
  <c r="O20" i="6" s="1"/>
  <c r="E5" i="11"/>
  <c r="E12" i="11" s="1"/>
  <c r="I58" i="9" a="1"/>
  <c r="I58" i="9" s="1"/>
  <c r="AK42" i="9" s="1"/>
  <c r="D29" i="2"/>
  <c r="F56" i="8"/>
  <c r="D29" i="8"/>
  <c r="I25" i="9"/>
  <c r="G49" i="8"/>
  <c r="I49" i="8"/>
  <c r="T7" i="8" s="1"/>
  <c r="H49" i="8"/>
  <c r="F49" i="8"/>
  <c r="F27" i="10"/>
  <c r="I58" i="8" a="1"/>
  <c r="I58" i="8" s="1"/>
  <c r="AV42" i="8" s="1"/>
  <c r="G30" i="2" s="1"/>
  <c r="E49" i="8"/>
  <c r="G53" i="8"/>
  <c r="G58" i="8" s="1" a="1"/>
  <c r="G58" i="8" s="1"/>
  <c r="H58" i="9" a="1"/>
  <c r="H58" i="9" s="1"/>
  <c r="D53" i="9"/>
  <c r="D55" i="9" s="1"/>
  <c r="AF7" i="9"/>
  <c r="AQ12" i="8"/>
  <c r="AQ6" i="8"/>
  <c r="AQ8" i="8"/>
  <c r="AF10" i="9"/>
  <c r="AF14" i="9"/>
  <c r="F53" i="9"/>
  <c r="F58" i="9" s="1" a="1"/>
  <c r="F58" i="9" s="1"/>
  <c r="C54" i="7"/>
  <c r="G25" i="17" s="1"/>
  <c r="C51" i="7"/>
  <c r="D25" i="17" s="1"/>
  <c r="C49" i="7"/>
  <c r="C55" i="7"/>
  <c r="F25" i="17" s="1"/>
  <c r="F53" i="8"/>
  <c r="F58" i="8" s="1" a="1"/>
  <c r="F58" i="8" s="1"/>
  <c r="P23" i="9"/>
  <c r="C32" i="10"/>
  <c r="S23" i="8"/>
  <c r="F38" i="8"/>
  <c r="AG41" i="9"/>
  <c r="C189" i="14"/>
  <c r="N74" i="8"/>
  <c r="C78" i="8"/>
  <c r="I34" i="5"/>
  <c r="I33" i="5"/>
  <c r="I32" i="5"/>
  <c r="I28" i="5"/>
  <c r="M19" i="6"/>
  <c r="O19" i="6"/>
  <c r="O26" i="6"/>
  <c r="M26" i="6"/>
  <c r="I24" i="6"/>
  <c r="G24" i="6"/>
  <c r="O24" i="6"/>
  <c r="M24" i="6"/>
  <c r="I26" i="6"/>
  <c r="G26" i="6"/>
  <c r="G21" i="6"/>
  <c r="M21" i="6"/>
  <c r="M22" i="6"/>
  <c r="O22" i="6"/>
  <c r="P24" i="9"/>
  <c r="I29" i="9"/>
  <c r="H29" i="9"/>
  <c r="AS23" i="8"/>
  <c r="C31" i="7"/>
  <c r="C53" i="7"/>
  <c r="H25" i="17" s="1"/>
  <c r="N7" i="9"/>
  <c r="Y7" i="9" s="1"/>
  <c r="L7" i="9"/>
  <c r="P7" i="9"/>
  <c r="AA7" i="9" s="1"/>
  <c r="H38" i="8"/>
  <c r="H41" i="8" s="1"/>
  <c r="H58" i="8" a="1"/>
  <c r="H58" i="8" s="1"/>
  <c r="F38" i="9"/>
  <c r="F40" i="9" s="1"/>
  <c r="L46" i="12"/>
  <c r="M46" i="12" s="1"/>
  <c r="L38" i="12"/>
  <c r="M38" i="12" s="1"/>
  <c r="L5" i="12"/>
  <c r="M5" i="12" s="1"/>
  <c r="L43" i="12"/>
  <c r="M43" i="12" s="1"/>
  <c r="L33" i="12"/>
  <c r="M33" i="12" s="1"/>
  <c r="L24" i="12"/>
  <c r="M24" i="12" s="1"/>
  <c r="L19" i="12"/>
  <c r="M19" i="12" s="1"/>
  <c r="L14" i="12"/>
  <c r="M14" i="12" s="1"/>
  <c r="L8" i="12"/>
  <c r="M8" i="12" s="1"/>
  <c r="L48" i="12"/>
  <c r="M48" i="12" s="1"/>
  <c r="L40" i="12"/>
  <c r="M40" i="12" s="1"/>
  <c r="L35" i="12"/>
  <c r="M35" i="12" s="1"/>
  <c r="L28" i="12"/>
  <c r="M28" i="12" s="1"/>
  <c r="L26" i="12"/>
  <c r="M26" i="12" s="1"/>
  <c r="L21" i="12"/>
  <c r="M21" i="12" s="1"/>
  <c r="L11" i="12"/>
  <c r="M11" i="12" s="1"/>
  <c r="L44" i="12"/>
  <c r="M44" i="12" s="1"/>
  <c r="L27" i="12"/>
  <c r="M27" i="12" s="1"/>
  <c r="L25" i="12"/>
  <c r="M25" i="12" s="1"/>
  <c r="L15" i="12"/>
  <c r="M15" i="12" s="1"/>
  <c r="L7" i="12"/>
  <c r="M7" i="12" s="1"/>
  <c r="L47" i="12"/>
  <c r="M47" i="12" s="1"/>
  <c r="L39" i="12"/>
  <c r="M39" i="12" s="1"/>
  <c r="L29" i="12"/>
  <c r="M29" i="12" s="1"/>
  <c r="L50" i="12"/>
  <c r="M50" i="12" s="1"/>
  <c r="L31" i="12"/>
  <c r="M31" i="12" s="1"/>
  <c r="L10" i="12"/>
  <c r="M10" i="12" s="1"/>
  <c r="L6" i="12"/>
  <c r="M6" i="12" s="1"/>
  <c r="L42" i="12"/>
  <c r="M42" i="12" s="1"/>
  <c r="L13" i="12"/>
  <c r="M13" i="12" s="1"/>
  <c r="L4" i="12"/>
  <c r="M4" i="12" s="1"/>
  <c r="L30" i="12"/>
  <c r="M30" i="12" s="1"/>
  <c r="L9" i="12"/>
  <c r="M9" i="12" s="1"/>
  <c r="L49" i="12"/>
  <c r="M49" i="12" s="1"/>
  <c r="L20" i="12"/>
  <c r="M20" i="12" s="1"/>
  <c r="L32" i="12"/>
  <c r="M32" i="12" s="1"/>
  <c r="L41" i="12"/>
  <c r="M41" i="12" s="1"/>
  <c r="L23" i="12"/>
  <c r="M23" i="12" s="1"/>
  <c r="L18" i="12"/>
  <c r="M18" i="12" s="1"/>
  <c r="L12" i="12"/>
  <c r="M12" i="12" s="1"/>
  <c r="D33" i="7"/>
  <c r="L45" i="12"/>
  <c r="M45" i="12" s="1"/>
  <c r="L34" i="12"/>
  <c r="M34" i="12" s="1"/>
  <c r="G38" i="8"/>
  <c r="L38" i="8" s="1"/>
  <c r="G44" i="9"/>
  <c r="G43" i="9"/>
  <c r="G45" i="9"/>
  <c r="G42" i="9"/>
  <c r="D32" i="10"/>
  <c r="N24" i="9"/>
  <c r="G29" i="9"/>
  <c r="J75" i="9"/>
  <c r="N75" i="8"/>
  <c r="H38" i="9"/>
  <c r="H40" i="9" s="1"/>
  <c r="G40" i="9"/>
  <c r="L16" i="12"/>
  <c r="M16" i="12" s="1"/>
  <c r="L22" i="12"/>
  <c r="M22" i="12" s="1"/>
  <c r="C84" i="7"/>
  <c r="O24" i="9"/>
  <c r="H29" i="8"/>
  <c r="AU41" i="8" s="1"/>
  <c r="C19" i="7"/>
  <c r="D112" i="9"/>
  <c r="D112" i="8"/>
  <c r="N23" i="9"/>
  <c r="R23" i="8"/>
  <c r="T23" i="8"/>
  <c r="F28" i="8"/>
  <c r="I29" i="8"/>
  <c r="E8" i="11"/>
  <c r="C30" i="7"/>
  <c r="C17" i="7"/>
  <c r="C22" i="7" s="1"/>
  <c r="C64" i="9"/>
  <c r="C65" i="9" s="1"/>
  <c r="C66" i="9" s="1"/>
  <c r="C17" i="9"/>
  <c r="U17" i="9" s="1"/>
  <c r="AG62" i="9" s="1"/>
  <c r="C69" i="9"/>
  <c r="C67" i="9"/>
  <c r="C68" i="9"/>
  <c r="C64" i="8"/>
  <c r="C65" i="8" s="1"/>
  <c r="C66" i="8" s="1"/>
  <c r="C69" i="8"/>
  <c r="C68" i="8"/>
  <c r="C67" i="8"/>
  <c r="F29" i="9"/>
  <c r="M24" i="9"/>
  <c r="D113" i="9"/>
  <c r="D113" i="8"/>
  <c r="G28" i="8"/>
  <c r="O7" i="9"/>
  <c r="Z7" i="9" s="1"/>
  <c r="L36" i="12"/>
  <c r="M36" i="12" s="1"/>
  <c r="D106" i="9"/>
  <c r="H50" i="12"/>
  <c r="AH40" i="9"/>
  <c r="F6" i="11"/>
  <c r="F5" i="11"/>
  <c r="F12" i="11" s="1"/>
  <c r="F165" i="14"/>
  <c r="H163" i="14"/>
  <c r="I163" i="14" s="1"/>
  <c r="E49" i="9"/>
  <c r="C78" i="9"/>
  <c r="C80" i="9"/>
  <c r="AQ13" i="8"/>
  <c r="C80" i="8"/>
  <c r="G41" i="9"/>
  <c r="AI40" i="9"/>
  <c r="G53" i="9"/>
  <c r="G58" i="9" s="1" a="1"/>
  <c r="G58" i="9" s="1"/>
  <c r="C18" i="13"/>
  <c r="C16" i="13"/>
  <c r="C17" i="13" s="1"/>
  <c r="E46" i="9"/>
  <c r="E45" i="9"/>
  <c r="E44" i="9"/>
  <c r="E41" i="9"/>
  <c r="E42" i="9"/>
  <c r="E5" i="9" s="1"/>
  <c r="E43" i="9"/>
  <c r="D151" i="14"/>
  <c r="E32" i="10"/>
  <c r="C152" i="14"/>
  <c r="I162" i="14"/>
  <c r="C146" i="14"/>
  <c r="D174" i="14"/>
  <c r="C144" i="14"/>
  <c r="C142" i="14"/>
  <c r="I160" i="14"/>
  <c r="I171" i="14"/>
  <c r="AG40" i="9"/>
  <c r="F25" i="10"/>
  <c r="C52" i="13"/>
  <c r="C53" i="13" s="1"/>
  <c r="I153" i="14"/>
  <c r="O25" i="6" l="1"/>
  <c r="G22" i="6"/>
  <c r="G19" i="6"/>
  <c r="I25" i="6"/>
  <c r="M58" i="8"/>
  <c r="M8" i="8" s="1"/>
  <c r="AL8" i="8" s="1"/>
  <c r="D20" i="3"/>
  <c r="D7" i="8"/>
  <c r="E56" i="17"/>
  <c r="J79" i="17"/>
  <c r="H79" i="17"/>
  <c r="G79" i="17"/>
  <c r="M79" i="17"/>
  <c r="N25" i="17"/>
  <c r="D79" i="17"/>
  <c r="L79" i="17"/>
  <c r="I79" i="17"/>
  <c r="E79" i="17"/>
  <c r="K79" i="17"/>
  <c r="F79" i="17"/>
  <c r="M58" i="17"/>
  <c r="M8" i="17" s="1"/>
  <c r="Y45" i="17" s="1"/>
  <c r="E58" i="17"/>
  <c r="E8" i="17" s="1"/>
  <c r="Q45" i="17" s="1"/>
  <c r="J7" i="8"/>
  <c r="AW42" i="8"/>
  <c r="H30" i="2" s="1"/>
  <c r="U7" i="8"/>
  <c r="AI7" i="8" s="1"/>
  <c r="L7" i="8"/>
  <c r="W7" i="8"/>
  <c r="AK7" i="8" s="1"/>
  <c r="K7" i="8"/>
  <c r="V7" i="8"/>
  <c r="AJ7" i="8" s="1"/>
  <c r="I7" i="8"/>
  <c r="AU40" i="8"/>
  <c r="F28" i="2" s="1"/>
  <c r="R7" i="8"/>
  <c r="AF7" i="8" s="1"/>
  <c r="G7" i="8"/>
  <c r="I57" i="8"/>
  <c r="I55" i="8" s="1"/>
  <c r="M44" i="8"/>
  <c r="M42" i="8"/>
  <c r="M41" i="8"/>
  <c r="M46" i="8"/>
  <c r="M45" i="8"/>
  <c r="M43" i="8"/>
  <c r="M40" i="8"/>
  <c r="L40" i="8"/>
  <c r="L43" i="8"/>
  <c r="L46" i="8"/>
  <c r="L42" i="8"/>
  <c r="L41" i="8"/>
  <c r="L45" i="8"/>
  <c r="L44" i="8"/>
  <c r="F46" i="8"/>
  <c r="K38" i="8"/>
  <c r="H7" i="8"/>
  <c r="D58" i="9" a="1"/>
  <c r="D58" i="9" s="1"/>
  <c r="D7" i="9" s="1"/>
  <c r="AI42" i="9"/>
  <c r="E5" i="8"/>
  <c r="AD5" i="8" s="1"/>
  <c r="C190" i="14"/>
  <c r="C115" i="7" s="1"/>
  <c r="N86" i="8" s="1"/>
  <c r="M20" i="6"/>
  <c r="G23" i="6"/>
  <c r="I20" i="6"/>
  <c r="M23" i="6"/>
  <c r="G8" i="11"/>
  <c r="G57" i="8"/>
  <c r="G55" i="8" s="1"/>
  <c r="AT40" i="8"/>
  <c r="E28" i="2" s="1"/>
  <c r="D25" i="8"/>
  <c r="D25" i="9"/>
  <c r="P7" i="8"/>
  <c r="AC7" i="8" s="1"/>
  <c r="F57" i="8"/>
  <c r="AS40" i="8"/>
  <c r="D28" i="2" s="1"/>
  <c r="G25" i="8"/>
  <c r="G25" i="9"/>
  <c r="AR41" i="8"/>
  <c r="C29" i="2" s="1"/>
  <c r="D56" i="8"/>
  <c r="H25" i="8"/>
  <c r="H25" i="9"/>
  <c r="F25" i="8"/>
  <c r="F25" i="9"/>
  <c r="H57" i="8"/>
  <c r="AR42" i="8"/>
  <c r="C30" i="2" s="1"/>
  <c r="Q7" i="8"/>
  <c r="F7" i="8"/>
  <c r="F7" i="9"/>
  <c r="M7" i="9"/>
  <c r="AS42" i="8"/>
  <c r="D30" i="2" s="1"/>
  <c r="AU42" i="8"/>
  <c r="F30" i="2" s="1"/>
  <c r="F45" i="8"/>
  <c r="F40" i="8"/>
  <c r="F43" i="8"/>
  <c r="F6" i="8" s="1"/>
  <c r="AE6" i="8" s="1"/>
  <c r="F41" i="8"/>
  <c r="F44" i="8"/>
  <c r="F42" i="8"/>
  <c r="I7" i="9"/>
  <c r="J101" i="5"/>
  <c r="G24" i="11"/>
  <c r="J81" i="5"/>
  <c r="J29" i="5"/>
  <c r="J48" i="5"/>
  <c r="J80" i="5"/>
  <c r="J55" i="5"/>
  <c r="J35" i="5"/>
  <c r="J71" i="5"/>
  <c r="J61" i="5"/>
  <c r="J50" i="5"/>
  <c r="J66" i="5"/>
  <c r="J82" i="5"/>
  <c r="J98" i="5"/>
  <c r="J28" i="5"/>
  <c r="J59" i="5"/>
  <c r="J89" i="5"/>
  <c r="J105" i="5"/>
  <c r="J39" i="5"/>
  <c r="J83" i="5"/>
  <c r="J69" i="5"/>
  <c r="J52" i="5"/>
  <c r="J68" i="5"/>
  <c r="J84" i="5"/>
  <c r="J100" i="5"/>
  <c r="J23" i="5"/>
  <c r="E18" i="5" s="1"/>
  <c r="J67" i="5"/>
  <c r="J91" i="5"/>
  <c r="J107" i="5"/>
  <c r="J86" i="5"/>
  <c r="J102" i="5"/>
  <c r="J31" i="5"/>
  <c r="J73" i="5"/>
  <c r="J93" i="5"/>
  <c r="J109" i="5"/>
  <c r="J46" i="5"/>
  <c r="J90" i="5"/>
  <c r="J77" i="5"/>
  <c r="J97" i="5"/>
  <c r="J47" i="5"/>
  <c r="J96" i="5"/>
  <c r="J87" i="5"/>
  <c r="J30" i="5"/>
  <c r="J54" i="5"/>
  <c r="J49" i="5"/>
  <c r="J36" i="5"/>
  <c r="J72" i="5"/>
  <c r="J88" i="5"/>
  <c r="J75" i="5"/>
  <c r="J111" i="5"/>
  <c r="J34" i="5"/>
  <c r="J32" i="5"/>
  <c r="J74" i="5"/>
  <c r="J106" i="5"/>
  <c r="J40" i="5"/>
  <c r="J57" i="5"/>
  <c r="J25" i="5"/>
  <c r="J38" i="5"/>
  <c r="J60" i="5"/>
  <c r="J76" i="5"/>
  <c r="J92" i="5"/>
  <c r="J108" i="5"/>
  <c r="J45" i="5"/>
  <c r="J79" i="5"/>
  <c r="J99" i="5"/>
  <c r="J65" i="5"/>
  <c r="J64" i="5"/>
  <c r="J42" i="5"/>
  <c r="J103" i="5"/>
  <c r="J43" i="5"/>
  <c r="J70" i="5"/>
  <c r="J26" i="5"/>
  <c r="J22" i="5"/>
  <c r="J56" i="5"/>
  <c r="J104" i="5"/>
  <c r="J37" i="5"/>
  <c r="J95" i="5"/>
  <c r="J53" i="5"/>
  <c r="J58" i="5"/>
  <c r="J41" i="5"/>
  <c r="J24" i="5"/>
  <c r="J27" i="5"/>
  <c r="J63" i="5"/>
  <c r="J33" i="5"/>
  <c r="J44" i="5"/>
  <c r="J62" i="5"/>
  <c r="J78" i="5"/>
  <c r="J94" i="5"/>
  <c r="J110" i="5"/>
  <c r="J51" i="5"/>
  <c r="J85" i="5"/>
  <c r="AT42" i="8"/>
  <c r="E30" i="2" s="1"/>
  <c r="H42" i="8"/>
  <c r="V7" i="9"/>
  <c r="H170" i="14"/>
  <c r="I170" i="14" s="1"/>
  <c r="I174" i="14" s="1"/>
  <c r="D180" i="14" s="1"/>
  <c r="F174" i="14"/>
  <c r="H172" i="14"/>
  <c r="I172" i="14" s="1"/>
  <c r="F56" i="9"/>
  <c r="F55" i="9" s="1"/>
  <c r="AH41" i="9"/>
  <c r="S7" i="8"/>
  <c r="AG7" i="8" s="1"/>
  <c r="C27" i="13"/>
  <c r="C28" i="13" s="1"/>
  <c r="C20" i="13"/>
  <c r="C19" i="13"/>
  <c r="F44" i="9"/>
  <c r="F45" i="9"/>
  <c r="F42" i="9"/>
  <c r="F46" i="9"/>
  <c r="F43" i="9"/>
  <c r="W5" i="9"/>
  <c r="AV40" i="8"/>
  <c r="G28" i="2" s="1"/>
  <c r="G56" i="8"/>
  <c r="AT41" i="8"/>
  <c r="E29" i="2" s="1"/>
  <c r="N5" i="9"/>
  <c r="H56" i="9"/>
  <c r="H55" i="9" s="1"/>
  <c r="AJ41" i="9"/>
  <c r="D152" i="14"/>
  <c r="C156" i="14"/>
  <c r="D41" i="9"/>
  <c r="E7" i="11"/>
  <c r="C33" i="7"/>
  <c r="L3" i="12" s="1"/>
  <c r="M3" i="12" s="1"/>
  <c r="B83" i="15"/>
  <c r="C23" i="7"/>
  <c r="C24" i="7" s="1"/>
  <c r="F7" i="11"/>
  <c r="C34" i="7"/>
  <c r="L17" i="12" s="1"/>
  <c r="M17" i="12" s="1"/>
  <c r="D38" i="8"/>
  <c r="J38" i="8" s="1"/>
  <c r="AK41" i="9"/>
  <c r="I56" i="9"/>
  <c r="I55" i="9" s="1"/>
  <c r="F29" i="2"/>
  <c r="H56" i="8"/>
  <c r="H7" i="9"/>
  <c r="AJ42" i="9"/>
  <c r="L23" i="9"/>
  <c r="D28" i="8"/>
  <c r="AR40" i="8" s="1"/>
  <c r="H43" i="9"/>
  <c r="H46" i="9"/>
  <c r="H45" i="9"/>
  <c r="H41" i="9"/>
  <c r="H44" i="9"/>
  <c r="H42" i="9"/>
  <c r="D11" i="2"/>
  <c r="C20" i="7"/>
  <c r="G7" i="9"/>
  <c r="F32" i="10"/>
  <c r="C78" i="7" s="1"/>
  <c r="H45" i="8"/>
  <c r="H43" i="8"/>
  <c r="H46" i="8"/>
  <c r="H40" i="8"/>
  <c r="H44" i="8"/>
  <c r="G56" i="9"/>
  <c r="AI41" i="9"/>
  <c r="G45" i="8"/>
  <c r="G46" i="8"/>
  <c r="G42" i="8"/>
  <c r="G41" i="8"/>
  <c r="G44" i="8"/>
  <c r="G43" i="8"/>
  <c r="H24" i="6"/>
  <c r="H25" i="6"/>
  <c r="H20" i="6"/>
  <c r="C147" i="14"/>
  <c r="H161" i="14"/>
  <c r="I161" i="14" s="1"/>
  <c r="I165" i="14" s="1"/>
  <c r="D179" i="14" s="1"/>
  <c r="D156" i="14"/>
  <c r="F41" i="9"/>
  <c r="AV41" i="8"/>
  <c r="G29" i="2" s="1"/>
  <c r="I56" i="8"/>
  <c r="G40" i="8"/>
  <c r="H55" i="8" l="1"/>
  <c r="E57" i="8"/>
  <c r="H23" i="6"/>
  <c r="H22" i="6"/>
  <c r="H19" i="6"/>
  <c r="H26" i="6"/>
  <c r="H21" i="6"/>
  <c r="N86" i="17"/>
  <c r="M87" i="17" s="1"/>
  <c r="N58" i="17"/>
  <c r="N78" i="17"/>
  <c r="J80" i="17" s="1"/>
  <c r="J12" i="17" s="1"/>
  <c r="V49" i="17" s="1"/>
  <c r="N79" i="17"/>
  <c r="I63" i="17" a="1"/>
  <c r="I63" i="17" s="1"/>
  <c r="D63" i="17" a="1"/>
  <c r="D63" i="17" s="1"/>
  <c r="H63" i="17" a="1"/>
  <c r="H63" i="17" s="1"/>
  <c r="M63" i="17" a="1"/>
  <c r="M63" i="17" s="1"/>
  <c r="G63" i="17" a="1"/>
  <c r="G63" i="17" s="1"/>
  <c r="J63" i="17" a="1"/>
  <c r="J63" i="17" s="1"/>
  <c r="L63" i="17" a="1"/>
  <c r="L63" i="17" s="1"/>
  <c r="F63" i="17" a="1"/>
  <c r="F63" i="17" s="1"/>
  <c r="K63" i="17" a="1"/>
  <c r="K63" i="17" s="1"/>
  <c r="E63" i="17" a="1"/>
  <c r="E63" i="17" s="1"/>
  <c r="I63" i="8" a="1"/>
  <c r="I63" i="8" s="1"/>
  <c r="J63" i="8" a="1"/>
  <c r="J63" i="8" s="1"/>
  <c r="J65" i="8" s="1"/>
  <c r="M63" i="8" a="1"/>
  <c r="M63" i="8" s="1"/>
  <c r="M65" i="8" s="1"/>
  <c r="K63" i="8" a="1"/>
  <c r="K63" i="8" s="1"/>
  <c r="K65" i="8" s="1"/>
  <c r="L63" i="8" a="1"/>
  <c r="L63" i="8" s="1"/>
  <c r="L65" i="8" s="1"/>
  <c r="D14" i="17"/>
  <c r="L83" i="17"/>
  <c r="L13" i="17" s="1"/>
  <c r="M83" i="17"/>
  <c r="M13" i="17" s="1"/>
  <c r="I83" i="17"/>
  <c r="I13" i="17" s="1"/>
  <c r="J83" i="17"/>
  <c r="J13" i="17" s="1"/>
  <c r="F83" i="17"/>
  <c r="F13" i="17" s="1"/>
  <c r="D83" i="17"/>
  <c r="D13" i="17" s="1"/>
  <c r="D70" i="17" s="1"/>
  <c r="K83" i="17"/>
  <c r="K13" i="17" s="1"/>
  <c r="G83" i="17"/>
  <c r="G13" i="17" s="1"/>
  <c r="H83" i="17"/>
  <c r="H13" i="17" s="1"/>
  <c r="N64" i="17"/>
  <c r="E83" i="17"/>
  <c r="E13" i="17" s="1"/>
  <c r="I87" i="17"/>
  <c r="G87" i="17"/>
  <c r="G15" i="17" s="1"/>
  <c r="S52" i="17" s="1"/>
  <c r="F80" i="17"/>
  <c r="F12" i="17" s="1"/>
  <c r="R49" i="17" s="1"/>
  <c r="E80" i="17"/>
  <c r="E12" i="17" s="1"/>
  <c r="Q49" i="17" s="1"/>
  <c r="C191" i="14"/>
  <c r="AL6" i="8"/>
  <c r="R5" i="8"/>
  <c r="S5" i="8"/>
  <c r="W5" i="8"/>
  <c r="Q5" i="8"/>
  <c r="AE5" i="8" s="1"/>
  <c r="AE7" i="8"/>
  <c r="L5" i="8"/>
  <c r="J43" i="8"/>
  <c r="J45" i="8"/>
  <c r="J46" i="8"/>
  <c r="J40" i="8"/>
  <c r="J44" i="8"/>
  <c r="J41" i="8"/>
  <c r="J42" i="8"/>
  <c r="K40" i="8"/>
  <c r="K43" i="8"/>
  <c r="K46" i="8"/>
  <c r="K45" i="8"/>
  <c r="K42" i="8"/>
  <c r="K44" i="8"/>
  <c r="K41" i="8"/>
  <c r="AG42" i="9"/>
  <c r="E16" i="5"/>
  <c r="E15" i="5"/>
  <c r="E17" i="5"/>
  <c r="F6" i="9"/>
  <c r="X6" i="9" s="1"/>
  <c r="C28" i="2"/>
  <c r="D57" i="8"/>
  <c r="D55" i="8" s="1"/>
  <c r="D5" i="8" s="1"/>
  <c r="G55" i="9"/>
  <c r="G5" i="9" s="1"/>
  <c r="E25" i="8"/>
  <c r="H79" i="8" s="1"/>
  <c r="E25" i="9"/>
  <c r="E57" i="9" s="1"/>
  <c r="E6" i="9" s="1"/>
  <c r="D63" i="8" a="1"/>
  <c r="D63" i="8" s="1"/>
  <c r="D63" i="9" a="1"/>
  <c r="D63" i="9" s="1"/>
  <c r="I63" i="9" a="1"/>
  <c r="I63" i="9" s="1"/>
  <c r="H63" i="8" a="1"/>
  <c r="H63" i="8" s="1"/>
  <c r="H63" i="9" a="1"/>
  <c r="H63" i="9" s="1"/>
  <c r="G63" i="8" a="1"/>
  <c r="G63" i="8" s="1"/>
  <c r="G63" i="9" a="1"/>
  <c r="G63" i="9" s="1"/>
  <c r="N9" i="9" s="1"/>
  <c r="F63" i="8" a="1"/>
  <c r="F63" i="8" s="1"/>
  <c r="F63" i="9" a="1"/>
  <c r="F63" i="9" s="1"/>
  <c r="E63" i="8" a="1"/>
  <c r="E63" i="8" s="1"/>
  <c r="E63" i="9" a="1"/>
  <c r="E63" i="9" s="1"/>
  <c r="AH7" i="8"/>
  <c r="I38" i="9"/>
  <c r="I42" i="9" s="1"/>
  <c r="D46" i="9"/>
  <c r="D45" i="9"/>
  <c r="D40" i="9"/>
  <c r="D43" i="9"/>
  <c r="D44" i="9"/>
  <c r="C22" i="13"/>
  <c r="C23" i="13" s="1"/>
  <c r="C21" i="13"/>
  <c r="C22" i="14" a="1"/>
  <c r="C22" i="14" s="1"/>
  <c r="C23" i="14" a="1"/>
  <c r="C23" i="14" s="1"/>
  <c r="H5" i="8"/>
  <c r="F156" i="14"/>
  <c r="H154" i="14"/>
  <c r="I154" i="14" s="1"/>
  <c r="C61" i="7"/>
  <c r="C65" i="7" s="1"/>
  <c r="O5" i="9"/>
  <c r="H5" i="9"/>
  <c r="D181" i="14"/>
  <c r="E64" i="8"/>
  <c r="D64" i="8"/>
  <c r="I64" i="8"/>
  <c r="F64" i="9"/>
  <c r="G64" i="9"/>
  <c r="F64" i="8"/>
  <c r="I64" i="9"/>
  <c r="E64" i="9"/>
  <c r="H64" i="8"/>
  <c r="D64" i="9"/>
  <c r="G64" i="8"/>
  <c r="H64" i="9"/>
  <c r="I38" i="8"/>
  <c r="D46" i="8"/>
  <c r="D45" i="8"/>
  <c r="D40" i="8"/>
  <c r="D43" i="8"/>
  <c r="D44" i="8"/>
  <c r="D42" i="8"/>
  <c r="Y5" i="9"/>
  <c r="D42" i="9"/>
  <c r="D41" i="8"/>
  <c r="H42" i="11"/>
  <c r="H34" i="11"/>
  <c r="H26" i="11"/>
  <c r="H8" i="11"/>
  <c r="H41" i="11"/>
  <c r="H33" i="11"/>
  <c r="H25" i="11"/>
  <c r="H40" i="11"/>
  <c r="H32" i="11"/>
  <c r="H24" i="11"/>
  <c r="H44" i="11"/>
  <c r="H36" i="11"/>
  <c r="H28" i="11"/>
  <c r="H45" i="11"/>
  <c r="H29" i="11"/>
  <c r="H43" i="11"/>
  <c r="H27" i="11"/>
  <c r="H39" i="11"/>
  <c r="H31" i="11"/>
  <c r="H38" i="11"/>
  <c r="H30" i="11"/>
  <c r="H37" i="11"/>
  <c r="H35" i="11"/>
  <c r="F5" i="9"/>
  <c r="M5" i="9"/>
  <c r="X7" i="9"/>
  <c r="AH42" i="9"/>
  <c r="G5" i="8"/>
  <c r="H152" i="14"/>
  <c r="I152" i="14" s="1"/>
  <c r="D87" i="17" l="1"/>
  <c r="D15" i="17" s="1"/>
  <c r="P52" i="17" s="1"/>
  <c r="H87" i="17"/>
  <c r="H15" i="17" s="1"/>
  <c r="T52" i="17" s="1"/>
  <c r="E87" i="17"/>
  <c r="E15" i="17" s="1"/>
  <c r="Q52" i="17" s="1"/>
  <c r="K87" i="17"/>
  <c r="L15" i="17" s="1"/>
  <c r="X52" i="17" s="1"/>
  <c r="L80" i="17"/>
  <c r="L12" i="17" s="1"/>
  <c r="X49" i="17" s="1"/>
  <c r="L87" i="17"/>
  <c r="M15" i="17" s="1"/>
  <c r="Y52" i="17" s="1"/>
  <c r="J23" i="6"/>
  <c r="K23" i="6" s="1"/>
  <c r="J25" i="6"/>
  <c r="K25" i="6" s="1"/>
  <c r="J26" i="6"/>
  <c r="K26" i="6" s="1"/>
  <c r="J19" i="6"/>
  <c r="K19" i="6" s="1"/>
  <c r="J21" i="6"/>
  <c r="K21" i="6" s="1"/>
  <c r="J22" i="6"/>
  <c r="K22" i="6" s="1"/>
  <c r="J20" i="6"/>
  <c r="K20" i="6" s="1"/>
  <c r="J24" i="6"/>
  <c r="K24" i="6" s="1"/>
  <c r="G80" i="17"/>
  <c r="G12" i="17" s="1"/>
  <c r="S49" i="17" s="1"/>
  <c r="F87" i="17"/>
  <c r="F15" i="17" s="1"/>
  <c r="R52" i="17" s="1"/>
  <c r="J87" i="17"/>
  <c r="K15" i="17" s="1"/>
  <c r="W52" i="17" s="1"/>
  <c r="D80" i="17"/>
  <c r="D12" i="17" s="1"/>
  <c r="M80" i="17"/>
  <c r="H80" i="17"/>
  <c r="H12" i="17" s="1"/>
  <c r="T49" i="17" s="1"/>
  <c r="K80" i="17"/>
  <c r="K12" i="17" s="1"/>
  <c r="I80" i="17"/>
  <c r="I12" i="17" s="1"/>
  <c r="U49" i="17" s="1"/>
  <c r="M9" i="8"/>
  <c r="AL9" i="8" s="1"/>
  <c r="K66" i="8"/>
  <c r="K68" i="8" s="1"/>
  <c r="K67" i="8"/>
  <c r="K69" i="8" s="1"/>
  <c r="F9" i="17"/>
  <c r="R46" i="17" s="1"/>
  <c r="F65" i="17"/>
  <c r="N63" i="17"/>
  <c r="D9" i="17"/>
  <c r="D65" i="17"/>
  <c r="I65" i="17"/>
  <c r="I9" i="17"/>
  <c r="U46" i="17" s="1"/>
  <c r="M67" i="8"/>
  <c r="M69" i="8" s="1"/>
  <c r="M66" i="8"/>
  <c r="M68" i="8" s="1"/>
  <c r="L65" i="17"/>
  <c r="L9" i="17"/>
  <c r="X46" i="17" s="1"/>
  <c r="J67" i="8"/>
  <c r="J69" i="8" s="1"/>
  <c r="J66" i="8"/>
  <c r="J68" i="8" s="1"/>
  <c r="J65" i="17"/>
  <c r="J9" i="17"/>
  <c r="V46" i="17" s="1"/>
  <c r="G9" i="17"/>
  <c r="S46" i="17" s="1"/>
  <c r="G65" i="17"/>
  <c r="K14" i="17"/>
  <c r="J14" i="17"/>
  <c r="J70" i="17" s="1"/>
  <c r="L14" i="17"/>
  <c r="L70" i="17" s="1"/>
  <c r="I14" i="17"/>
  <c r="I70" i="17" s="1"/>
  <c r="F14" i="17"/>
  <c r="F70" i="17" s="1"/>
  <c r="G14" i="17"/>
  <c r="G70" i="17" s="1"/>
  <c r="M14" i="17"/>
  <c r="M70" i="17" s="1"/>
  <c r="H14" i="17"/>
  <c r="H70" i="17" s="1"/>
  <c r="E14" i="17"/>
  <c r="E70" i="17" s="1"/>
  <c r="E9" i="17"/>
  <c r="Q46" i="17" s="1"/>
  <c r="E65" i="17"/>
  <c r="M65" i="17"/>
  <c r="M9" i="17"/>
  <c r="L67" i="8"/>
  <c r="L69" i="8" s="1"/>
  <c r="L66" i="8"/>
  <c r="L68" i="8" s="1"/>
  <c r="K65" i="17"/>
  <c r="K9" i="17"/>
  <c r="W46" i="17" s="1"/>
  <c r="H65" i="17"/>
  <c r="H9" i="17"/>
  <c r="T46" i="17" s="1"/>
  <c r="L18" i="17"/>
  <c r="L20" i="17" s="1"/>
  <c r="R22" i="17" s="1"/>
  <c r="I15" i="17"/>
  <c r="U52" i="17" s="1"/>
  <c r="J15" i="17"/>
  <c r="V52" i="17" s="1"/>
  <c r="E18" i="17"/>
  <c r="E20" i="17" s="1"/>
  <c r="R24" i="17" s="1"/>
  <c r="Q10" i="17" s="1"/>
  <c r="M18" i="17"/>
  <c r="M20" i="17" s="1"/>
  <c r="R25" i="17" s="1"/>
  <c r="G9" i="8"/>
  <c r="J86" i="9"/>
  <c r="J78" i="9"/>
  <c r="N78" i="8"/>
  <c r="W9" i="8"/>
  <c r="AK5" i="8"/>
  <c r="L9" i="8"/>
  <c r="Q9" i="8"/>
  <c r="V5" i="8"/>
  <c r="P5" i="8"/>
  <c r="AC5" i="8" s="1"/>
  <c r="U5" i="8"/>
  <c r="M79" i="8"/>
  <c r="K79" i="8"/>
  <c r="D79" i="8"/>
  <c r="K5" i="8"/>
  <c r="E79" i="8"/>
  <c r="I79" i="8"/>
  <c r="G79" i="8"/>
  <c r="F79" i="8"/>
  <c r="J79" i="8"/>
  <c r="J5" i="8"/>
  <c r="L79" i="8"/>
  <c r="N25" i="8"/>
  <c r="E6" i="8"/>
  <c r="E58" i="8"/>
  <c r="E8" i="8" s="1"/>
  <c r="H79" i="9"/>
  <c r="P9" i="8"/>
  <c r="AC9" i="8" s="1"/>
  <c r="M23" i="5"/>
  <c r="M24" i="5" s="1"/>
  <c r="W6" i="9"/>
  <c r="G9" i="9"/>
  <c r="C63" i="7"/>
  <c r="C64" i="7" s="1"/>
  <c r="I46" i="9"/>
  <c r="I45" i="9"/>
  <c r="I44" i="9"/>
  <c r="I43" i="9"/>
  <c r="I40" i="9"/>
  <c r="F65" i="8"/>
  <c r="F67" i="8" s="1"/>
  <c r="F69" i="8" s="1"/>
  <c r="F9" i="8"/>
  <c r="AF5" i="8"/>
  <c r="R9" i="8"/>
  <c r="Y9" i="9"/>
  <c r="AI43" i="9"/>
  <c r="G65" i="9"/>
  <c r="G67" i="9" s="1"/>
  <c r="G69" i="9" s="1"/>
  <c r="H9" i="9"/>
  <c r="H65" i="9"/>
  <c r="H67" i="9" s="1"/>
  <c r="H69" i="9" s="1"/>
  <c r="Z5" i="9"/>
  <c r="O9" i="9"/>
  <c r="H9" i="8"/>
  <c r="F9" i="9"/>
  <c r="F65" i="9"/>
  <c r="F67" i="9" s="1"/>
  <c r="F69" i="9" s="1"/>
  <c r="I41" i="9"/>
  <c r="G65" i="8"/>
  <c r="G67" i="8" s="1"/>
  <c r="G69" i="8" s="1"/>
  <c r="AG5" i="8"/>
  <c r="S9" i="8"/>
  <c r="D65" i="9"/>
  <c r="D66" i="9" s="1"/>
  <c r="E65" i="9"/>
  <c r="E67" i="9" s="1"/>
  <c r="E69" i="9" s="1"/>
  <c r="I46" i="8"/>
  <c r="I40" i="8"/>
  <c r="I43" i="8"/>
  <c r="I45" i="8"/>
  <c r="I42" i="8"/>
  <c r="I44" i="8"/>
  <c r="H65" i="8"/>
  <c r="H67" i="8" s="1"/>
  <c r="H69" i="8" s="1"/>
  <c r="E79" i="9"/>
  <c r="G79" i="9"/>
  <c r="I79" i="9"/>
  <c r="J25" i="9"/>
  <c r="D79" i="9"/>
  <c r="F79" i="9"/>
  <c r="D65" i="8"/>
  <c r="L5" i="9"/>
  <c r="V5" i="9" s="1"/>
  <c r="D5" i="9"/>
  <c r="D9" i="9" s="1"/>
  <c r="I41" i="8"/>
  <c r="E65" i="8"/>
  <c r="E67" i="8" s="1"/>
  <c r="E69" i="8" s="1"/>
  <c r="I156" i="14"/>
  <c r="D178" i="14" s="1"/>
  <c r="M9" i="9"/>
  <c r="X5" i="9"/>
  <c r="H18" i="17" l="1"/>
  <c r="H20" i="17" s="1"/>
  <c r="R18" i="17" s="1"/>
  <c r="G18" i="17"/>
  <c r="G20" i="17" s="1"/>
  <c r="R17" i="17" s="1"/>
  <c r="F18" i="17"/>
  <c r="F20" i="17" s="1"/>
  <c r="R16" i="17" s="1"/>
  <c r="N80" i="17"/>
  <c r="N20" i="6"/>
  <c r="R20" i="6" s="1"/>
  <c r="K18" i="17"/>
  <c r="K20" i="17" s="1"/>
  <c r="R21" i="17" s="1"/>
  <c r="W49" i="17"/>
  <c r="D18" i="17"/>
  <c r="D20" i="17" s="1"/>
  <c r="R15" i="17" s="1"/>
  <c r="Q9" i="17" s="1"/>
  <c r="Q11" i="17" s="1"/>
  <c r="C56" i="2" s="1"/>
  <c r="P49" i="17"/>
  <c r="M10" i="17"/>
  <c r="Y47" i="17" s="1"/>
  <c r="Y46" i="17"/>
  <c r="D10" i="17"/>
  <c r="P47" i="17" s="1"/>
  <c r="P46" i="17"/>
  <c r="K70" i="17"/>
  <c r="H10" i="17"/>
  <c r="T47" i="17" s="1"/>
  <c r="M4" i="17"/>
  <c r="K10" i="17"/>
  <c r="F10" i="17"/>
  <c r="G10" i="17"/>
  <c r="L10" i="17"/>
  <c r="E10" i="17"/>
  <c r="J10" i="17"/>
  <c r="N70" i="17"/>
  <c r="F67" i="17"/>
  <c r="F69" i="17" s="1"/>
  <c r="F66" i="17"/>
  <c r="F68" i="17" s="1"/>
  <c r="J67" i="17"/>
  <c r="J69" i="17" s="1"/>
  <c r="J66" i="17"/>
  <c r="J68" i="17" s="1"/>
  <c r="L67" i="17"/>
  <c r="L69" i="17" s="1"/>
  <c r="L66" i="17"/>
  <c r="L68" i="17" s="1"/>
  <c r="I67" i="17"/>
  <c r="I69" i="17" s="1"/>
  <c r="I66" i="17"/>
  <c r="I68" i="17" s="1"/>
  <c r="H67" i="17"/>
  <c r="H69" i="17" s="1"/>
  <c r="H66" i="17"/>
  <c r="H68" i="17" s="1"/>
  <c r="D66" i="17"/>
  <c r="N65" i="17"/>
  <c r="D67" i="17"/>
  <c r="BC56" i="8"/>
  <c r="D87" i="8"/>
  <c r="D15" i="8" s="1"/>
  <c r="I10" i="17"/>
  <c r="M66" i="17"/>
  <c r="M68" i="17" s="1"/>
  <c r="M67" i="17"/>
  <c r="M69" i="17" s="1"/>
  <c r="K66" i="17"/>
  <c r="K68" i="17" s="1"/>
  <c r="K67" i="17"/>
  <c r="K69" i="17" s="1"/>
  <c r="E67" i="17"/>
  <c r="E69" i="17" s="1"/>
  <c r="E66" i="17"/>
  <c r="E68" i="17" s="1"/>
  <c r="G67" i="17"/>
  <c r="G69" i="17" s="1"/>
  <c r="G66" i="17"/>
  <c r="G68" i="17" s="1"/>
  <c r="D80" i="8"/>
  <c r="D12" i="8" s="1"/>
  <c r="J18" i="17"/>
  <c r="J20" i="17" s="1"/>
  <c r="R20" i="17" s="1"/>
  <c r="I18" i="17"/>
  <c r="I20" i="17" s="1"/>
  <c r="R19" i="17" s="1"/>
  <c r="E9" i="8"/>
  <c r="AN17" i="8"/>
  <c r="O18" i="8"/>
  <c r="O17" i="8"/>
  <c r="AN18" i="8"/>
  <c r="U9" i="8"/>
  <c r="AI5" i="8"/>
  <c r="J9" i="8"/>
  <c r="K9" i="8"/>
  <c r="V9" i="8"/>
  <c r="AJ5" i="8"/>
  <c r="AK9" i="8"/>
  <c r="AY43" i="8"/>
  <c r="J31" i="2" s="1"/>
  <c r="AM11" i="8"/>
  <c r="AM7" i="8"/>
  <c r="X7" i="8"/>
  <c r="T5" i="8"/>
  <c r="T9" i="8" s="1"/>
  <c r="N6" i="8"/>
  <c r="I5" i="8"/>
  <c r="N5" i="8" s="1"/>
  <c r="D9" i="8"/>
  <c r="N8" i="8"/>
  <c r="N7" i="8"/>
  <c r="AD8" i="8"/>
  <c r="AM8" i="8" s="1"/>
  <c r="K83" i="8"/>
  <c r="K13" i="8" s="1"/>
  <c r="AJ13" i="8" s="1"/>
  <c r="M83" i="8"/>
  <c r="M13" i="8" s="1"/>
  <c r="AL13" i="8" s="1"/>
  <c r="L83" i="8"/>
  <c r="L13" i="8" s="1"/>
  <c r="AK13" i="8" s="1"/>
  <c r="J87" i="8"/>
  <c r="K15" i="8" s="1"/>
  <c r="M87" i="8"/>
  <c r="K87" i="8"/>
  <c r="L15" i="8" s="1"/>
  <c r="J83" i="8"/>
  <c r="J13" i="8" s="1"/>
  <c r="AI13" i="8" s="1"/>
  <c r="L87" i="8"/>
  <c r="M15" i="8" s="1"/>
  <c r="J80" i="8"/>
  <c r="J12" i="8" s="1"/>
  <c r="L80" i="8"/>
  <c r="L12" i="8" s="1"/>
  <c r="K80" i="8"/>
  <c r="K12" i="8" s="1"/>
  <c r="M80" i="8"/>
  <c r="Q7" i="9"/>
  <c r="E58" i="9"/>
  <c r="E8" i="9" s="1"/>
  <c r="J8" i="9" s="1"/>
  <c r="D14" i="9"/>
  <c r="E14" i="9" s="1"/>
  <c r="N19" i="6"/>
  <c r="R19" i="6" s="1"/>
  <c r="H80" i="8"/>
  <c r="H12" i="8" s="1"/>
  <c r="F80" i="8"/>
  <c r="F12" i="8" s="1"/>
  <c r="E80" i="8"/>
  <c r="E12" i="8" s="1"/>
  <c r="G80" i="8"/>
  <c r="G12" i="8" s="1"/>
  <c r="E66" i="9"/>
  <c r="G80" i="9"/>
  <c r="G12" i="9" s="1"/>
  <c r="Y12" i="9" s="1"/>
  <c r="J64" i="9"/>
  <c r="F80" i="9"/>
  <c r="F12" i="9" s="1"/>
  <c r="X12" i="9" s="1"/>
  <c r="E80" i="9"/>
  <c r="I5" i="9"/>
  <c r="J5" i="9" s="1"/>
  <c r="N21" i="6"/>
  <c r="R21" i="6" s="1"/>
  <c r="N24" i="6"/>
  <c r="R24" i="6" s="1"/>
  <c r="E66" i="8"/>
  <c r="N22" i="6"/>
  <c r="R22" i="6" s="1"/>
  <c r="N23" i="6"/>
  <c r="R23" i="6" s="1"/>
  <c r="N26" i="6"/>
  <c r="R26" i="6" s="1"/>
  <c r="N25" i="6"/>
  <c r="R25" i="6" s="1"/>
  <c r="N79" i="8"/>
  <c r="AJ43" i="9"/>
  <c r="Z9" i="9"/>
  <c r="I65" i="8"/>
  <c r="D68" i="9"/>
  <c r="AU43" i="8"/>
  <c r="F31" i="2" s="1"/>
  <c r="AG9" i="8"/>
  <c r="C14" i="6"/>
  <c r="D67" i="8"/>
  <c r="F66" i="9"/>
  <c r="F68" i="9" s="1"/>
  <c r="AT43" i="8"/>
  <c r="E31" i="2" s="1"/>
  <c r="AF9" i="8"/>
  <c r="H66" i="8"/>
  <c r="H68" i="8" s="1"/>
  <c r="H66" i="9"/>
  <c r="H68" i="9" s="1"/>
  <c r="G66" i="9"/>
  <c r="G68" i="9" s="1"/>
  <c r="AS43" i="8"/>
  <c r="D31" i="2" s="1"/>
  <c r="AE9" i="8"/>
  <c r="D80" i="9"/>
  <c r="J79" i="9"/>
  <c r="I65" i="9"/>
  <c r="J65" i="9" s="1"/>
  <c r="G66" i="8"/>
  <c r="G68" i="8" s="1"/>
  <c r="P5" i="9"/>
  <c r="Q5" i="9" s="1"/>
  <c r="AD6" i="8"/>
  <c r="AM6" i="8" s="1"/>
  <c r="AH43" i="9"/>
  <c r="X9" i="9"/>
  <c r="N63" i="8"/>
  <c r="I83" i="8"/>
  <c r="G87" i="8"/>
  <c r="G15" i="8" s="1"/>
  <c r="E83" i="8"/>
  <c r="H87" i="8"/>
  <c r="H15" i="8" s="1"/>
  <c r="D83" i="8"/>
  <c r="D13" i="8" s="1"/>
  <c r="G83" i="8"/>
  <c r="G13" i="8" s="1"/>
  <c r="F87" i="8"/>
  <c r="F15" i="8" s="1"/>
  <c r="F83" i="8"/>
  <c r="F13" i="8" s="1"/>
  <c r="H83" i="8"/>
  <c r="H13" i="8" s="1"/>
  <c r="I87" i="8"/>
  <c r="D14" i="8"/>
  <c r="E87" i="8"/>
  <c r="E15" i="8" s="1"/>
  <c r="L9" i="9"/>
  <c r="AB11" i="9"/>
  <c r="J7" i="9"/>
  <c r="AN56" i="9"/>
  <c r="AB6" i="9"/>
  <c r="J11" i="9"/>
  <c r="F83" i="9"/>
  <c r="F13" i="9" s="1"/>
  <c r="J6" i="9"/>
  <c r="H83" i="9"/>
  <c r="H13" i="9" s="1"/>
  <c r="I83" i="9"/>
  <c r="I13" i="9" s="1"/>
  <c r="AA13" i="9" s="1"/>
  <c r="F87" i="9"/>
  <c r="F15" i="9" s="1"/>
  <c r="E87" i="9"/>
  <c r="E15" i="9" s="1"/>
  <c r="G83" i="9"/>
  <c r="G13" i="9" s="1"/>
  <c r="I87" i="9"/>
  <c r="I15" i="9" s="1"/>
  <c r="D87" i="9"/>
  <c r="D15" i="9" s="1"/>
  <c r="D83" i="9"/>
  <c r="D13" i="9" s="1"/>
  <c r="H87" i="9"/>
  <c r="H15" i="9" s="1"/>
  <c r="E83" i="9"/>
  <c r="E13" i="9" s="1"/>
  <c r="G87" i="9"/>
  <c r="G15" i="9" s="1"/>
  <c r="AB7" i="9"/>
  <c r="D66" i="8"/>
  <c r="J63" i="9"/>
  <c r="I80" i="8"/>
  <c r="I80" i="9"/>
  <c r="I12" i="9" s="1"/>
  <c r="AA12" i="9" s="1"/>
  <c r="N64" i="8"/>
  <c r="D67" i="9"/>
  <c r="F66" i="8"/>
  <c r="F68" i="8" s="1"/>
  <c r="H80" i="9"/>
  <c r="H12" i="9" s="1"/>
  <c r="Z12" i="9" s="1"/>
  <c r="H4" i="17" l="1"/>
  <c r="H17" i="17" s="1"/>
  <c r="D4" i="17"/>
  <c r="D17" i="17" s="1"/>
  <c r="E4" i="17"/>
  <c r="Q47" i="17"/>
  <c r="L4" i="17"/>
  <c r="X47" i="17"/>
  <c r="F4" i="17"/>
  <c r="R47" i="17"/>
  <c r="K4" i="17"/>
  <c r="W47" i="17"/>
  <c r="I4" i="17"/>
  <c r="U47" i="17"/>
  <c r="J4" i="17"/>
  <c r="V47" i="17"/>
  <c r="M17" i="17"/>
  <c r="Y41" i="17"/>
  <c r="G4" i="17"/>
  <c r="S47" i="17"/>
  <c r="G71" i="17"/>
  <c r="E71" i="17"/>
  <c r="L71" i="17"/>
  <c r="J71" i="17"/>
  <c r="I71" i="17"/>
  <c r="F71" i="17"/>
  <c r="R5" i="9"/>
  <c r="M71" i="17"/>
  <c r="K71" i="17"/>
  <c r="D18" i="8"/>
  <c r="D68" i="17"/>
  <c r="N66" i="17"/>
  <c r="D69" i="17"/>
  <c r="N69" i="17" s="1"/>
  <c r="N67" i="17"/>
  <c r="H71" i="17"/>
  <c r="AC14" i="8"/>
  <c r="AC13" i="8"/>
  <c r="AD12" i="8"/>
  <c r="AE12" i="8"/>
  <c r="AF12" i="8"/>
  <c r="AG12" i="8"/>
  <c r="AJ12" i="8"/>
  <c r="AK12" i="8"/>
  <c r="AI12" i="8"/>
  <c r="AK15" i="8"/>
  <c r="AJ15" i="8"/>
  <c r="Y7" i="8"/>
  <c r="AI9" i="8"/>
  <c r="AW43" i="8"/>
  <c r="H31" i="2" s="1"/>
  <c r="AJ9" i="8"/>
  <c r="AX43" i="8"/>
  <c r="I31" i="2" s="1"/>
  <c r="M18" i="8"/>
  <c r="M20" i="8" s="1"/>
  <c r="AL15" i="8"/>
  <c r="X9" i="8"/>
  <c r="X5" i="8"/>
  <c r="Y5" i="8" s="1"/>
  <c r="AC15" i="8"/>
  <c r="I12" i="8"/>
  <c r="K18" i="8"/>
  <c r="K20" i="8" s="1"/>
  <c r="E14" i="8"/>
  <c r="AD14" i="8" s="1"/>
  <c r="G14" i="8"/>
  <c r="AF14" i="8" s="1"/>
  <c r="I14" i="8"/>
  <c r="AH14" i="8" s="1"/>
  <c r="M14" i="8"/>
  <c r="H14" i="8"/>
  <c r="AG14" i="8" s="1"/>
  <c r="L14" i="8"/>
  <c r="K14" i="8"/>
  <c r="J14" i="8"/>
  <c r="J10" i="8" s="1"/>
  <c r="I15" i="8"/>
  <c r="J15" i="8"/>
  <c r="I13" i="8"/>
  <c r="L18" i="8"/>
  <c r="L20" i="8" s="1"/>
  <c r="AD9" i="8"/>
  <c r="E68" i="8"/>
  <c r="N58" i="8"/>
  <c r="J58" i="9"/>
  <c r="I9" i="9"/>
  <c r="R7" i="9"/>
  <c r="E68" i="9"/>
  <c r="E12" i="9"/>
  <c r="W12" i="9" s="1"/>
  <c r="W8" i="9"/>
  <c r="AB8" i="9" s="1"/>
  <c r="E9" i="9"/>
  <c r="E13" i="8"/>
  <c r="N13" i="8" s="1"/>
  <c r="L10" i="9"/>
  <c r="V10" i="9" s="1"/>
  <c r="P19" i="6"/>
  <c r="Q19" i="6" s="1"/>
  <c r="C15" i="6" s="1"/>
  <c r="P24" i="6"/>
  <c r="Q24" i="6" s="1"/>
  <c r="P23" i="6"/>
  <c r="Q23" i="6" s="1"/>
  <c r="P20" i="6"/>
  <c r="Q20" i="6" s="1"/>
  <c r="P26" i="6"/>
  <c r="Q26" i="6" s="1"/>
  <c r="P21" i="6"/>
  <c r="Q21" i="6" s="1"/>
  <c r="P22" i="6"/>
  <c r="Q22" i="6" s="1"/>
  <c r="P25" i="6"/>
  <c r="Q25" i="6" s="1"/>
  <c r="P10" i="8"/>
  <c r="AC10" i="8" s="1"/>
  <c r="D10" i="9"/>
  <c r="Y13" i="9"/>
  <c r="D69" i="9"/>
  <c r="W15" i="9"/>
  <c r="X13" i="9"/>
  <c r="AG15" i="8"/>
  <c r="H18" i="8"/>
  <c r="H20" i="8" s="1"/>
  <c r="D10" i="8"/>
  <c r="W13" i="9"/>
  <c r="V14" i="9"/>
  <c r="I14" i="9"/>
  <c r="F14" i="9"/>
  <c r="X14" i="9" s="1"/>
  <c r="H14" i="9"/>
  <c r="H70" i="9" s="1"/>
  <c r="H71" i="9" s="1"/>
  <c r="G14" i="9"/>
  <c r="Y14" i="9" s="1"/>
  <c r="W14" i="9"/>
  <c r="AG13" i="8"/>
  <c r="Z15" i="9"/>
  <c r="H18" i="9"/>
  <c r="H20" i="9" s="1"/>
  <c r="AE13" i="8"/>
  <c r="G18" i="8"/>
  <c r="G20" i="8" s="1"/>
  <c r="AF15" i="8"/>
  <c r="AR43" i="8"/>
  <c r="C31" i="2" s="1"/>
  <c r="D69" i="8"/>
  <c r="I67" i="8"/>
  <c r="I69" i="8" s="1"/>
  <c r="I66" i="8"/>
  <c r="I68" i="8" s="1"/>
  <c r="P9" i="9"/>
  <c r="AA5" i="9"/>
  <c r="AB5" i="9" s="1"/>
  <c r="I67" i="9"/>
  <c r="I69" i="9" s="1"/>
  <c r="I66" i="9"/>
  <c r="I68" i="9" s="1"/>
  <c r="Y15" i="9"/>
  <c r="G18" i="9"/>
  <c r="G20" i="9" s="1"/>
  <c r="X15" i="9"/>
  <c r="F18" i="9"/>
  <c r="F20" i="9" s="1"/>
  <c r="J80" i="9"/>
  <c r="D12" i="9"/>
  <c r="D70" i="9" s="1"/>
  <c r="V13" i="9"/>
  <c r="J13" i="9"/>
  <c r="V9" i="9"/>
  <c r="AG43" i="9"/>
  <c r="AE15" i="8"/>
  <c r="F18" i="8"/>
  <c r="F20" i="8" s="1"/>
  <c r="N65" i="8"/>
  <c r="I9" i="8"/>
  <c r="N9" i="8" s="1"/>
  <c r="N80" i="8"/>
  <c r="D68" i="8"/>
  <c r="V15" i="9"/>
  <c r="J15" i="9"/>
  <c r="K15" i="9" s="1"/>
  <c r="Z13" i="9"/>
  <c r="AD15" i="8"/>
  <c r="E18" i="8"/>
  <c r="E20" i="8" s="1"/>
  <c r="AF13" i="8"/>
  <c r="AH5" i="8"/>
  <c r="AM5" i="8" s="1"/>
  <c r="AA15" i="9"/>
  <c r="I18" i="9"/>
  <c r="I20" i="9" s="1"/>
  <c r="F14" i="8"/>
  <c r="AE14" i="8" s="1"/>
  <c r="T41" i="17" l="1"/>
  <c r="P41" i="17"/>
  <c r="K17" i="17"/>
  <c r="W41" i="17"/>
  <c r="J17" i="17"/>
  <c r="V41" i="17"/>
  <c r="F17" i="17"/>
  <c r="R41" i="17"/>
  <c r="E17" i="17"/>
  <c r="Q41" i="17"/>
  <c r="I17" i="17"/>
  <c r="U41" i="17"/>
  <c r="L17" i="17"/>
  <c r="X41" i="17"/>
  <c r="G17" i="17"/>
  <c r="S41" i="17"/>
  <c r="D71" i="17"/>
  <c r="N71" i="17" s="1"/>
  <c r="N68" i="17"/>
  <c r="AC12" i="8"/>
  <c r="D20" i="8"/>
  <c r="AK18" i="8"/>
  <c r="AK20" i="8" s="1"/>
  <c r="AJ18" i="8"/>
  <c r="AJ20" i="8" s="1"/>
  <c r="AH12" i="8"/>
  <c r="AI15" i="8"/>
  <c r="AI18" i="8" s="1"/>
  <c r="AI20" i="8" s="1"/>
  <c r="AH15" i="8"/>
  <c r="I10" i="9"/>
  <c r="I4" i="9" s="1"/>
  <c r="I17" i="9" s="1"/>
  <c r="I19" i="9" s="1"/>
  <c r="AL18" i="8"/>
  <c r="AL20" i="8" s="1"/>
  <c r="AC16" i="8"/>
  <c r="K10" i="8"/>
  <c r="AJ14" i="8"/>
  <c r="L10" i="8"/>
  <c r="AK14" i="8"/>
  <c r="J70" i="8"/>
  <c r="J71" i="8" s="1"/>
  <c r="AI14" i="8"/>
  <c r="M70" i="8"/>
  <c r="M71" i="8" s="1"/>
  <c r="AL14" i="8"/>
  <c r="W10" i="8"/>
  <c r="U10" i="8"/>
  <c r="T10" i="8"/>
  <c r="V10" i="8"/>
  <c r="AR44" i="8"/>
  <c r="C32" i="2" s="1"/>
  <c r="J68" i="9"/>
  <c r="N15" i="8"/>
  <c r="O15" i="8" s="1"/>
  <c r="F23" i="11" s="1"/>
  <c r="N14" i="8"/>
  <c r="N12" i="8"/>
  <c r="O12" i="8" s="1"/>
  <c r="I18" i="8"/>
  <c r="I20" i="8" s="1"/>
  <c r="I10" i="8"/>
  <c r="I4" i="8" s="1"/>
  <c r="I17" i="8" s="1"/>
  <c r="I19" i="8" s="1"/>
  <c r="M10" i="8"/>
  <c r="J18" i="8"/>
  <c r="J20" i="8" s="1"/>
  <c r="L70" i="8"/>
  <c r="L71" i="8" s="1"/>
  <c r="AH13" i="8"/>
  <c r="K70" i="8"/>
  <c r="K71" i="8" s="1"/>
  <c r="E10" i="8"/>
  <c r="J67" i="9"/>
  <c r="J9" i="9"/>
  <c r="AD13" i="8"/>
  <c r="E18" i="9"/>
  <c r="E20" i="9" s="1"/>
  <c r="E10" i="9"/>
  <c r="W9" i="9"/>
  <c r="F10" i="8"/>
  <c r="F4" i="8" s="1"/>
  <c r="F17" i="8" s="1"/>
  <c r="F19" i="8" s="1"/>
  <c r="AG44" i="9"/>
  <c r="V16" i="9"/>
  <c r="D18" i="9"/>
  <c r="J69" i="9"/>
  <c r="J66" i="9"/>
  <c r="N68" i="8"/>
  <c r="N66" i="8"/>
  <c r="F10" i="9"/>
  <c r="F4" i="9" s="1"/>
  <c r="F17" i="9" s="1"/>
  <c r="F19" i="9" s="1"/>
  <c r="G10" i="9"/>
  <c r="G4" i="9" s="1"/>
  <c r="G17" i="9" s="1"/>
  <c r="G19" i="9" s="1"/>
  <c r="F70" i="9"/>
  <c r="F71" i="9" s="1"/>
  <c r="R10" i="8"/>
  <c r="AT44" i="8" s="1"/>
  <c r="E32" i="2" s="1"/>
  <c r="AV43" i="8"/>
  <c r="G31" i="2" s="1"/>
  <c r="AH9" i="8"/>
  <c r="AM9" i="8" s="1"/>
  <c r="Y18" i="9"/>
  <c r="Y20" i="9" s="1"/>
  <c r="H10" i="8"/>
  <c r="D4" i="8"/>
  <c r="D17" i="8" s="1"/>
  <c r="AF18" i="8"/>
  <c r="AF20" i="8" s="1"/>
  <c r="AB13" i="9"/>
  <c r="N69" i="8"/>
  <c r="F70" i="8"/>
  <c r="F71" i="8" s="1"/>
  <c r="AA14" i="9"/>
  <c r="I70" i="9"/>
  <c r="I71" i="9" s="1"/>
  <c r="W18" i="9"/>
  <c r="W20" i="9" s="1"/>
  <c r="M10" i="9"/>
  <c r="D71" i="9"/>
  <c r="J12" i="9"/>
  <c r="V12" i="9"/>
  <c r="V18" i="9" s="1"/>
  <c r="N67" i="8"/>
  <c r="S10" i="8"/>
  <c r="J14" i="9"/>
  <c r="D4" i="9"/>
  <c r="D17" i="9" s="1"/>
  <c r="AK43" i="9"/>
  <c r="AA9" i="9"/>
  <c r="Z18" i="9"/>
  <c r="Z20" i="9" s="1"/>
  <c r="Z14" i="9"/>
  <c r="O10" i="9"/>
  <c r="H10" i="9"/>
  <c r="I70" i="8"/>
  <c r="I71" i="8" s="1"/>
  <c r="AD18" i="8"/>
  <c r="AD20" i="8" s="1"/>
  <c r="G10" i="8"/>
  <c r="AE18" i="8"/>
  <c r="AE20" i="8" s="1"/>
  <c r="X18" i="9"/>
  <c r="X20" i="9" s="1"/>
  <c r="P10" i="9"/>
  <c r="Q10" i="8"/>
  <c r="H70" i="8"/>
  <c r="H71" i="8" s="1"/>
  <c r="AG18" i="8"/>
  <c r="AG20" i="8" s="1"/>
  <c r="N10" i="9"/>
  <c r="AB15" i="9"/>
  <c r="AC15" i="9" s="1"/>
  <c r="AC18" i="8"/>
  <c r="D70" i="8"/>
  <c r="AA18" i="9"/>
  <c r="AA20" i="9" s="1"/>
  <c r="G70" i="8"/>
  <c r="G71" i="8" s="1"/>
  <c r="Q9" i="9"/>
  <c r="E70" i="8"/>
  <c r="E71" i="8" s="1"/>
  <c r="Y9" i="8"/>
  <c r="E70" i="9"/>
  <c r="E71" i="9" s="1"/>
  <c r="G70" i="9"/>
  <c r="G71" i="9" s="1"/>
  <c r="AM12" i="8" l="1"/>
  <c r="H23" i="11"/>
  <c r="AH18" i="8"/>
  <c r="AH20" i="8" s="1"/>
  <c r="AM15" i="8"/>
  <c r="AN15" i="8" s="1"/>
  <c r="BA60" i="8" s="1"/>
  <c r="R9" i="9"/>
  <c r="AM13" i="8"/>
  <c r="AM14" i="8"/>
  <c r="K4" i="8"/>
  <c r="K17" i="8" s="1"/>
  <c r="K19" i="8" s="1"/>
  <c r="AJ16" i="8"/>
  <c r="AW44" i="8"/>
  <c r="H32" i="2" s="1"/>
  <c r="AI10" i="8"/>
  <c r="M4" i="8"/>
  <c r="M17" i="8" s="1"/>
  <c r="M19" i="8" s="1"/>
  <c r="AL10" i="8"/>
  <c r="AK10" i="8"/>
  <c r="AY44" i="8"/>
  <c r="J32" i="2" s="1"/>
  <c r="L4" i="8"/>
  <c r="L17" i="8" s="1"/>
  <c r="L19" i="8" s="1"/>
  <c r="AK16" i="8"/>
  <c r="J4" i="8"/>
  <c r="J17" i="8" s="1"/>
  <c r="J19" i="8" s="1"/>
  <c r="AI16" i="8"/>
  <c r="AX44" i="8"/>
  <c r="I32" i="2" s="1"/>
  <c r="AJ10" i="8"/>
  <c r="AC4" i="8"/>
  <c r="AC17" i="8" s="1"/>
  <c r="X10" i="8"/>
  <c r="N10" i="8"/>
  <c r="N4" i="8" s="1"/>
  <c r="O4" i="8" s="1"/>
  <c r="N18" i="8"/>
  <c r="N20" i="8" s="1"/>
  <c r="G23" i="11"/>
  <c r="AS16" i="8"/>
  <c r="AS33" i="8" s="1"/>
  <c r="AH16" i="9"/>
  <c r="AH33" i="9" s="1"/>
  <c r="J18" i="9"/>
  <c r="J20" i="9" s="1"/>
  <c r="AB9" i="9"/>
  <c r="D20" i="9"/>
  <c r="AE16" i="8"/>
  <c r="X16" i="9"/>
  <c r="AB14" i="9"/>
  <c r="Y16" i="9"/>
  <c r="AH16" i="8"/>
  <c r="AF10" i="8"/>
  <c r="AF4" i="8" s="1"/>
  <c r="AF17" i="8" s="1"/>
  <c r="AF19" i="8" s="1"/>
  <c r="D19" i="8"/>
  <c r="AD10" i="8"/>
  <c r="E4" i="8"/>
  <c r="E17" i="8" s="1"/>
  <c r="E19" i="8" s="1"/>
  <c r="AK44" i="9"/>
  <c r="AA10" i="9"/>
  <c r="AV44" i="8"/>
  <c r="G32" i="2" s="1"/>
  <c r="AH10" i="8"/>
  <c r="AH44" i="9"/>
  <c r="X10" i="9"/>
  <c r="G4" i="8"/>
  <c r="G17" i="8" s="1"/>
  <c r="G19" i="8" s="1"/>
  <c r="AF16" i="8"/>
  <c r="AJ44" i="9"/>
  <c r="Z10" i="9"/>
  <c r="D19" i="9"/>
  <c r="AI44" i="9"/>
  <c r="Y10" i="9"/>
  <c r="W10" i="9"/>
  <c r="E4" i="9"/>
  <c r="E17" i="9" s="1"/>
  <c r="E19" i="9" s="1"/>
  <c r="J10" i="9"/>
  <c r="Q10" i="9"/>
  <c r="AB12" i="9"/>
  <c r="V4" i="9"/>
  <c r="V17" i="9" s="1"/>
  <c r="AB18" i="9"/>
  <c r="V20" i="9"/>
  <c r="J70" i="9"/>
  <c r="AU44" i="8"/>
  <c r="F32" i="2" s="1"/>
  <c r="AG10" i="8"/>
  <c r="AC20" i="8"/>
  <c r="Z16" i="9"/>
  <c r="H4" i="9"/>
  <c r="H17" i="9" s="1"/>
  <c r="H19" i="9" s="1"/>
  <c r="D71" i="8"/>
  <c r="N71" i="8" s="1"/>
  <c r="N70" i="8"/>
  <c r="AS44" i="8"/>
  <c r="D32" i="2" s="1"/>
  <c r="AE10" i="8"/>
  <c r="J71" i="9"/>
  <c r="AG16" i="8"/>
  <c r="H4" i="8"/>
  <c r="H17" i="8" s="1"/>
  <c r="H19" i="8" s="1"/>
  <c r="AA16" i="9"/>
  <c r="AV60" i="8" l="1"/>
  <c r="AM60" i="9"/>
  <c r="AW60" i="8"/>
  <c r="AX60" i="8"/>
  <c r="AI60" i="9"/>
  <c r="AJ60" i="9"/>
  <c r="AU60" i="8"/>
  <c r="AM18" i="8"/>
  <c r="AM20" i="8" s="1"/>
  <c r="AL60" i="9"/>
  <c r="AH60" i="9"/>
  <c r="AK60" i="9"/>
  <c r="AS60" i="8"/>
  <c r="AT60" i="8"/>
  <c r="AY60" i="8"/>
  <c r="BB60" i="8"/>
  <c r="AZ60" i="8"/>
  <c r="AJ4" i="8"/>
  <c r="AJ17" i="8" s="1"/>
  <c r="AJ19" i="8" s="1"/>
  <c r="AL4" i="8"/>
  <c r="AL17" i="8" s="1"/>
  <c r="AL19" i="8" s="1"/>
  <c r="AK4" i="8"/>
  <c r="AK17" i="8" s="1"/>
  <c r="AK19" i="8" s="1"/>
  <c r="AM10" i="8"/>
  <c r="AM16" i="8"/>
  <c r="AI4" i="8"/>
  <c r="AI17" i="8" s="1"/>
  <c r="AI19" i="8" s="1"/>
  <c r="N17" i="8"/>
  <c r="K18" i="9"/>
  <c r="K20" i="9" s="1"/>
  <c r="AB16" i="9"/>
  <c r="R10" i="9"/>
  <c r="J17" i="9"/>
  <c r="K17" i="9" s="1"/>
  <c r="Y10" i="8"/>
  <c r="X4" i="9"/>
  <c r="X17" i="9" s="1"/>
  <c r="X19" i="9" s="1"/>
  <c r="AA4" i="9"/>
  <c r="AA17" i="9" s="1"/>
  <c r="AA19" i="9" s="1"/>
  <c r="AH4" i="8"/>
  <c r="AH17" i="8" s="1"/>
  <c r="AH19" i="8" s="1"/>
  <c r="AD4" i="8"/>
  <c r="AD17" i="8" s="1"/>
  <c r="AD19" i="8" s="1"/>
  <c r="W4" i="9"/>
  <c r="W17" i="9" s="1"/>
  <c r="W19" i="9" s="1"/>
  <c r="AB10" i="9"/>
  <c r="AB20" i="9"/>
  <c r="AC18" i="9"/>
  <c r="AC20" i="9" s="1"/>
  <c r="AG4" i="8"/>
  <c r="AG17" i="8" s="1"/>
  <c r="AG19" i="8" s="1"/>
  <c r="AC19" i="8"/>
  <c r="J4" i="9"/>
  <c r="K4" i="9" s="1"/>
  <c r="Z4" i="9"/>
  <c r="Z17" i="9" s="1"/>
  <c r="Z19" i="9" s="1"/>
  <c r="V19" i="9"/>
  <c r="AE4" i="8"/>
  <c r="AE17" i="8" s="1"/>
  <c r="AE19" i="8" s="1"/>
  <c r="D20" i="2"/>
  <c r="Y4" i="9"/>
  <c r="Y17" i="9" s="1"/>
  <c r="Y19" i="9" s="1"/>
  <c r="AN60" i="9" l="1"/>
  <c r="BC60" i="8"/>
  <c r="AM17" i="8"/>
  <c r="AM4" i="8"/>
  <c r="AN4" i="8" s="1"/>
  <c r="N19" i="8"/>
  <c r="O13" i="8"/>
  <c r="O6" i="8"/>
  <c r="O11" i="8"/>
  <c r="O9" i="8"/>
  <c r="O5" i="8"/>
  <c r="E13" i="11" s="1"/>
  <c r="O14" i="8"/>
  <c r="O8" i="8"/>
  <c r="O10" i="8"/>
  <c r="O7" i="8"/>
  <c r="J19" i="9"/>
  <c r="K9" i="9"/>
  <c r="K10" i="9"/>
  <c r="K5" i="9"/>
  <c r="K19" i="9"/>
  <c r="K12" i="9"/>
  <c r="AB4" i="9"/>
  <c r="AC4" i="9" s="1"/>
  <c r="K6" i="9"/>
  <c r="K13" i="9"/>
  <c r="K7" i="9"/>
  <c r="K14" i="9"/>
  <c r="K8" i="9"/>
  <c r="AB17" i="9"/>
  <c r="K11" i="9"/>
  <c r="AN6" i="8" l="1"/>
  <c r="AN5" i="8"/>
  <c r="AS50" i="8" s="1"/>
  <c r="F19" i="17"/>
  <c r="Q16" i="17" s="1"/>
  <c r="L19" i="17"/>
  <c r="Q22" i="17" s="1"/>
  <c r="J19" i="17"/>
  <c r="Q20" i="17" s="1"/>
  <c r="I19" i="17"/>
  <c r="Q19" i="17" s="1"/>
  <c r="M19" i="17"/>
  <c r="Q25" i="17" s="1"/>
  <c r="G19" i="17"/>
  <c r="Q17" i="17" s="1"/>
  <c r="E19" i="17"/>
  <c r="Q24" i="17" s="1"/>
  <c r="Q7" i="17" s="1"/>
  <c r="H19" i="17"/>
  <c r="Q18" i="17" s="1"/>
  <c r="K19" i="17"/>
  <c r="Q21" i="17" s="1"/>
  <c r="D19" i="17"/>
  <c r="Q15" i="17" s="1"/>
  <c r="AR6" i="8"/>
  <c r="AR23" i="8" s="1"/>
  <c r="AM19" i="8"/>
  <c r="E14" i="11"/>
  <c r="E22" i="11"/>
  <c r="E17" i="11"/>
  <c r="E16" i="11"/>
  <c r="E15" i="11"/>
  <c r="E21" i="11"/>
  <c r="AB19" i="9"/>
  <c r="AC17" i="9"/>
  <c r="AC11" i="9" s="1"/>
  <c r="E19" i="11"/>
  <c r="E18" i="11"/>
  <c r="Q6" i="17" l="1"/>
  <c r="Q8" i="17" s="1"/>
  <c r="C55" i="2" s="1"/>
  <c r="AR7" i="8"/>
  <c r="BB50" i="8"/>
  <c r="AZ50" i="8"/>
  <c r="BA50" i="8"/>
  <c r="AX50" i="8"/>
  <c r="AY50" i="8"/>
  <c r="AR24" i="8"/>
  <c r="AN9" i="8"/>
  <c r="AN7" i="8"/>
  <c r="AS52" i="8" s="1"/>
  <c r="AN8" i="8"/>
  <c r="AN12" i="8"/>
  <c r="AS57" i="8" s="1"/>
  <c r="AS63" i="8" s="1"/>
  <c r="AS70" i="8" s="1"/>
  <c r="AN11" i="8"/>
  <c r="G14" i="11"/>
  <c r="H14" i="11"/>
  <c r="AG7" i="9"/>
  <c r="AG24" i="9" s="1"/>
  <c r="E20" i="11"/>
  <c r="F20" i="11"/>
  <c r="AS13" i="8" s="1"/>
  <c r="AS30" i="8" s="1"/>
  <c r="AC16" i="9"/>
  <c r="AC7" i="9"/>
  <c r="AN10" i="8"/>
  <c r="AN16" i="8"/>
  <c r="AN13" i="8"/>
  <c r="AS58" i="8" s="1"/>
  <c r="AC14" i="9"/>
  <c r="AG14" i="9"/>
  <c r="AG31" i="9" s="1"/>
  <c r="AR14" i="8"/>
  <c r="AR31" i="8" s="1"/>
  <c r="C18" i="2" s="1"/>
  <c r="G21" i="11"/>
  <c r="H21" i="11"/>
  <c r="AG10" i="9"/>
  <c r="AG27" i="9" s="1"/>
  <c r="AR10" i="8"/>
  <c r="G17" i="11"/>
  <c r="H17" i="11"/>
  <c r="AC9" i="9"/>
  <c r="AG11" i="9"/>
  <c r="AG28" i="9" s="1"/>
  <c r="AR11" i="8"/>
  <c r="AR28" i="8" s="1"/>
  <c r="G18" i="11"/>
  <c r="H18" i="11"/>
  <c r="AC8" i="9"/>
  <c r="AG8" i="9"/>
  <c r="AG25" i="9" s="1"/>
  <c r="AR8" i="8"/>
  <c r="AR25" i="8" s="1"/>
  <c r="G15" i="11"/>
  <c r="H15" i="11"/>
  <c r="AC19" i="9"/>
  <c r="AC10" i="9"/>
  <c r="AC13" i="9"/>
  <c r="AG6" i="9"/>
  <c r="G13" i="11"/>
  <c r="H13" i="11"/>
  <c r="AC5" i="9"/>
  <c r="AG12" i="9"/>
  <c r="AG29" i="9" s="1"/>
  <c r="AR12" i="8"/>
  <c r="AR29" i="8" s="1"/>
  <c r="C17" i="2" s="1"/>
  <c r="G19" i="11"/>
  <c r="H19" i="11"/>
  <c r="AC12" i="9"/>
  <c r="AC6" i="9"/>
  <c r="AN14" i="8"/>
  <c r="AG9" i="9"/>
  <c r="AG26" i="9" s="1"/>
  <c r="AR9" i="8"/>
  <c r="G16" i="11"/>
  <c r="H16" i="11"/>
  <c r="AR15" i="8"/>
  <c r="AR32" i="8" s="1"/>
  <c r="C19" i="2" s="1"/>
  <c r="AG15" i="9"/>
  <c r="AG32" i="9" s="1"/>
  <c r="G22" i="11"/>
  <c r="H22" i="11"/>
  <c r="E9" i="11" l="1"/>
  <c r="AY53" i="8"/>
  <c r="AZ53" i="8"/>
  <c r="BA53" i="8"/>
  <c r="BB53" i="8"/>
  <c r="AZ57" i="8"/>
  <c r="AZ63" i="8" s="1"/>
  <c r="AS77" i="8" s="1"/>
  <c r="BA57" i="8"/>
  <c r="BA63" i="8" s="1"/>
  <c r="AS78" i="8" s="1"/>
  <c r="BB57" i="8"/>
  <c r="BB63" i="8" s="1"/>
  <c r="AS79" i="8" s="1"/>
  <c r="AX57" i="8"/>
  <c r="AX63" i="8" s="1"/>
  <c r="AY57" i="8"/>
  <c r="AY63" i="8" s="1"/>
  <c r="AS76" i="8" s="1"/>
  <c r="BB52" i="8"/>
  <c r="AY52" i="8"/>
  <c r="AZ52" i="8"/>
  <c r="BA52" i="8"/>
  <c r="AZ55" i="8"/>
  <c r="BA55" i="8"/>
  <c r="BB55" i="8"/>
  <c r="AY55" i="8"/>
  <c r="AY51" i="8"/>
  <c r="AZ51" i="8"/>
  <c r="BA51" i="8"/>
  <c r="BB51" i="8"/>
  <c r="AY58" i="8"/>
  <c r="AZ58" i="8"/>
  <c r="BA58" i="8"/>
  <c r="BB58" i="8"/>
  <c r="AY59" i="8"/>
  <c r="AZ59" i="8"/>
  <c r="BA59" i="8"/>
  <c r="BB59" i="8"/>
  <c r="AZ54" i="8"/>
  <c r="BA54" i="8"/>
  <c r="BB54" i="8"/>
  <c r="AY54" i="8"/>
  <c r="AL58" i="9"/>
  <c r="AS53" i="8"/>
  <c r="AX55" i="8"/>
  <c r="AS51" i="8"/>
  <c r="AI54" i="9"/>
  <c r="AH50" i="9"/>
  <c r="AU50" i="8"/>
  <c r="AR26" i="8"/>
  <c r="C14" i="2" s="1"/>
  <c r="C12" i="2"/>
  <c r="C16" i="2"/>
  <c r="AR27" i="8"/>
  <c r="C15" i="2" s="1"/>
  <c r="AU57" i="8"/>
  <c r="AU63" i="8" s="1"/>
  <c r="AW57" i="8"/>
  <c r="AW63" i="8" s="1"/>
  <c r="AT57" i="8"/>
  <c r="AT63" i="8" s="1"/>
  <c r="AS75" i="8" s="1"/>
  <c r="AI52" i="9"/>
  <c r="AU52" i="8"/>
  <c r="AJ51" i="9"/>
  <c r="AI51" i="9"/>
  <c r="AH51" i="9"/>
  <c r="AV51" i="8"/>
  <c r="AM51" i="9"/>
  <c r="AU51" i="8"/>
  <c r="AL51" i="9"/>
  <c r="AX51" i="8"/>
  <c r="AT51" i="8"/>
  <c r="AK51" i="9"/>
  <c r="AW51" i="8"/>
  <c r="AJ53" i="9"/>
  <c r="AV53" i="8"/>
  <c r="AI53" i="9"/>
  <c r="AU53" i="8"/>
  <c r="AH53" i="9"/>
  <c r="AT53" i="8"/>
  <c r="AM53" i="9"/>
  <c r="AL53" i="9"/>
  <c r="AX53" i="8"/>
  <c r="AK53" i="9"/>
  <c r="AW53" i="8"/>
  <c r="AI61" i="9"/>
  <c r="AN61" i="9" s="1"/>
  <c r="AT61" i="8"/>
  <c r="BC61" i="8" s="1"/>
  <c r="AM57" i="9"/>
  <c r="AM63" i="9" s="1"/>
  <c r="AM65" i="9" s="1"/>
  <c r="AH57" i="9"/>
  <c r="AH63" i="9" s="1"/>
  <c r="AH70" i="9" s="1"/>
  <c r="AI57" i="9"/>
  <c r="AI63" i="9" s="1"/>
  <c r="AH75" i="9" s="1"/>
  <c r="AJ57" i="9"/>
  <c r="AJ63" i="9" s="1"/>
  <c r="AH71" i="9" s="1"/>
  <c r="AV57" i="8"/>
  <c r="AV63" i="8" s="1"/>
  <c r="AS72" i="8" s="1"/>
  <c r="AL57" i="9"/>
  <c r="AL63" i="9" s="1"/>
  <c r="AL65" i="9" s="1"/>
  <c r="AK57" i="9"/>
  <c r="AK63" i="9" s="1"/>
  <c r="AK65" i="9" s="1"/>
  <c r="AW52" i="8"/>
  <c r="AV52" i="8"/>
  <c r="AM52" i="9"/>
  <c r="AJ52" i="9"/>
  <c r="AH52" i="9"/>
  <c r="E10" i="11"/>
  <c r="AX52" i="8"/>
  <c r="AR13" i="8"/>
  <c r="AR30" i="8" s="1"/>
  <c r="AK52" i="9"/>
  <c r="AL52" i="9"/>
  <c r="AT52" i="8"/>
  <c r="AS55" i="8"/>
  <c r="AH13" i="9"/>
  <c r="F9" i="11"/>
  <c r="F10" i="11"/>
  <c r="AG13" i="9"/>
  <c r="AG30" i="9" s="1"/>
  <c r="G20" i="11"/>
  <c r="G9" i="11" s="1"/>
  <c r="H20" i="11"/>
  <c r="H10" i="11" s="1"/>
  <c r="AW55" i="8"/>
  <c r="AU55" i="8"/>
  <c r="AL55" i="9"/>
  <c r="AK55" i="9"/>
  <c r="AJ55" i="9"/>
  <c r="AT55" i="8"/>
  <c r="AH55" i="9"/>
  <c r="AI55" i="9"/>
  <c r="AM55" i="9"/>
  <c r="AV55" i="8"/>
  <c r="AJ54" i="9"/>
  <c r="AK54" i="9"/>
  <c r="AU54" i="8"/>
  <c r="AJ58" i="9"/>
  <c r="AX54" i="8"/>
  <c r="AM54" i="9"/>
  <c r="AH58" i="9"/>
  <c r="AS54" i="8"/>
  <c r="AL54" i="9"/>
  <c r="AU58" i="8"/>
  <c r="AW54" i="8"/>
  <c r="AW58" i="8"/>
  <c r="AX58" i="8"/>
  <c r="AI58" i="9"/>
  <c r="AM58" i="9"/>
  <c r="AK58" i="9"/>
  <c r="AH54" i="9"/>
  <c r="AT54" i="8"/>
  <c r="AV58" i="8"/>
  <c r="AV54" i="8"/>
  <c r="AT58" i="8"/>
  <c r="AT50" i="8"/>
  <c r="AI50" i="9"/>
  <c r="AK50" i="9"/>
  <c r="AL50" i="9"/>
  <c r="AJ50" i="9"/>
  <c r="AW50" i="8"/>
  <c r="AV50" i="8"/>
  <c r="AM50" i="9"/>
  <c r="AX59" i="8"/>
  <c r="AJ59" i="9"/>
  <c r="AW59" i="8"/>
  <c r="AV59" i="8"/>
  <c r="AK59" i="9"/>
  <c r="AH59" i="9"/>
  <c r="AS59" i="8"/>
  <c r="AU59" i="8"/>
  <c r="AI59" i="9"/>
  <c r="AT59" i="8"/>
  <c r="AM59" i="9"/>
  <c r="AL59" i="9"/>
  <c r="AG23" i="9"/>
  <c r="C11" i="2"/>
  <c r="AR34" i="8" l="1"/>
  <c r="C21" i="2" s="1"/>
  <c r="AU65" i="8"/>
  <c r="AS71" i="8"/>
  <c r="AX65" i="8"/>
  <c r="AS74" i="8"/>
  <c r="AT87" i="8" s="1"/>
  <c r="AW65" i="8"/>
  <c r="AS73" i="8"/>
  <c r="AX49" i="8"/>
  <c r="AX62" i="8" s="1"/>
  <c r="AY49" i="8"/>
  <c r="AY62" i="8" s="1"/>
  <c r="AR76" i="8" s="1"/>
  <c r="BB49" i="8"/>
  <c r="BB62" i="8" s="1"/>
  <c r="AR79" i="8" s="1"/>
  <c r="BA49" i="8"/>
  <c r="BA62" i="8" s="1"/>
  <c r="AR78" i="8" s="1"/>
  <c r="BC54" i="8"/>
  <c r="BC50" i="8"/>
  <c r="AZ49" i="8"/>
  <c r="AZ62" i="8" s="1"/>
  <c r="AZ64" i="8" s="1"/>
  <c r="BC59" i="8"/>
  <c r="BC55" i="8"/>
  <c r="BC53" i="8"/>
  <c r="AY65" i="8"/>
  <c r="BC51" i="8"/>
  <c r="AZ65" i="8"/>
  <c r="BC58" i="8"/>
  <c r="BC52" i="8"/>
  <c r="BB65" i="8"/>
  <c r="AR100" i="8"/>
  <c r="BC57" i="8"/>
  <c r="BA65" i="8"/>
  <c r="AU49" i="8"/>
  <c r="AU62" i="8" s="1"/>
  <c r="AR71" i="8" s="1"/>
  <c r="AT85" i="8"/>
  <c r="D39" i="2" s="1"/>
  <c r="AH49" i="9"/>
  <c r="AH62" i="9" s="1"/>
  <c r="AG70" i="9" s="1"/>
  <c r="C13" i="2"/>
  <c r="AT65" i="8"/>
  <c r="AH74" i="9"/>
  <c r="AG82" i="9" s="1"/>
  <c r="AS49" i="8"/>
  <c r="AS62" i="8" s="1"/>
  <c r="AR70" i="8" s="1"/>
  <c r="AH65" i="9"/>
  <c r="AI65" i="9"/>
  <c r="AJ65" i="9"/>
  <c r="AV65" i="8"/>
  <c r="AH73" i="9"/>
  <c r="AN57" i="9"/>
  <c r="AH72" i="9"/>
  <c r="AN63" i="9"/>
  <c r="AN65" i="9" s="1"/>
  <c r="H9" i="11"/>
  <c r="AN52" i="9"/>
  <c r="AR18" i="8"/>
  <c r="AG18" i="9"/>
  <c r="AN51" i="9"/>
  <c r="AS18" i="8"/>
  <c r="AH30" i="9"/>
  <c r="AH35" i="9" s="1"/>
  <c r="AH18" i="9"/>
  <c r="G10" i="11"/>
  <c r="AI49" i="9"/>
  <c r="AI62" i="9" s="1"/>
  <c r="AG75" i="9" s="1"/>
  <c r="AN55" i="9"/>
  <c r="AG34" i="9"/>
  <c r="AG35" i="9" s="1"/>
  <c r="AL49" i="9"/>
  <c r="AL62" i="9" s="1"/>
  <c r="AN54" i="9"/>
  <c r="AK49" i="9"/>
  <c r="AK62" i="9" s="1"/>
  <c r="AG72" i="9" s="1"/>
  <c r="AN53" i="9"/>
  <c r="AM49" i="9"/>
  <c r="AM62" i="9" s="1"/>
  <c r="AG74" i="9" s="1"/>
  <c r="AJ49" i="9"/>
  <c r="AJ62" i="9" s="1"/>
  <c r="AG71" i="9" s="1"/>
  <c r="AN58" i="9"/>
  <c r="AW49" i="8"/>
  <c r="AW62" i="8" s="1"/>
  <c r="AR73" i="8" s="1"/>
  <c r="AT49" i="8"/>
  <c r="AT62" i="8" s="1"/>
  <c r="AV49" i="8"/>
  <c r="AV62" i="8" s="1"/>
  <c r="AR72" i="8" s="1"/>
  <c r="AN50" i="9"/>
  <c r="AN59" i="9"/>
  <c r="AY64" i="8" l="1"/>
  <c r="AR77" i="8"/>
  <c r="AS89" i="8" s="1"/>
  <c r="C43" i="2" s="1"/>
  <c r="BA64" i="8"/>
  <c r="BB64" i="8"/>
  <c r="AT83" i="8"/>
  <c r="D37" i="2" s="1"/>
  <c r="BC49" i="8"/>
  <c r="AS65" i="8"/>
  <c r="AS90" i="8"/>
  <c r="C44" i="2" s="1"/>
  <c r="AS88" i="8"/>
  <c r="C42" i="2" s="1"/>
  <c r="AT89" i="8"/>
  <c r="D43" i="2" s="1"/>
  <c r="AT90" i="8"/>
  <c r="D44" i="2" s="1"/>
  <c r="AT88" i="8"/>
  <c r="D42" i="2" s="1"/>
  <c r="BC63" i="8"/>
  <c r="BC65" i="8" s="1"/>
  <c r="AG81" i="9"/>
  <c r="C23" i="2"/>
  <c r="AT84" i="8"/>
  <c r="D38" i="2" s="1"/>
  <c r="AH64" i="9"/>
  <c r="D41" i="2"/>
  <c r="AT86" i="8"/>
  <c r="D40" i="2" s="1"/>
  <c r="AX64" i="8"/>
  <c r="AR74" i="8"/>
  <c r="AT64" i="8"/>
  <c r="AR75" i="8"/>
  <c r="AL64" i="9"/>
  <c r="AG73" i="9"/>
  <c r="AI64" i="9"/>
  <c r="AU64" i="8"/>
  <c r="D17" i="2"/>
  <c r="D23" i="2" s="1"/>
  <c r="AS35" i="8"/>
  <c r="AK64" i="9"/>
  <c r="AN49" i="9"/>
  <c r="AM64" i="9"/>
  <c r="AR35" i="8"/>
  <c r="AJ64" i="9"/>
  <c r="AV64" i="8"/>
  <c r="AW64" i="8"/>
  <c r="AS64" i="8"/>
  <c r="BC62" i="8"/>
  <c r="BC64" i="8" s="1"/>
  <c r="AN62" i="9"/>
  <c r="AN64" i="9" s="1"/>
  <c r="AR99" i="8" l="1"/>
  <c r="AS83" i="8"/>
  <c r="C37" i="2" s="1"/>
  <c r="AS87" i="8"/>
  <c r="C41" i="2" s="1"/>
  <c r="AS84" i="8"/>
  <c r="C38" i="2" s="1"/>
  <c r="AS86" i="8"/>
  <c r="C40" i="2" s="1"/>
  <c r="AS85" i="8"/>
  <c r="C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2" authorId="0" shapeId="0" xr:uid="{00000000-0006-0000-0700-000007000000}">
      <text>
        <r>
          <rPr>
            <sz val="8"/>
            <color theme="1"/>
            <rFont val="Calibri"/>
            <family val="2"/>
            <scheme val="minor"/>
          </rPr>
          <t>======
ID#AAAAZkGV954
Ecochain    (2022-05-18 14:04:12)
Bij het verbruik is voor alle mengsels rekening gehouden met asfaltgranulaat (AG).
Hier wordt het vebruik van de mengsels berekend zonder AG, door uit te gaan van mengsels per geen AG (dus geen oververhitting mineralen, vocht en lucht en ook daardoor minder stralingsverliezen). Het verschil tussen deze en de originele berekening is de energie die nodig is voor oververhitting van mineralen (dit heeft effect op opwarmen verbrandingslucht, overmaat en leklucht, omdat mineralen en dus lucht meer verwarmt worden).
Hiernaast wordt het nieuwe verbruik van opwarmen mineralen en verbrandingslucht berekend, het verschil wordt onder oververhitting geschaard.</t>
        </r>
      </text>
    </comment>
    <comment ref="D3" authorId="0" shapeId="0" xr:uid="{00000000-0006-0000-0700-000023000000}">
      <text>
        <r>
          <rPr>
            <sz val="8"/>
            <color theme="1"/>
            <rFont val="Calibri"/>
            <family val="2"/>
            <scheme val="minor"/>
          </rPr>
          <t>======
ID#AAAAZkGV92k
Dirk-Jan Everts    (2022-05-18 14:04:12)
BECO
Asfalt concrete is de pure mineralen (zand + steenslag).</t>
        </r>
      </text>
    </comment>
    <comment ref="E3" authorId="0" shapeId="0" xr:uid="{00000000-0006-0000-0700-000018000000}">
      <text>
        <r>
          <rPr>
            <sz val="8"/>
            <color theme="1"/>
            <rFont val="Calibri"/>
            <family val="2"/>
            <scheme val="minor"/>
          </rPr>
          <t>======
ID#AAAAZkGV94I
Dirk-Jan Everts    (2022-05-18 14:04:12)
BECO
Asfaltgranulaat.</t>
        </r>
      </text>
    </comment>
    <comment ref="F3" authorId="0" shapeId="0" xr:uid="{00000000-0006-0000-0700-000024000000}">
      <text>
        <r>
          <rPr>
            <sz val="8"/>
            <color theme="1"/>
            <rFont val="Calibri"/>
            <family val="2"/>
            <scheme val="minor"/>
          </rPr>
          <t>======
ID#AAAAZkGV92Q
Dirk-Jan Everts    (2022-05-18 14:04:12)
BECO
Laag Energie-Asfalt.</t>
        </r>
      </text>
    </comment>
    <comment ref="G3" authorId="0" shapeId="0" xr:uid="{00000000-0006-0000-0700-000003000000}">
      <text>
        <r>
          <rPr>
            <sz val="8"/>
            <color theme="1"/>
            <rFont val="Calibri"/>
            <family val="2"/>
            <scheme val="minor"/>
          </rPr>
          <t>======
ID#AAAAZkGV96Y
Dirk-Jan Everts    (2022-05-18 14:04:12)
BECO
Voorheen: SMA Steen Mastiek Asfalt.</t>
        </r>
      </text>
    </comment>
    <comment ref="H3" authorId="0" shapeId="0" xr:uid="{00000000-0006-0000-0700-00001E000000}">
      <text>
        <r>
          <rPr>
            <sz val="8"/>
            <color theme="1"/>
            <rFont val="Calibri"/>
            <family val="2"/>
            <scheme val="minor"/>
          </rPr>
          <t>======
ID#AAAAZkGV93Q
BECO Groep    (2022-05-18 14:04:12)
BECO 
Zeer open asfalt beton.</t>
        </r>
      </text>
    </comment>
    <comment ref="I3" authorId="0" shapeId="0" xr:uid="{00000000-0006-0000-0700-000013000000}">
      <text>
        <r>
          <rPr>
            <sz val="8"/>
            <color theme="1"/>
            <rFont val="Calibri"/>
            <family val="2"/>
            <scheme val="minor"/>
          </rPr>
          <t>======
ID#AAAAZkGV94k
BECO Groep    (2022-05-18 14:04:12)
BECO
Aangenomen dat onder 'overig' vooral surface mengsels worden geproduceerd. Daarom heeft deze soort dezelfde waarde als AC.</t>
        </r>
      </text>
    </comment>
    <comment ref="N3" authorId="0" shapeId="0" xr:uid="{00000000-0006-0000-0700-000006000000}">
      <text>
        <r>
          <rPr>
            <sz val="8"/>
            <color theme="1"/>
            <rFont val="Calibri"/>
            <family val="2"/>
            <scheme val="minor"/>
          </rPr>
          <t>======
ID#AAAAZkGV958
Dirk-Jan Everts    (2022-05-18 14:04:12)
BECO
Dit is een gewogen gemiddelde (op basis van productie). Totaalcijfers zijn rood gemarkeerd.</t>
        </r>
      </text>
    </comment>
    <comment ref="O3" authorId="0" shapeId="0" xr:uid="{00000000-0006-0000-0700-00000E000000}">
      <text>
        <r>
          <rPr>
            <sz val="8"/>
            <color theme="1"/>
            <rFont val="Calibri"/>
            <family val="2"/>
            <scheme val="minor"/>
          </rPr>
          <t>======
ID#AAAAZkGV95I
BECO    (2022-05-18 14:04:12)
De modelwaarde is gecorrigeerd voor het werkelijke verbruik.</t>
        </r>
      </text>
    </comment>
    <comment ref="AC3" authorId="0" shapeId="0" xr:uid="{00000000-0006-0000-0700-000021000000}">
      <text>
        <r>
          <rPr>
            <sz val="8"/>
            <color theme="1"/>
            <rFont val="Calibri"/>
            <family val="2"/>
            <scheme val="minor"/>
          </rPr>
          <t>======
ID#AAAAZkGV920
Dirk-Jan Everts    (2022-05-18 14:04:12)
BECO
Asfalt concrete is de pure mineralen (zand + steenslag).</t>
        </r>
      </text>
    </comment>
    <comment ref="AD3" authorId="0" shapeId="0" xr:uid="{00000000-0006-0000-0700-00000B000000}">
      <text>
        <r>
          <rPr>
            <sz val="8"/>
            <color theme="1"/>
            <rFont val="Calibri"/>
            <family val="2"/>
            <scheme val="minor"/>
          </rPr>
          <t>======
ID#AAAAZkGV95Y
Dirk-Jan Everts    (2022-05-18 14:04:12)
BECO
Asfaltgranulaat.</t>
        </r>
      </text>
    </comment>
    <comment ref="AE3" authorId="0" shapeId="0" xr:uid="{00000000-0006-0000-0700-00000D000000}">
      <text>
        <r>
          <rPr>
            <sz val="8"/>
            <color theme="1"/>
            <rFont val="Calibri"/>
            <family val="2"/>
            <scheme val="minor"/>
          </rPr>
          <t>======
ID#AAAAZkGV95M
Dirk-Jan Everts    (2022-05-18 14:04:12)
BECO
Laag Energie-Asfalt.</t>
        </r>
      </text>
    </comment>
    <comment ref="AF3" authorId="0" shapeId="0" xr:uid="{00000000-0006-0000-0700-000012000000}">
      <text>
        <r>
          <rPr>
            <sz val="8"/>
            <color theme="1"/>
            <rFont val="Calibri"/>
            <family val="2"/>
            <scheme val="minor"/>
          </rPr>
          <t>======
ID#AAAAZkGV94w
Dirk-Jan Everts    (2022-05-18 14:04:12)
BECO
Voorheen: SMA Steen Mastiek Asfalt.</t>
        </r>
      </text>
    </comment>
    <comment ref="AG3" authorId="0" shapeId="0" xr:uid="{00000000-0006-0000-0700-00001D000000}">
      <text>
        <r>
          <rPr>
            <sz val="8"/>
            <color theme="1"/>
            <rFont val="Calibri"/>
            <family val="2"/>
            <scheme val="minor"/>
          </rPr>
          <t>======
ID#AAAAZkGV93U
BECO Groep    (2022-05-18 14:04:12)
BECO 
Zeer open asfalt beton.</t>
        </r>
      </text>
    </comment>
    <comment ref="AH3" authorId="0" shapeId="0" xr:uid="{00000000-0006-0000-0700-000010000000}">
      <text>
        <r>
          <rPr>
            <sz val="8"/>
            <color theme="1"/>
            <rFont val="Calibri"/>
            <family val="2"/>
            <scheme val="minor"/>
          </rPr>
          <t>======
ID#AAAAZkGV95A
BECO Groep    (2022-05-18 14:04:12)
BECO
Aangenomen dat onder 'overig' vooral surface mengsels worden geproduceerd. Daarom heeft deze soort dezelfde waarde als AC.</t>
        </r>
      </text>
    </comment>
    <comment ref="AM3" authorId="0" shapeId="0" xr:uid="{00000000-0006-0000-0700-000029000000}">
      <text>
        <r>
          <rPr>
            <sz val="8"/>
            <color theme="1"/>
            <rFont val="Calibri"/>
            <family val="2"/>
            <scheme val="minor"/>
          </rPr>
          <t>======
ID#AAAAZkGV91Y
Dirk-Jan Everts    (2022-05-18 14:04:12)
BECO
Dit is een gewogen gemiddelde (op basis van productie). Totaalcijfers zijn rood gemarkeerd.</t>
        </r>
      </text>
    </comment>
    <comment ref="AN3" authorId="0" shapeId="0" xr:uid="{00000000-0006-0000-0700-000002000000}">
      <text>
        <r>
          <rPr>
            <sz val="8"/>
            <color theme="1"/>
            <rFont val="Calibri"/>
            <family val="2"/>
            <scheme val="minor"/>
          </rPr>
          <t>======
ID#AAAAZkGV96c
BECO    (2022-05-18 14:04:12)
De modelwaarde is gecorrigeerd voor het werkelijke verbruik.</t>
        </r>
      </text>
    </comment>
    <comment ref="B7" authorId="0" shapeId="0" xr:uid="{00000000-0006-0000-0700-000004000000}">
      <text>
        <r>
          <rPr>
            <sz val="8"/>
            <color theme="1"/>
            <rFont val="Calibri"/>
            <family val="2"/>
            <scheme val="minor"/>
          </rPr>
          <t>======
ID#AAAAZkGV96Q
Maarten    (2022-05-18 14:04:12)
Berekend opv afgastemperatuur, aangezien vocht de trommel verlaat met de lucht</t>
        </r>
      </text>
    </comment>
    <comment ref="B9" authorId="0" shapeId="0" xr:uid="{00000000-0006-0000-0700-000014000000}">
      <text>
        <r>
          <rPr>
            <sz val="8"/>
            <color theme="1"/>
            <rFont val="Calibri"/>
            <family val="2"/>
            <scheme val="minor"/>
          </rPr>
          <t>======
ID#AAAAZkGV94c
Ecochain    (2022-05-18 14:04:12)
Berekend opv afgastemperatuur, aangezien lucht de trommel verlaat. Hierbij  Hierbij wordt uitgegaan van luchtbehoefte voor verbranding per m3 gas.
Ook is een factor toegevoegd waarbij het zuurstofgehalte van afgaslucht en buitenlucht tegen elkaar wordt afgezegd. De literatuur duidt erop dat met deze factor rekening gehouden wordt met leklucht en overmaat, al is de wijze waarop onduidelijk.
De formules in de literatuur komen niet geheel overeen met de formule hier. De reden hiervoor is niet bekend.</t>
        </r>
      </text>
    </comment>
    <comment ref="B10" authorId="0" shapeId="0" xr:uid="{00000000-0006-0000-0700-000020000000}">
      <text>
        <r>
          <rPr>
            <sz val="8"/>
            <color theme="1"/>
            <rFont val="Calibri"/>
            <family val="2"/>
            <scheme val="minor"/>
          </rPr>
          <t>======
ID#AAAAZkGV924
Ecochain    (2022-05-18 14:04:12)
Straling afkomstig van witte trommel (en paralleltrommel), waarbij al rekening wordt gehouden met de hoeveelheid PR (oververhitting mineralen, vocht en lucht in witte trommel)</t>
        </r>
      </text>
    </comment>
    <comment ref="B11" authorId="0" shapeId="0" xr:uid="{00000000-0006-0000-0700-00000F000000}">
      <text>
        <r>
          <rPr>
            <sz val="8"/>
            <color theme="1"/>
            <rFont val="Calibri"/>
            <family val="2"/>
            <scheme val="minor"/>
          </rPr>
          <t>======
ID#AAAAZkGV95E
Ecochain    (2022-05-18 14:04:12)
Afgas paralleltrommel is aangepast door Ecochain.
Er wordt in de originele EBA vanuit gegaan dat alleen AC asfaltgranulaat bevat, waardoor er bij afgas paralleltrommel van 1 ton AG + %hoeveelheid AG in AC uit kon worden gegaan.
De formule is identiek gebleven, maar verwijst nu voor elk mengsel naar de gemiddelde % AG per type mengsel. Ook is in het totaal het asfaltgranulaat niet meegenomen, aangezien dit nu binnen de typen is opgenomen.
Bij een hoog gehalte asfaltgranulaat is er zoveel oververhitting nodig dat de afgaslucht van de paralleltrommel lager is dan van de witte trommel. Dit zou voor energieverlies zorgen, wat energetisch niet mogelijk is (de lucht stroomt van de paralleltrommel naar de witte trommel). Indien er energieverlies plaatsvindt, wordt de waarde op 0 gezet.
De originele formule strookt niet geheel met de literatuur, maar omdat onbekend is wat voor aanpassingen door BECO zijn gedaan is deze aangehouden.</t>
        </r>
      </text>
    </comment>
    <comment ref="B12" authorId="0" shapeId="0" xr:uid="{00000000-0006-0000-0700-00002B000000}">
      <text>
        <r>
          <rPr>
            <sz val="8"/>
            <color theme="1"/>
            <rFont val="Calibri"/>
            <family val="2"/>
            <scheme val="minor"/>
          </rPr>
          <t>======
ID#AAAAZkGV91E
Dirk-Jan Everts    (2022-05-18 14:04:12)
BECO
De benodigde energie voor bitumenverwarming is per soort gerelateerd aan de benodigde hoeveelheid bitumen ten opzichte van de gemiddelde benodigde hoeveelheid bitumen voor alle soorten. Kan electrisch of op gas gestookt zijn.</t>
        </r>
      </text>
    </comment>
    <comment ref="N22" authorId="0" shapeId="0" xr:uid="{00000000-0006-0000-0700-000027000000}">
      <text>
        <r>
          <rPr>
            <sz val="8"/>
            <color theme="1"/>
            <rFont val="Calibri"/>
            <family val="2"/>
            <scheme val="minor"/>
          </rPr>
          <t>======
ID#AAAAZkGV914
Dirk-Jan Everts    (2022-05-18 14:04:12)
BECO
Dit is een gewogen gemiddelde (op basis van productie). Totaalcijfers zijn rood gemarkeerd.</t>
        </r>
      </text>
    </comment>
    <comment ref="B25" authorId="0" shapeId="0" xr:uid="{00000000-0006-0000-0700-000016000000}">
      <text>
        <r>
          <rPr>
            <sz val="8"/>
            <color theme="1"/>
            <rFont val="Calibri"/>
            <family val="2"/>
            <scheme val="minor"/>
          </rPr>
          <t>======
ID#AAAAZkGV94Q
Maarten    (2022-05-18 14:04:12)
Productie per asfaltsoort, met hoeveelheid asfaltgranulaat apart.
De productiehoeveelheden geven zodanig weer hoevel ton per mengsel is geproduceerd EXCLUSIEF het gewicht asfaltgranulaat in die mengsels.</t>
        </r>
      </text>
    </comment>
    <comment ref="B31" authorId="0" shapeId="0" xr:uid="{00000000-0006-0000-0700-000005000000}">
      <text>
        <r>
          <rPr>
            <sz val="8"/>
            <color theme="1"/>
            <rFont val="Calibri"/>
            <family val="2"/>
            <scheme val="minor"/>
          </rPr>
          <t>======
ID#AAAAZkGV96E
Dirk-Jan Everts    (2022-05-18 14:04:12)
BECO
productsamenstelling uit BOUWSTENEN VOOR DE LCA VAN ASFALT IN
NEDERLAND Bijlagenrapport
. De hoeveelheid zand en steenslag wordt bepaald door de opgegeven verhouding tussen beiden en de vastgestelde hoeveelheden brekerzand/natuurlijk zand in de verschillende soorten.</t>
        </r>
      </text>
    </comment>
    <comment ref="AR34" authorId="0" shapeId="0" xr:uid="{00000000-0006-0000-0700-000017000000}">
      <text>
        <r>
          <rPr>
            <sz val="8"/>
            <color theme="1"/>
            <rFont val="Calibri"/>
            <family val="2"/>
            <scheme val="minor"/>
          </rPr>
          <t>======
ID#AAAAZkGV94M
Ecochain    (2022-05-18 14:04:12)
Gedeelte uit opwarmen mineralen, vocht, verbrandingslucht en straling dat geassocieerd is met oververhitting samengevoegd in een apart proces "oververhitting".</t>
        </r>
      </text>
    </comment>
    <comment ref="BC48" authorId="0" shapeId="0" xr:uid="{00000000-0006-0000-0700-00000A000000}">
      <text>
        <r>
          <rPr>
            <sz val="8"/>
            <color theme="1"/>
            <rFont val="Calibri"/>
            <family val="2"/>
            <scheme val="minor"/>
          </rPr>
          <t>======
ID#AAAAZkGV95g
Dirk-Jan Everts    (2022-05-18 14:04:12)
BECO
Dit is een gewogen gemiddelde (op basis van productie). Totaalcijfers zijn rood gemarkeerd.</t>
        </r>
      </text>
    </comment>
    <comment ref="B52" authorId="0" shapeId="0" xr:uid="{00000000-0006-0000-0700-00001C000000}">
      <text>
        <r>
          <rPr>
            <sz val="8"/>
            <color theme="1"/>
            <rFont val="Calibri"/>
            <family val="2"/>
            <scheme val="minor"/>
          </rPr>
          <t>======
ID#AAAAZkGV93Y
Ecochain    (2022-05-18 14:04:12)
Hier wordt de gemiddelde temperatuur van mineralenverwarming (witte trommel) berekend, waarbij rekening wordt gehouden met de gemiddelde hoeveelheid asfaltgranulaat (AG). Asfaltgranulaat heeft een lagere temperatuur, dus om de eindtemperatuur van het mengsel te bereiken, moeten de mineralen worden oververhit.
In kolom L-R wordt de energie benodigd voor oververhitten apart genomen, aangezien niet alle mengsels AG bevatten. De oververhitting kan zodoende in Ecochain worden toegekend aan mengsels met AG, waarbij rekening wordt gehouden met de temperatuur van de paralleltrommel.</t>
        </r>
      </text>
    </comment>
    <comment ref="B55" authorId="0" shapeId="0" xr:uid="{00000000-0006-0000-0700-000011000000}">
      <text>
        <r>
          <rPr>
            <sz val="8"/>
            <color theme="1"/>
            <rFont val="Calibri"/>
            <family val="2"/>
            <scheme val="minor"/>
          </rPr>
          <t>======
ID#AAAAZkGV940
Ecochain    (2022-05-18 14:04:12)
Temperatuursstijging mineralenverwarming ivm % AG in het mengsel, per mengseltype  (oververhitting, wordt er in kolom L-R uitgehaald. Moet eerst hier worden berekend, aangezien elk mengseltype anders is)</t>
        </r>
      </text>
    </comment>
    <comment ref="E56" authorId="0" shapeId="0" xr:uid="{00000000-0006-0000-0700-000019000000}">
      <text>
        <r>
          <rPr>
            <sz val="8"/>
            <color theme="1"/>
            <rFont val="Calibri"/>
            <family val="2"/>
            <scheme val="minor"/>
          </rPr>
          <t>======
ID#AAAAZkGV938
Ecochain    (2022-05-18 14:04:12)
Gemiddelde temperatuur asfaltgranulaat van alle mengseltypen, rekening houdend met de productiehoeveelheid per type (productiehoeveelheid inclusief AG)</t>
        </r>
      </text>
    </comment>
    <comment ref="B58" authorId="0" shapeId="0" xr:uid="{00000000-0006-0000-0700-000026000000}">
      <text>
        <r>
          <rPr>
            <sz val="8"/>
            <color theme="1"/>
            <rFont val="Calibri"/>
            <family val="2"/>
            <scheme val="minor"/>
          </rPr>
          <t>======
ID#AAAAZkGV92A
Ecochain    (2022-05-18 14:04:12)
Afgastemperatuur + temperatuursstijging ivm % AG in het mengsel. Temperatuurstijging per %AG gebaseerd op literatuur (tabblad DB_overig)</t>
        </r>
      </text>
    </comment>
    <comment ref="E58" authorId="0" shapeId="0" xr:uid="{00000000-0006-0000-0700-000009000000}">
      <text>
        <r>
          <rPr>
            <sz val="8"/>
            <color theme="1"/>
            <rFont val="Calibri"/>
            <family val="2"/>
            <scheme val="minor"/>
          </rPr>
          <t>======
ID#AAAAZkGV95k
Ecochain    (2022-05-18 14:04:12)
Rookgastemperatuur paralleltrommel is alleen bekend voor niet-LEA mengsels, dus de gemiddelde temperatuur AG vlak na paralleltrommel is overgenomen als rookgastemperatuur om rekening te houden met eventuele lagere temperaturen van AG in LEA</t>
        </r>
      </text>
    </comment>
    <comment ref="F58" authorId="0" shapeId="0" xr:uid="{00000000-0006-0000-0700-00001B000000}">
      <text>
        <r>
          <rPr>
            <sz val="8"/>
            <color theme="1"/>
            <rFont val="Calibri"/>
            <family val="2"/>
            <scheme val="minor"/>
          </rPr>
          <t>======
ID#AAAAZkGV93c
Maarten    (2022-05-18 14:04:12)
Rookgastemperatuur LEA is niet bekend, dus uitgegaan van worst-case: gemiddelde temperatuur asfaltgranulaat</t>
        </r>
      </text>
    </comment>
    <comment ref="N60" authorId="0" shapeId="0" xr:uid="{00000000-0006-0000-0700-000008000000}">
      <text>
        <r>
          <rPr>
            <sz val="8"/>
            <color theme="1"/>
            <rFont val="Calibri"/>
            <family val="2"/>
            <scheme val="minor"/>
          </rPr>
          <t>======
ID#AAAAZkGV95o
Dirk-Jan Everts    (2022-05-18 14:04:12)
BECO
De ingaande temperatuur is een jaargemiddelde dagtemperatuur. Deze wordt lager naarmate er meer nachtproductie plaatsvindt. Zie werkblad "DB_Overig" voor een omrekentabel.</t>
        </r>
      </text>
    </comment>
    <comment ref="B66" authorId="0" shapeId="0" xr:uid="{00000000-0006-0000-0700-00001F000000}">
      <text>
        <r>
          <rPr>
            <sz val="8"/>
            <color theme="1"/>
            <rFont val="Calibri"/>
            <family val="2"/>
            <scheme val="minor"/>
          </rPr>
          <t>======
ID#AAAAZkGV928
Dirk-Jan Everts    (2022-05-18 14:04:12)
BECO
VOL = Verbrandingslucht (stochiometrisch), Overmaat en Leklucht.</t>
        </r>
      </text>
    </comment>
    <comment ref="B67" authorId="0" shapeId="0" xr:uid="{00000000-0006-0000-0700-000025000000}">
      <text>
        <r>
          <rPr>
            <sz val="8"/>
            <color theme="1"/>
            <rFont val="Calibri"/>
            <family val="2"/>
            <scheme val="minor"/>
          </rPr>
          <t>======
ID#AAAAZkGV92E
Dirk-Jan Everts    (2022-05-18 14:04:12)
BECO
Exclusief het vocht dat bij verbranding vrij komt omdat dit al is verrekend in de onderste verbrandingswaarde.</t>
        </r>
      </text>
    </comment>
    <comment ref="D112" authorId="0" shapeId="0" xr:uid="{00000000-0006-0000-0700-000022000000}">
      <text>
        <r>
          <rPr>
            <sz val="8"/>
            <color theme="1"/>
            <rFont val="Calibri"/>
            <family val="2"/>
            <scheme val="minor"/>
          </rPr>
          <t>======
ID#AAAAZkGV92o
Dirk-Jan Everts    (2022-05-18 14:04:12)
BECO
Deze waarde is afhankelijk van het type installatie. Drummixers hebben een lagere waarde (2000 MJ / s&amp;s). De benodigde energie voor s&amp;s van de paralleltrommel is bij dit getal inbegrepen. Er is alleen rekening gehouden met extra aardgasverbruik. Niet gekoppeld aan electriciteitsverbruik.</t>
        </r>
      </text>
    </comment>
  </commentList>
  <extLst>
    <ext xmlns:r="http://schemas.openxmlformats.org/officeDocument/2006/relationships" uri="GoogleSheetsCustomDataVersion1">
      <go:sheetsCustomData xmlns:go="http://customooxmlschemas.google.com/" r:id="rId1" roundtripDataSignature="AMtx7mg5Yu9oIzBF3Kwbheg8u63wiPsa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2" authorId="0" shapeId="0" xr:uid="{00000000-0006-0000-0800-000022000000}">
      <text>
        <r>
          <rPr>
            <sz val="8"/>
            <color theme="1"/>
            <rFont val="Calibri"/>
            <family val="2"/>
            <scheme val="minor"/>
          </rPr>
          <t>======
ID#AAAAZkGV910
Ecochain    (2022-05-18 14:04:12)
Bij het verbruik is voor alle mengsels rekening gehouden met asfaltgranulaat (AG).
Hier wordt het vebruik van de mengsels berekend zonder AG, door uit te gaan van mengsels per geen AG (dus geen oververhitting mineralen, vocht en lucht en ook daardoor minder stralingsverliezen). Het verschil tussen deze en de originele berekening is de energie die nodig is voor oververhitting van mineralen (dit heeft effect op opwarmen verbrandingslucht, overmaat en leklucht, omdat mineralen en dus lucht meer verwarmt worden).
Hiernaast wordt het nieuwe verbruik van opwarmen mineralen en verbrandingslucht berekend, het verschil wordt onder oververhitting geschaard.</t>
        </r>
      </text>
    </comment>
    <comment ref="D3" authorId="0" shapeId="0" xr:uid="{00000000-0006-0000-0800-000018000000}">
      <text>
        <r>
          <rPr>
            <sz val="8"/>
            <color theme="1"/>
            <rFont val="Calibri"/>
            <family val="2"/>
            <scheme val="minor"/>
          </rPr>
          <t>======
ID#AAAAZkGV93A
Dirk-Jan Everts    (2022-05-18 14:04:12)
BECO
Asfalt concrete is de pure mineralen (zand + steenslag).</t>
        </r>
      </text>
    </comment>
    <comment ref="E3" authorId="0" shapeId="0" xr:uid="{00000000-0006-0000-0800-000004000000}">
      <text>
        <r>
          <rPr>
            <sz val="8"/>
            <color theme="1"/>
            <rFont val="Calibri"/>
            <family val="2"/>
            <scheme val="minor"/>
          </rPr>
          <t>======
ID#AAAAZkGV96A
Dirk-Jan Everts    (2022-05-18 14:04:12)
BECO
Asfaltgranulaat.</t>
        </r>
      </text>
    </comment>
    <comment ref="F3" authorId="0" shapeId="0" xr:uid="{00000000-0006-0000-0800-000006000000}">
      <text>
        <r>
          <rPr>
            <sz val="8"/>
            <color theme="1"/>
            <rFont val="Calibri"/>
            <family val="2"/>
            <scheme val="minor"/>
          </rPr>
          <t>======
ID#AAAAZkGV95U
Dirk-Jan Everts    (2022-05-18 14:04:12)
BECO
Laag Energie-Asfalt.</t>
        </r>
      </text>
    </comment>
    <comment ref="G3" authorId="0" shapeId="0" xr:uid="{00000000-0006-0000-0800-00001E000000}">
      <text>
        <r>
          <rPr>
            <sz val="8"/>
            <color theme="1"/>
            <rFont val="Calibri"/>
            <family val="2"/>
            <scheme val="minor"/>
          </rPr>
          <t>======
ID#AAAAZkGV92U
Dirk-Jan Everts    (2022-05-18 14:04:12)
BECO
Voorheen: SMA Steen Mastiek Asfalt.</t>
        </r>
      </text>
    </comment>
    <comment ref="H3" authorId="0" shapeId="0" xr:uid="{00000000-0006-0000-0800-000017000000}">
      <text>
        <r>
          <rPr>
            <sz val="8"/>
            <color theme="1"/>
            <rFont val="Calibri"/>
            <family val="2"/>
            <scheme val="minor"/>
          </rPr>
          <t>======
ID#AAAAZkGV93I
BECO Groep    (2022-05-18 14:04:12)
BECO 
Zeer open asfalt beton.</t>
        </r>
      </text>
    </comment>
    <comment ref="I3" authorId="0" shapeId="0" xr:uid="{00000000-0006-0000-0800-000029000000}">
      <text>
        <r>
          <rPr>
            <sz val="8"/>
            <color theme="1"/>
            <rFont val="Calibri"/>
            <family val="2"/>
            <scheme val="minor"/>
          </rPr>
          <t>======
ID#AAAAZkGV91A
BECO Groep    (2022-05-18 14:04:12)
BECO
Aangenomen dat onder 'overig' vooral surface mengsels worden geproduceerd. Daarom heeft deze soort dezelfde waarde als AC.</t>
        </r>
      </text>
    </comment>
    <comment ref="J3" authorId="0" shapeId="0" xr:uid="{00000000-0006-0000-0800-00000A000000}">
      <text>
        <r>
          <rPr>
            <sz val="8"/>
            <color theme="1"/>
            <rFont val="Calibri"/>
            <family val="2"/>
            <scheme val="minor"/>
          </rPr>
          <t>======
ID#AAAAZkGV94s
Dirk-Jan Everts    (2022-05-18 14:04:12)
BECO
Dit is een gewogen gemiddelde (op basis van productie). Totaalcijfers zijn rood gemarkeerd.</t>
        </r>
      </text>
    </comment>
    <comment ref="K3" authorId="0" shapeId="0" xr:uid="{00000000-0006-0000-0800-00001A000000}">
      <text>
        <r>
          <rPr>
            <sz val="8"/>
            <color theme="1"/>
            <rFont val="Calibri"/>
            <family val="2"/>
            <scheme val="minor"/>
          </rPr>
          <t>======
ID#AAAAZkGV92s
BECO    (2022-05-18 14:04:12)
De modelwaarde is gecorrigeerd voor het werkelijke verbruik.</t>
        </r>
      </text>
    </comment>
    <comment ref="V3" authorId="0" shapeId="0" xr:uid="{00000000-0006-0000-0800-00002B000000}">
      <text>
        <r>
          <rPr>
            <sz val="8"/>
            <color theme="1"/>
            <rFont val="Calibri"/>
            <family val="2"/>
            <scheme val="minor"/>
          </rPr>
          <t>======
ID#AAAAZkGV900
Dirk-Jan Everts    (2022-05-18 14:04:12)
BECO
Asfalt concrete is de pure mineralen (zand + steenslag).</t>
        </r>
      </text>
    </comment>
    <comment ref="W3" authorId="0" shapeId="0" xr:uid="{00000000-0006-0000-0800-000003000000}">
      <text>
        <r>
          <rPr>
            <sz val="8"/>
            <color theme="1"/>
            <rFont val="Calibri"/>
            <family val="2"/>
            <scheme val="minor"/>
          </rPr>
          <t>======
ID#AAAAZkGV96I
Dirk-Jan Everts    (2022-05-18 14:04:12)
BECO
Asfaltgranulaat.</t>
        </r>
      </text>
    </comment>
    <comment ref="X3" authorId="0" shapeId="0" xr:uid="{00000000-0006-0000-0800-000009000000}">
      <text>
        <r>
          <rPr>
            <sz val="8"/>
            <color theme="1"/>
            <rFont val="Calibri"/>
            <family val="2"/>
            <scheme val="minor"/>
          </rPr>
          <t>======
ID#AAAAZkGV944
Dirk-Jan Everts    (2022-05-18 14:04:12)
BECO
Laag Energie-Asfalt.</t>
        </r>
      </text>
    </comment>
    <comment ref="Y3" authorId="0" shapeId="0" xr:uid="{00000000-0006-0000-0800-00000E000000}">
      <text>
        <r>
          <rPr>
            <sz val="8"/>
            <color theme="1"/>
            <rFont val="Calibri"/>
            <family val="2"/>
            <scheme val="minor"/>
          </rPr>
          <t>======
ID#AAAAZkGV94E
Dirk-Jan Everts    (2022-05-18 14:04:12)
BECO
Voorheen: SMA Steen Mastiek Asfalt.</t>
        </r>
      </text>
    </comment>
    <comment ref="Z3" authorId="0" shapeId="0" xr:uid="{00000000-0006-0000-0800-000020000000}">
      <text>
        <r>
          <rPr>
            <sz val="8"/>
            <color theme="1"/>
            <rFont val="Calibri"/>
            <family val="2"/>
            <scheme val="minor"/>
          </rPr>
          <t>======
ID#AAAAZkGV92I
BECO Groep    (2022-05-18 14:04:12)
BECO 
Zeer open asfalt beton.</t>
        </r>
      </text>
    </comment>
    <comment ref="AA3" authorId="0" shapeId="0" xr:uid="{00000000-0006-0000-0800-000025000000}">
      <text>
        <r>
          <rPr>
            <sz val="8"/>
            <color theme="1"/>
            <rFont val="Calibri"/>
            <family val="2"/>
            <scheme val="minor"/>
          </rPr>
          <t>======
ID#AAAAZkGV91g
BECO Groep    (2022-05-18 14:04:12)
BECO
Aangenomen dat onder 'overig' vooral surface mengsels worden geproduceerd. Daarom heeft deze soort dezelfde waarde als AC.</t>
        </r>
      </text>
    </comment>
    <comment ref="AB3" authorId="0" shapeId="0" xr:uid="{00000000-0006-0000-0800-000012000000}">
      <text>
        <r>
          <rPr>
            <sz val="8"/>
            <color theme="1"/>
            <rFont val="Calibri"/>
            <family val="2"/>
            <scheme val="minor"/>
          </rPr>
          <t>======
ID#AAAAZkGV93s
Dirk-Jan Everts    (2022-05-18 14:04:12)
BECO
Dit is een gewogen gemiddelde (op basis van productie). Totaalcijfers zijn rood gemarkeerd.</t>
        </r>
      </text>
    </comment>
    <comment ref="AC3" authorId="0" shapeId="0" xr:uid="{00000000-0006-0000-0800-000001000000}">
      <text>
        <r>
          <rPr>
            <sz val="8"/>
            <color theme="1"/>
            <rFont val="Calibri"/>
            <family val="2"/>
            <scheme val="minor"/>
          </rPr>
          <t>======
ID#AAAAZkGV96U
BECO    (2022-05-18 14:04:12)
De modelwaarde is gecorrigeerd voor het werkelijke verbruik.</t>
        </r>
      </text>
    </comment>
    <comment ref="B7" authorId="0" shapeId="0" xr:uid="{00000000-0006-0000-0800-00001F000000}">
      <text>
        <r>
          <rPr>
            <sz val="8"/>
            <color theme="1"/>
            <rFont val="Calibri"/>
            <family val="2"/>
            <scheme val="minor"/>
          </rPr>
          <t>======
ID#AAAAZkGV92M
Maarten    (2022-05-18 14:04:12)
Berekend opv afgastemperatuur, aangezien vocht de trommel verlaat met de lucht</t>
        </r>
      </text>
    </comment>
    <comment ref="B9" authorId="0" shapeId="0" xr:uid="{00000000-0006-0000-0800-00001D000000}">
      <text>
        <r>
          <rPr>
            <sz val="8"/>
            <color theme="1"/>
            <rFont val="Calibri"/>
            <family val="2"/>
            <scheme val="minor"/>
          </rPr>
          <t>======
ID#AAAAZkGV92Y
Ecochain    (2022-05-18 14:04:12)
Berekend opv afgastemperatuur, aangezien lucht de trommel verlaat. Hierbij  Hierbij wordt uitgegaan van luchtbehoefte voor verbranding per m3 gas.
Ook is een factor toegevoegd waarbij het zuurstofgehalte van afgaslucht en buitenlucht tegen elkaar wordt afgezegd. De literatuur duidt erop dat met deze factor rekening gehouden wordt met leklucht en overmaat, al is de wijze waarop onduidelijk.
De formules in de literatuur komen niet geheel overeen met de formule hier. De reden hiervoor is niet bekend.</t>
        </r>
      </text>
    </comment>
    <comment ref="B10" authorId="0" shapeId="0" xr:uid="{00000000-0006-0000-0800-000007000000}">
      <text>
        <r>
          <rPr>
            <sz val="8"/>
            <color theme="1"/>
            <rFont val="Calibri"/>
            <family val="2"/>
            <scheme val="minor"/>
          </rPr>
          <t>======
ID#AAAAZkGV95Q
Ecochain    (2022-05-18 14:04:12)
Straling afkomstig van witte trommel (en paralleltrommel), waarbij al rekening wordt gehouden met de hoeveelheid PR (oververhitting mineralen, vocht en lucht in witte trommel)</t>
        </r>
      </text>
    </comment>
    <comment ref="B11" authorId="0" shapeId="0" xr:uid="{00000000-0006-0000-0800-000010000000}">
      <text>
        <r>
          <rPr>
            <sz val="8"/>
            <color theme="1"/>
            <rFont val="Calibri"/>
            <family val="2"/>
            <scheme val="minor"/>
          </rPr>
          <t>======
ID#AAAAZkGV934
Ecochain    (2022-05-18 14:04:12)
Afgas paralleltrommel is aangepast door Ecochain.
Er wordt in de originele EBA vanuit gegaan dat alleen AC asfaltgranulaat bevat, waardoor er bij afgas paralleltrommel van 1 ton AG + %hoeveelheid AG in AC uit kon worden gegaan.
De formule is identiek gebleven, maar verwijst nu voor elk mengsel naar de gemiddelde % AG per type mengsel. Ook is in het totaal het asfaltgranulaat niet meegenomen, aangezien dit nu binnen de typen is opgenomen.
Bij een hoog gehalte asfaltgranulaat is er zoveel oververhitting nodig dat de afgaslucht van de paralleltrommel lager is dan van de witte trommel. Dit zou voor energieverlies zorgen, wat energetisch niet mogelijk is (de lucht stroomt van de paralleltrommel naar de witte trommel). Indien er energieverlies plaatsvindt, wordt de waarde op 0 gezet.
De originele formule strookt niet geheel met de literatuur, maar omdat onbekend is wat voor aanpassingen door BECO zijn gedaan is deze aangehouden.</t>
        </r>
      </text>
    </comment>
    <comment ref="B12" authorId="0" shapeId="0" xr:uid="{00000000-0006-0000-0800-000002000000}">
      <text>
        <r>
          <rPr>
            <sz val="8"/>
            <color theme="1"/>
            <rFont val="Calibri"/>
            <family val="2"/>
            <scheme val="minor"/>
          </rPr>
          <t>======
ID#AAAAZkGV96M
Dirk-Jan Everts    (2022-05-18 14:04:12)
BECO
De benodigde energie voor bitumenverwarming is per soort gerelateerd aan de benodigde hoeveelheid bitumen ten opzichte van de gemiddelde benodigde hoeveelheid bitumen voor alle soorten. Kan electrisch of op gas gestookt zijn.</t>
        </r>
      </text>
    </comment>
    <comment ref="J22" authorId="0" shapeId="0" xr:uid="{00000000-0006-0000-0800-000005000000}">
      <text>
        <r>
          <rPr>
            <sz val="8"/>
            <color theme="1"/>
            <rFont val="Calibri"/>
            <family val="2"/>
            <scheme val="minor"/>
          </rPr>
          <t>======
ID#AAAAZkGV95s
Dirk-Jan Everts    (2022-05-18 14:04:12)
BECO
Dit is een gewogen gemiddelde (op basis van productie). Totaalcijfers zijn rood gemarkeerd.</t>
        </r>
      </text>
    </comment>
    <comment ref="B25" authorId="0" shapeId="0" xr:uid="{00000000-0006-0000-0800-000015000000}">
      <text>
        <r>
          <rPr>
            <sz val="8"/>
            <color theme="1"/>
            <rFont val="Calibri"/>
            <family val="2"/>
            <scheme val="minor"/>
          </rPr>
          <t>======
ID#AAAAZkGV93g
Maarten    (2022-05-18 14:04:12)
Productie per asfaltsoort, met hoeveelheid asfaltgranulaat apart.
De productiehoeveelheden geven zodanig weer hoevel ton per mengsel is geproduceerd EXCLUSIEF het gewicht asfaltgranulaat in die mengsels.</t>
        </r>
      </text>
    </comment>
    <comment ref="B31" authorId="0" shapeId="0" xr:uid="{00000000-0006-0000-0800-00002A000000}">
      <text>
        <r>
          <rPr>
            <sz val="8"/>
            <color theme="1"/>
            <rFont val="Calibri"/>
            <family val="2"/>
            <scheme val="minor"/>
          </rPr>
          <t>======
ID#AAAAZkGV904
Dirk-Jan Everts    (2022-05-18 14:04:12)
BECO
productsamenstelling uit BOUWSTENEN VOOR DE LCA VAN ASFALT IN
NEDERLAND Bijlagenrapport
. De hoeveelheid zand en steenslag wordt bepaald door de opgegeven verhouding tussen beiden en de vastgestelde hoeveelheden brekerzand/natuurlijk zand in de verschillende soorten.</t>
        </r>
      </text>
    </comment>
    <comment ref="AG34" authorId="0" shapeId="0" xr:uid="{00000000-0006-0000-0800-000008000000}">
      <text>
        <r>
          <rPr>
            <sz val="8"/>
            <color theme="1"/>
            <rFont val="Calibri"/>
            <family val="2"/>
            <scheme val="minor"/>
          </rPr>
          <t>======
ID#AAAAZkGV948
Ecochain    (2022-05-18 14:04:12)
Gedeelte uit opwarmen mineralen, vocht, verbrandingslucht en straling dat geassocieerd is met oververhitting samengevoegd in een apart proces "oververhitting".</t>
        </r>
      </text>
    </comment>
    <comment ref="AH48" authorId="0" shapeId="0" xr:uid="{00000000-0006-0000-0800-000024000000}">
      <text>
        <r>
          <rPr>
            <sz val="8"/>
            <color theme="1"/>
            <rFont val="Calibri"/>
            <family val="2"/>
            <scheme val="minor"/>
          </rPr>
          <t>======
ID#AAAAZkGV91k
Dirk-Jan Everts    (2022-05-18 14:04:12)
BECO
Asfalt concrete is de pure mineralen (zand + steenslag).</t>
        </r>
      </text>
    </comment>
    <comment ref="AI48" authorId="0" shapeId="0" xr:uid="{00000000-0006-0000-0800-00000F000000}">
      <text>
        <r>
          <rPr>
            <sz val="8"/>
            <color theme="1"/>
            <rFont val="Calibri"/>
            <family val="2"/>
            <scheme val="minor"/>
          </rPr>
          <t>======
ID#AAAAZkGV94A
Dirk-Jan Everts    (2022-05-18 14:04:12)
BECO
Asfaltgranulaat.</t>
        </r>
      </text>
    </comment>
    <comment ref="AJ48" authorId="0" shapeId="0" xr:uid="{00000000-0006-0000-0800-00000C000000}">
      <text>
        <r>
          <rPr>
            <sz val="8"/>
            <color theme="1"/>
            <rFont val="Calibri"/>
            <family val="2"/>
            <scheme val="minor"/>
          </rPr>
          <t>======
ID#AAAAZkGV94g
Dirk-Jan Everts    (2022-05-18 14:04:12)
BECO
Laag Energie-Asfalt.</t>
        </r>
      </text>
    </comment>
    <comment ref="AK48" authorId="0" shapeId="0" xr:uid="{00000000-0006-0000-0800-000014000000}">
      <text>
        <r>
          <rPr>
            <sz val="8"/>
            <color theme="1"/>
            <rFont val="Calibri"/>
            <family val="2"/>
            <scheme val="minor"/>
          </rPr>
          <t>======
ID#AAAAZkGV93o
Dirk-Jan Everts    (2022-05-18 14:04:12)
BECO
Voorheen: SMA Steen Mastiek Asfalt.</t>
        </r>
      </text>
    </comment>
    <comment ref="AL48" authorId="0" shapeId="0" xr:uid="{00000000-0006-0000-0800-000013000000}">
      <text>
        <r>
          <rPr>
            <sz val="8"/>
            <color theme="1"/>
            <rFont val="Calibri"/>
            <family val="2"/>
            <scheme val="minor"/>
          </rPr>
          <t>======
ID#AAAAZkGV93w
BECO Groep    (2022-05-18 14:04:12)
BECO 
Zeer open asfalt beton.</t>
        </r>
      </text>
    </comment>
    <comment ref="AM48" authorId="0" shapeId="0" xr:uid="{00000000-0006-0000-0800-000016000000}">
      <text>
        <r>
          <rPr>
            <sz val="8"/>
            <color theme="1"/>
            <rFont val="Calibri"/>
            <family val="2"/>
            <scheme val="minor"/>
          </rPr>
          <t>======
ID#AAAAZkGV93M
BECO Groep    (2022-05-18 14:04:12)
BECO
Aangenomen dat onder 'overig' vooral surface mengsels worden geproduceerd. Daarom heeft deze soort dezelfde waarde als AC.</t>
        </r>
      </text>
    </comment>
    <comment ref="AN48" authorId="0" shapeId="0" xr:uid="{00000000-0006-0000-0800-000028000000}">
      <text>
        <r>
          <rPr>
            <sz val="8"/>
            <color theme="1"/>
            <rFont val="Calibri"/>
            <family val="2"/>
            <scheme val="minor"/>
          </rPr>
          <t>======
ID#AAAAZkGV91I
Dirk-Jan Everts    (2022-05-18 14:04:12)
BECO
Dit is een gewogen gemiddelde (op basis van productie). Totaalcijfers zijn rood gemarkeerd.</t>
        </r>
      </text>
    </comment>
    <comment ref="B52" authorId="0" shapeId="0" xr:uid="{00000000-0006-0000-0800-000021000000}">
      <text>
        <r>
          <rPr>
            <sz val="8"/>
            <color theme="1"/>
            <rFont val="Calibri"/>
            <family val="2"/>
            <scheme val="minor"/>
          </rPr>
          <t>======
ID#AAAAZkGV918
Ecochain    (2022-05-18 14:04:12)
Hier wordt de gemiddelde temperatuur van mineralenverwarming (witte trommel) berekend, waarbij rekening wordt gehouden met de gemiddelde hoeveelheid asfaltgranulaat (AG). Asfaltgranulaat heeft een lagere temperatuur, dus om de eindtemperatuur van het mengsel te bereiken, moeten de mineralen worden oververhit.
In kolom L-R wordt de energie benodigd voor oververhitten apart genomen, aangezien niet alle mengsels AG bevatten. De oververhitting kan zodoende in Ecochain worden toegekend aan mengsels met AG, waarbij rekening wordt gehouden met de temperatuur van de paralleltrommel.</t>
        </r>
      </text>
    </comment>
    <comment ref="B55" authorId="0" shapeId="0" xr:uid="{00000000-0006-0000-0800-00001B000000}">
      <text>
        <r>
          <rPr>
            <sz val="8"/>
            <color theme="1"/>
            <rFont val="Calibri"/>
            <family val="2"/>
            <scheme val="minor"/>
          </rPr>
          <t>======
ID#AAAAZkGV92g
Ecochain    (2022-05-18 14:04:12)
Temperatuursstijging mineralenverwarming ivm % AG in het mengsel, per mengseltype  (oververhitting, wordt er in kolom L-R uitgehaald. Moet eerst hier worden berekend, aangezien elk mengseltype anders is)</t>
        </r>
      </text>
    </comment>
    <comment ref="E56" authorId="0" shapeId="0" xr:uid="{00000000-0006-0000-0800-000026000000}">
      <text>
        <r>
          <rPr>
            <sz val="8"/>
            <color theme="1"/>
            <rFont val="Calibri"/>
            <family val="2"/>
            <scheme val="minor"/>
          </rPr>
          <t>======
ID#AAAAZkGV91U
Ecochain    (2022-05-18 14:04:12)
Gemiddelde temperatuur asfaltgranulaat van alle mengseltypen, rekening houdend met de productiehoeveelheid per type (productiehoeveelheid inclusief AG)</t>
        </r>
      </text>
    </comment>
    <comment ref="B58" authorId="0" shapeId="0" xr:uid="{00000000-0006-0000-0800-000019000000}">
      <text>
        <r>
          <rPr>
            <sz val="8"/>
            <color theme="1"/>
            <rFont val="Calibri"/>
            <family val="2"/>
            <scheme val="minor"/>
          </rPr>
          <t>======
ID#AAAAZkGV92w
Ecochain    (2022-05-18 14:04:12)
Afgastemperatuur + temperatuursstijging ivm % AG in het mengsel. Temperatuurstijging per %AG gebaseerd op literatuur (tabblad DB_overig)</t>
        </r>
      </text>
    </comment>
    <comment ref="E58" authorId="0" shapeId="0" xr:uid="{00000000-0006-0000-0800-00001C000000}">
      <text>
        <r>
          <rPr>
            <sz val="8"/>
            <color theme="1"/>
            <rFont val="Calibri"/>
            <family val="2"/>
            <scheme val="minor"/>
          </rPr>
          <t>======
ID#AAAAZkGV92c
Ecochain    (2022-05-18 14:04:12)
Rookgastemperatuur paralleltrommel is alleen bekend voor niet-LEA mengsels, dus de gemiddelde temperatuur AG vlak na paralleltrommel is overgenomen als rookgastemperatuur om rekening te houden met eventuele lagere temperaturen van AG in LEA</t>
        </r>
      </text>
    </comment>
    <comment ref="F58" authorId="0" shapeId="0" xr:uid="{00000000-0006-0000-0800-00000B000000}">
      <text>
        <r>
          <rPr>
            <sz val="8"/>
            <color theme="1"/>
            <rFont val="Calibri"/>
            <family val="2"/>
            <scheme val="minor"/>
          </rPr>
          <t>======
ID#AAAAZkGV94o
Maarten    (2022-05-18 14:04:12)
Rookgastemperatuur LEA is niet bekend, dus uitgegaan van worst-case: gemiddelde temperatuur asfaltgranulaat</t>
        </r>
      </text>
    </comment>
    <comment ref="J60" authorId="0" shapeId="0" xr:uid="{00000000-0006-0000-0800-000023000000}">
      <text>
        <r>
          <rPr>
            <sz val="8"/>
            <color theme="1"/>
            <rFont val="Calibri"/>
            <family val="2"/>
            <scheme val="minor"/>
          </rPr>
          <t>======
ID#AAAAZkGV91o
Dirk-Jan Everts    (2022-05-18 14:04:12)
BECO
De ingaande temperatuur is een jaargemiddelde dagtemperatuur. Deze wordt lager naarmate er meer nachtproductie plaatsvindt. Zie werkblad "DB_Overig" voor een omrekentabel.</t>
        </r>
      </text>
    </comment>
    <comment ref="B66" authorId="0" shapeId="0" xr:uid="{00000000-0006-0000-0800-000011000000}">
      <text>
        <r>
          <rPr>
            <sz val="8"/>
            <color theme="1"/>
            <rFont val="Calibri"/>
            <family val="2"/>
            <scheme val="minor"/>
          </rPr>
          <t>======
ID#AAAAZkGV930
Dirk-Jan Everts    (2022-05-18 14:04:12)
BECO
VOL = Verbrandingslucht (stochiometrisch), Overmaat en Leklucht.</t>
        </r>
      </text>
    </comment>
    <comment ref="B67" authorId="0" shapeId="0" xr:uid="{00000000-0006-0000-0800-000027000000}">
      <text>
        <r>
          <rPr>
            <sz val="8"/>
            <color theme="1"/>
            <rFont val="Calibri"/>
            <family val="2"/>
            <scheme val="minor"/>
          </rPr>
          <t>======
ID#AAAAZkGV91M
Dirk-Jan Everts    (2022-05-18 14:04:12)
BECO
Exclusief het vocht dat bij verbranding vrij komt omdat dit al is verrekend in de onderste verbrandingswaarde.</t>
        </r>
      </text>
    </comment>
    <comment ref="D112" authorId="0" shapeId="0" xr:uid="{00000000-0006-0000-0800-00000D000000}">
      <text>
        <r>
          <rPr>
            <sz val="8"/>
            <color theme="1"/>
            <rFont val="Calibri"/>
            <family val="2"/>
            <scheme val="minor"/>
          </rPr>
          <t>======
ID#AAAAZkGV94Y
Dirk-Jan Everts    (2022-05-18 14:04:12)
BECO
Deze waarde is afhankelijk van het type installatie. Drummixers hebben een lagere waarde (2000 MJ / s&amp;s). De benodigde energie voor s&amp;s van de paralleltrommel is bij dit getal inbegrepen. Er is alleen rekening gehouden met extra aardgasverbruik. Niet gekoppeld aan electriciteitsverbruik.</t>
        </r>
      </text>
    </comment>
  </commentList>
  <extLst>
    <ext xmlns:r="http://schemas.openxmlformats.org/officeDocument/2006/relationships" uri="GoogleSheetsCustomDataVersion1">
      <go:sheetsCustomData xmlns:go="http://customooxmlschemas.google.com/" r:id="rId1" roundtripDataSignature="AMtx7mj6Bieqfq8aNsmayp8QrsT2F5iO0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F1ED448-050A-411D-9EDA-8020747FC958}">
      <text>
        <r>
          <rPr>
            <sz val="8"/>
            <color theme="1"/>
            <rFont val="Calibri"/>
            <family val="2"/>
            <scheme val="minor"/>
          </rPr>
          <t>======
ID#AAAAZkGV92k
Dirk-Jan Everts    (2022-05-18 14:04:12)
BECO
Asfalt concrete is de pure mineralen (zand + steenslag).</t>
        </r>
      </text>
    </comment>
    <comment ref="E3" authorId="0" shapeId="0" xr:uid="{06A48D20-7BD8-4259-A64D-FD4393DB0242}">
      <text>
        <r>
          <rPr>
            <sz val="8"/>
            <color theme="1"/>
            <rFont val="Calibri"/>
            <family val="2"/>
            <scheme val="minor"/>
          </rPr>
          <t>======
ID#AAAAZkGV94I
Dirk-Jan Everts    (2022-05-18 14:04:12)
BECO
Asfaltgranulaat.</t>
        </r>
      </text>
    </comment>
    <comment ref="F3" authorId="0" shapeId="0" xr:uid="{C3BB64FA-A6DD-485B-AE52-622A3831D086}">
      <text>
        <r>
          <rPr>
            <sz val="8"/>
            <color theme="1"/>
            <rFont val="Calibri"/>
            <family val="2"/>
            <scheme val="minor"/>
          </rPr>
          <t>======
ID#AAAAZkGV92Q
Dirk-Jan Everts    (2022-05-18 14:04:12)
BECO
Laag Energie-Asfalt.</t>
        </r>
      </text>
    </comment>
    <comment ref="G3" authorId="0" shapeId="0" xr:uid="{8DAB8F33-FAA7-4CE2-8FBF-DFAF97DA9CA0}">
      <text>
        <r>
          <rPr>
            <sz val="8"/>
            <color theme="1"/>
            <rFont val="Calibri"/>
            <family val="2"/>
            <scheme val="minor"/>
          </rPr>
          <t>======
ID#AAAAZkGV96Y
Dirk-Jan Everts    (2022-05-18 14:04:12)
BECO
Voorheen: SMA Steen Mastiek Asfalt.</t>
        </r>
      </text>
    </comment>
    <comment ref="H3" authorId="0" shapeId="0" xr:uid="{4EAF229E-0C56-4A15-B37B-DC32DB767B59}">
      <text>
        <r>
          <rPr>
            <sz val="8"/>
            <color theme="1"/>
            <rFont val="Calibri"/>
            <family val="2"/>
            <scheme val="minor"/>
          </rPr>
          <t>======
ID#AAAAZkGV93Q
BECO Groep    (2022-05-18 14:04:12)
BECO 
Zeer open asfalt beton.</t>
        </r>
      </text>
    </comment>
    <comment ref="I3" authorId="0" shapeId="0" xr:uid="{C4041499-809C-45C8-887F-247BFAB89065}">
      <text>
        <r>
          <rPr>
            <sz val="8"/>
            <color theme="1"/>
            <rFont val="Calibri"/>
            <family val="2"/>
            <scheme val="minor"/>
          </rPr>
          <t>======
ID#AAAAZkGV94k
BECO Groep    (2022-05-18 14:04:12)
BECO
Aangenomen dat onder 'overig' vooral surface mengsels worden geproduceerd. Daarom heeft deze soort dezelfde waarde als AC.</t>
        </r>
      </text>
    </comment>
    <comment ref="B7" authorId="0" shapeId="0" xr:uid="{61740BF4-DE7B-4970-B2D0-B8B8E26C6858}">
      <text>
        <r>
          <rPr>
            <sz val="8"/>
            <color theme="1"/>
            <rFont val="Calibri"/>
            <family val="2"/>
            <scheme val="minor"/>
          </rPr>
          <t>======
ID#AAAAZkGV96Q
Maarten    (2022-05-18 14:04:12)
Berekend opv afgastemperatuur, aangezien vocht de trommel verlaat met de lucht</t>
        </r>
      </text>
    </comment>
    <comment ref="B9" authorId="0" shapeId="0" xr:uid="{510B7EAB-44BB-49ED-9256-ECC78F5489D0}">
      <text>
        <r>
          <rPr>
            <sz val="8"/>
            <color theme="1"/>
            <rFont val="Calibri"/>
            <family val="2"/>
            <scheme val="minor"/>
          </rPr>
          <t>======
ID#AAAAZkGV94c
Ecochain    (2022-05-18 14:04:12)
Berekend opv afgastemperatuur, aangezien lucht de trommel verlaat. Hierbij  Hierbij wordt uitgegaan van luchtbehoefte voor verbranding per m3 gas.
Ook is een factor toegevoegd waarbij het zuurstofgehalte van afgaslucht en buitenlucht tegen elkaar wordt afgezegd. De literatuur duidt erop dat met deze factor rekening gehouden wordt met leklucht en overmaat, al is de wijze waarop onduidelijk.
De formules in de literatuur komen niet geheel overeen met de formule hier. De reden hiervoor is niet bekend.</t>
        </r>
      </text>
    </comment>
    <comment ref="B10" authorId="0" shapeId="0" xr:uid="{E4DAC69D-8E5C-4CE3-A0AA-E298ACB7A6C9}">
      <text>
        <r>
          <rPr>
            <sz val="8"/>
            <color theme="1"/>
            <rFont val="Calibri"/>
            <family val="2"/>
            <scheme val="minor"/>
          </rPr>
          <t>======
ID#AAAAZkGV924
Ecochain    (2022-05-18 14:04:12)
Straling afkomstig van witte trommel (en paralleltrommel), waarbij al rekening wordt gehouden met de hoeveelheid PR (oververhitting mineralen, vocht en lucht in witte trommel)</t>
        </r>
      </text>
    </comment>
    <comment ref="B11" authorId="0" shapeId="0" xr:uid="{81FFB7F3-159D-49D5-A107-D320709B6950}">
      <text>
        <r>
          <rPr>
            <sz val="8"/>
            <color theme="1"/>
            <rFont val="Calibri"/>
            <family val="2"/>
            <scheme val="minor"/>
          </rPr>
          <t>======
ID#AAAAZkGV95E
Ecochain    (2022-05-18 14:04:12)
Afgas paralleltrommel is aangepast door Ecochain.
Er wordt in de originele EBA vanuit gegaan dat alleen AC asfaltgranulaat bevat, waardoor er bij afgas paralleltrommel van 1 ton AG + %hoeveelheid AG in AC uit kon worden gegaan.
De formule is identiek gebleven, maar verwijst nu voor elk mengsel naar de gemiddelde % AG per type mengsel. Ook is in het totaal het asfaltgranulaat niet meegenomen, aangezien dit nu binnen de typen is opgenomen.
Bij een hoog gehalte asfaltgranulaat is er zoveel oververhitting nodig dat de afgaslucht van de paralleltrommel lager is dan van de witte trommel. Dit zou voor energieverlies zorgen, wat energetisch niet mogelijk is (de lucht stroomt van de paralleltrommel naar de witte trommel). Indien er energieverlies plaatsvindt, wordt de waarde op 0 gezet.
De originele formule strookt niet geheel met de literatuur, maar omdat onbekend is wat voor aanpassingen door BECO zijn gedaan is deze aangehouden.</t>
        </r>
      </text>
    </comment>
    <comment ref="B12" authorId="0" shapeId="0" xr:uid="{84F9A05E-36EC-4892-90E4-8B5054E97F77}">
      <text>
        <r>
          <rPr>
            <sz val="8"/>
            <color theme="1"/>
            <rFont val="Calibri"/>
            <family val="2"/>
            <scheme val="minor"/>
          </rPr>
          <t>======
ID#AAAAZkGV91E
Dirk-Jan Everts    (2022-05-18 14:04:12)
BECO
De benodigde energie voor bitumenverwarming is per soort gerelateerd aan de benodigde hoeveelheid bitumen ten opzichte van de gemiddelde benodigde hoeveelheid bitumen voor alle soorten. Kan electrisch of op gas gestookt zijn.</t>
        </r>
      </text>
    </comment>
    <comment ref="N22" authorId="0" shapeId="0" xr:uid="{ECAEA568-8B58-4001-9690-6ADCE63FF9A3}">
      <text>
        <r>
          <rPr>
            <sz val="8"/>
            <color theme="1"/>
            <rFont val="Calibri"/>
            <family val="2"/>
            <scheme val="minor"/>
          </rPr>
          <t>======
ID#AAAAZkGV914
Dirk-Jan Everts    (2022-05-18 14:04:12)
BECO
Dit is een gewogen gemiddelde (op basis van productie). Totaalcijfers zijn rood gemarkeerd.</t>
        </r>
      </text>
    </comment>
    <comment ref="B25" authorId="0" shapeId="0" xr:uid="{F6957DEE-239C-4D23-9661-0406092FD44C}">
      <text>
        <r>
          <rPr>
            <sz val="8"/>
            <color theme="1"/>
            <rFont val="Calibri"/>
            <family val="2"/>
            <scheme val="minor"/>
          </rPr>
          <t>======
ID#AAAAZkGV94Q
Maarten    (2022-05-18 14:04:12)
Productie per asfaltsoort, met hoeveelheid asfaltgranulaat apart.
De productiehoeveelheden geven zodanig weer hoevel ton per mengsel is geproduceerd EXCLUSIEF het gewicht asfaltgranulaat in die mengsels.</t>
        </r>
      </text>
    </comment>
    <comment ref="B31" authorId="0" shapeId="0" xr:uid="{CB06D514-A837-4625-A48C-6926D878BF29}">
      <text>
        <r>
          <rPr>
            <sz val="8"/>
            <color theme="1"/>
            <rFont val="Calibri"/>
            <family val="2"/>
            <scheme val="minor"/>
          </rPr>
          <t>======
ID#AAAAZkGV96E
Dirk-Jan Everts    (2022-05-18 14:04:12)
BECO
productsamenstelling uit BOUWSTENEN VOOR DE LCA VAN ASFALT IN
NEDERLAND Bijlagenrapport
. De hoeveelheid zand en steenslag wordt bepaald door de opgegeven verhouding tussen beiden en de vastgestelde hoeveelheden brekerzand/natuurlijk zand in de verschillende soorten.</t>
        </r>
      </text>
    </comment>
    <comment ref="B52" authorId="0" shapeId="0" xr:uid="{DF118E99-9497-401B-A96D-8843218010C3}">
      <text>
        <r>
          <rPr>
            <sz val="8"/>
            <color theme="1"/>
            <rFont val="Calibri"/>
            <family val="2"/>
            <scheme val="minor"/>
          </rPr>
          <t>======
ID#AAAAZkGV93Y
Ecochain    (2022-05-18 14:04:12)
Hier wordt de gemiddelde temperatuur van mineralenverwarming (witte trommel) berekend, waarbij rekening wordt gehouden met de gemiddelde hoeveelheid asfaltgranulaat (AG). Asfaltgranulaat heeft een lagere temperatuur, dus om de eindtemperatuur van het mengsel te bereiken, moeten de mineralen worden oververhit.
In kolom L-R wordt de energie benodigd voor oververhitten apart genomen, aangezien niet alle mengsels AG bevatten. De oververhitting kan zodoende in Ecochain worden toegekend aan mengsels met AG, waarbij rekening wordt gehouden met de temperatuur van de paralleltrommel.</t>
        </r>
      </text>
    </comment>
    <comment ref="B55" authorId="0" shapeId="0" xr:uid="{4B571CA3-8007-4F9C-86F2-E809E5C4FB61}">
      <text>
        <r>
          <rPr>
            <sz val="8"/>
            <color theme="1"/>
            <rFont val="Calibri"/>
            <family val="2"/>
            <scheme val="minor"/>
          </rPr>
          <t>======
ID#AAAAZkGV940
Ecochain    (2022-05-18 14:04:12)
Temperatuursstijging mineralenverwarming ivm % AG in het mengsel, per mengseltype  (oververhitting, wordt er in kolom L-R uitgehaald. Moet eerst hier worden berekend, aangezien elk mengseltype anders is)</t>
        </r>
      </text>
    </comment>
    <comment ref="E56" authorId="0" shapeId="0" xr:uid="{5119D1BC-B416-4963-B6B9-5B96585C180B}">
      <text>
        <r>
          <rPr>
            <sz val="8"/>
            <color theme="1"/>
            <rFont val="Calibri"/>
            <family val="2"/>
            <scheme val="minor"/>
          </rPr>
          <t>======
ID#AAAAZkGV938
Ecochain    (2022-05-18 14:04:12)
Gemiddelde temperatuur asfaltgranulaat van alle mengseltypen, rekening houdend met de productiehoeveelheid per type (productiehoeveelheid inclusief AG)</t>
        </r>
      </text>
    </comment>
    <comment ref="B58" authorId="0" shapeId="0" xr:uid="{DA95C5FA-CFA6-4B77-8F4A-4BCE0F338F34}">
      <text>
        <r>
          <rPr>
            <sz val="8"/>
            <color theme="1"/>
            <rFont val="Calibri"/>
            <family val="2"/>
            <scheme val="minor"/>
          </rPr>
          <t>======
ID#AAAAZkGV92A
Ecochain    (2022-05-18 14:04:12)
Afgastemperatuur + temperatuursstijging ivm % AG in het mengsel. Temperatuurstijging per %AG gebaseerd op literatuur (tabblad DB_overig)</t>
        </r>
      </text>
    </comment>
    <comment ref="E58" authorId="0" shapeId="0" xr:uid="{29C4A364-53DF-4624-9DAF-2F59E25B71A3}">
      <text>
        <r>
          <rPr>
            <sz val="8"/>
            <color theme="1"/>
            <rFont val="Calibri"/>
            <family val="2"/>
            <scheme val="minor"/>
          </rPr>
          <t>======
ID#AAAAZkGV95k
Ecochain    (2022-05-18 14:04:12)
Rookgastemperatuur paralleltrommel is alleen bekend voor niet-LEA mengsels, dus de gemiddelde temperatuur AG vlak na paralleltrommel is overgenomen als rookgastemperatuur om rekening te houden met eventuele lagere temperaturen van AG in LEA</t>
        </r>
      </text>
    </comment>
    <comment ref="F58" authorId="0" shapeId="0" xr:uid="{55DE1AB1-273A-460E-ABE0-A1DA0644518B}">
      <text>
        <r>
          <rPr>
            <sz val="8"/>
            <color theme="1"/>
            <rFont val="Calibri"/>
            <family val="2"/>
            <scheme val="minor"/>
          </rPr>
          <t>======
ID#AAAAZkGV93c
Maarten    (2022-05-18 14:04:12)
Rookgastemperatuur LEA is niet bekend, dus uitgegaan van worst-case: gemiddelde temperatuur asfaltgranulaat</t>
        </r>
      </text>
    </comment>
    <comment ref="N60" authorId="0" shapeId="0" xr:uid="{9336738C-EE35-4974-8BC8-0A0BE2970693}">
      <text>
        <r>
          <rPr>
            <sz val="8"/>
            <color theme="1"/>
            <rFont val="Calibri"/>
            <family val="2"/>
            <scheme val="minor"/>
          </rPr>
          <t>======
ID#AAAAZkGV95o
Dirk-Jan Everts    (2022-05-18 14:04:12)
BECO
De ingaande temperatuur is een jaargemiddelde dagtemperatuur. Deze wordt lager naarmate er meer nachtproductie plaatsvindt. Zie werkblad "DB_Overig" voor een omrekentabel.</t>
        </r>
      </text>
    </comment>
    <comment ref="B66" authorId="0" shapeId="0" xr:uid="{BD93DCFF-3419-4176-A1E8-3F01DDA87652}">
      <text>
        <r>
          <rPr>
            <sz val="8"/>
            <color theme="1"/>
            <rFont val="Calibri"/>
            <family val="2"/>
            <scheme val="minor"/>
          </rPr>
          <t>======
ID#AAAAZkGV928
Dirk-Jan Everts    (2022-05-18 14:04:12)
BECO
VOL = Verbrandingslucht (stochiometrisch), Overmaat en Leklucht.</t>
        </r>
      </text>
    </comment>
    <comment ref="B67" authorId="0" shapeId="0" xr:uid="{32028AEA-1ED4-447A-BA44-640389E38EB3}">
      <text>
        <r>
          <rPr>
            <sz val="8"/>
            <color theme="1"/>
            <rFont val="Calibri"/>
            <family val="2"/>
            <scheme val="minor"/>
          </rPr>
          <t>======
ID#AAAAZkGV92E
Dirk-Jan Everts    (2022-05-18 14:04:12)
BECO
Exclusief het vocht dat bij verbranding vrij komt omdat dit al is verrekend in de onderste verbrandingswaarde.</t>
        </r>
      </text>
    </comment>
    <comment ref="D112" authorId="0" shapeId="0" xr:uid="{DCF655F1-0657-4E96-856F-973202DD0CBF}">
      <text>
        <r>
          <rPr>
            <sz val="8"/>
            <color theme="1"/>
            <rFont val="Calibri"/>
            <family val="2"/>
            <scheme val="minor"/>
          </rPr>
          <t>======
ID#AAAAZkGV92o
Dirk-Jan Everts    (2022-05-18 14:04:12)
BECO
Deze waarde is afhankelijk van het type installatie. Drummixers hebben een lagere waarde (2000 MJ / s&amp;s). De benodigde energie voor s&amp;s van de paralleltrommel is bij dit getal inbegrepen. Er is alleen rekening gehouden met extra aardgasverbruik. Niet gekoppeld aan electriciteitsverbruik.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5" authorId="0" shapeId="0" xr:uid="{00000000-0006-0000-0900-000001000000}">
      <text>
        <r>
          <rPr>
            <sz val="8"/>
            <color theme="1"/>
            <rFont val="Calibri"/>
            <family val="2"/>
            <scheme val="minor"/>
          </rPr>
          <t>======
ID#AAAAZkGV95w
Dirk-Jan Everts    (2022-05-18 14:04:12)
Dit extra energieverbruik is verdisconteerd in de berekening van de EEI voor het monitoringjaar.</t>
        </r>
      </text>
    </comment>
  </commentList>
  <extLst>
    <ext xmlns:r="http://schemas.openxmlformats.org/officeDocument/2006/relationships" uri="GoogleSheetsCustomDataVersion1">
      <go:sheetsCustomData xmlns:go="http://customooxmlschemas.google.com/" r:id="rId1" roundtripDataSignature="AMtx7mi/0JVf/BsWQwFumy/4hqm4Jps1v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6" authorId="0" shapeId="0" xr:uid="{00000000-0006-0000-0D00-000004000000}">
      <text>
        <r>
          <rPr>
            <sz val="8"/>
            <color theme="1"/>
            <rFont val="Calibri"/>
            <family val="2"/>
            <scheme val="minor"/>
          </rPr>
          <t>======
ID#AAAAZkGV91s
BECO GROEP    (2022-05-18 14:04:12)
Deze cijfers zijn overgenomen uit het stalatietgroeprapport.</t>
        </r>
      </text>
    </comment>
    <comment ref="B22" authorId="0" shapeId="0" xr:uid="{00000000-0006-0000-0D00-000003000000}">
      <text>
        <r>
          <rPr>
            <sz val="8"/>
            <color theme="1"/>
            <rFont val="Calibri"/>
            <family val="2"/>
            <scheme val="minor"/>
          </rPr>
          <t>======
ID#AAAAZkGV91w
BECO GROEP    (2022-05-18 14:04:12)
Deze waarde wordt op basis van de gegevens van de centrale in het werkblad 'model' vastgesteld. Dit is dus een gemiddelde verandering voor de hele centrale. In het model wordt dit teruggerekend naar de verschillende soorten.</t>
        </r>
      </text>
    </comment>
    <comment ref="B23" authorId="0" shapeId="0" xr:uid="{00000000-0006-0000-0D00-000005000000}">
      <text>
        <r>
          <rPr>
            <sz val="8"/>
            <color theme="1"/>
            <rFont val="Calibri"/>
            <family val="2"/>
            <scheme val="minor"/>
          </rPr>
          <t>======
ID#AAAAZkGV908
BECO GROEP    (2022-05-18 14:04:12)
Deze waarde wordt op basis van de gegevens van de centrale in het werkblad 'model' vastgesteld. Dit is dus een gemiddelde verandering voor de hele centrale. In het model wordt dit teruggerekend naar de verschillende soorten.</t>
        </r>
      </text>
    </comment>
    <comment ref="B158" authorId="0" shapeId="0" xr:uid="{00000000-0006-0000-0D00-000002000000}">
      <text>
        <r>
          <rPr>
            <sz val="8"/>
            <color theme="1"/>
            <rFont val="Calibri"/>
            <family val="2"/>
            <scheme val="minor"/>
          </rPr>
          <t>======
ID#AAAAZkGV93E
Dirk-Jan Everts    (2022-05-18 14:04:12)
Gevonden op: http://www.energytoday.com.au/contentid67.html</t>
        </r>
      </text>
    </comment>
    <comment ref="B167" authorId="0" shapeId="0" xr:uid="{00000000-0006-0000-0D00-000001000000}">
      <text>
        <r>
          <rPr>
            <sz val="8"/>
            <color theme="1"/>
            <rFont val="Calibri"/>
            <family val="2"/>
            <scheme val="minor"/>
          </rPr>
          <t>======
ID#AAAAZkGV950
Dirk-Jan Everts    (2022-05-18 14:04:12)
Gevonden op :
http://www.woodgas.com/proximat.htm</t>
        </r>
      </text>
    </comment>
  </commentList>
  <extLst>
    <ext xmlns:r="http://schemas.openxmlformats.org/officeDocument/2006/relationships" uri="GoogleSheetsCustomDataVersion1">
      <go:sheetsCustomData xmlns:go="http://customooxmlschemas.google.com/" r:id="rId1" roundtripDataSignature="AMtx7mh91I10DCeGgjiTn8XM47qPUE17Hw=="/>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<sst xmlns="http://schemas.openxmlformats.org/spreadsheetml/2006/main" count="2995" uniqueCount="1497">
  <si>
    <t>Description of use Energy Allocation model (EA model)</t>
  </si>
  <si>
    <t>Color coding:</t>
  </si>
  <si>
    <t>Data must be entered in cells shaded in light blue. The data currently in these cells are examples, based on the virtual asphalt plant.</t>
  </si>
  <si>
    <t>Cells shaded in green show results.</t>
  </si>
  <si>
    <t>Annual total energy consumption</t>
  </si>
  <si>
    <t>The total energy consumption of the previous production year must be entered below.</t>
  </si>
  <si>
    <t>Energy source</t>
  </si>
  <si>
    <t>Amount</t>
  </si>
  <si>
    <t>Asphalt Plant Properties</t>
  </si>
  <si>
    <t>General features of the asphalt plant must be entered below.</t>
  </si>
  <si>
    <t>Feature</t>
  </si>
  <si>
    <t>Installation type</t>
  </si>
  <si>
    <t>Charge mixing plant</t>
  </si>
  <si>
    <t>Yes</t>
  </si>
  <si>
    <t>Insulation white drum</t>
  </si>
  <si>
    <t>insulated</t>
  </si>
  <si>
    <t>Insulation Parallel drum</t>
  </si>
  <si>
    <t>Energy carrier bitumen heating system</t>
  </si>
  <si>
    <t>Electricity</t>
  </si>
  <si>
    <t>Location of tanks</t>
  </si>
  <si>
    <t>Inside</t>
  </si>
  <si>
    <t>Other items on heating system</t>
  </si>
  <si>
    <t>&gt;5</t>
  </si>
  <si>
    <t>Supply temperature (°C)</t>
  </si>
  <si>
    <t>&gt;175</t>
  </si>
  <si>
    <t>Lead time (weeks)</t>
  </si>
  <si>
    <t>0,7-1,3</t>
  </si>
  <si>
    <t>Quality of insulation bitumen infrastructure</t>
  </si>
  <si>
    <t>good</t>
  </si>
  <si>
    <t>Moisture Content Materials</t>
  </si>
  <si>
    <t>Enter the average moisture percentages of coarse and crushed stone, crushed sand, natural sand and RA below.</t>
  </si>
  <si>
    <t>The tab 'Help moisture percentages' can be used to determine this data.</t>
  </si>
  <si>
    <t>Material</t>
  </si>
  <si>
    <t>Average moisture percentage (%)</t>
  </si>
  <si>
    <t>Coarse and crushed stone</t>
  </si>
  <si>
    <t>Crushed sand</t>
  </si>
  <si>
    <t>Sand</t>
  </si>
  <si>
    <t>Reclaimed Asphalt</t>
  </si>
  <si>
    <t>3) The amount of processed RA per asphalt type.</t>
  </si>
  <si>
    <t>As a check the total is shown in the bottom column.</t>
  </si>
  <si>
    <t>Asphalt type</t>
  </si>
  <si>
    <t>Amount of RA processed (tonnes/year)</t>
  </si>
  <si>
    <t>SMA</t>
  </si>
  <si>
    <t>HRA</t>
  </si>
  <si>
    <t>PA</t>
  </si>
  <si>
    <t>Total</t>
  </si>
  <si>
    <t>Type</t>
  </si>
  <si>
    <t>Average final temperature of mixture in mixer (°C)</t>
  </si>
  <si>
    <t>EA Model Results</t>
  </si>
  <si>
    <t>After entering the data on the 'Input' tab, the EA model supplies the consumptions per process and asphalt plant-specific EA factors by default.</t>
  </si>
  <si>
    <t>The PCR asphalt describes when which results should be applied.</t>
  </si>
  <si>
    <t>The results are displayed in the green cells on this tab.</t>
  </si>
  <si>
    <t>Consumption per process</t>
  </si>
  <si>
    <t>The consumptions per process as defined in the EA model are shown below.</t>
  </si>
  <si>
    <t>EA process</t>
  </si>
  <si>
    <t>Warming of parallel (RA) drum</t>
  </si>
  <si>
    <t>Evaporating moisture in parallel (RA) drum</t>
  </si>
  <si>
    <t>Heating of combustion air, excess and leaking air</t>
  </si>
  <si>
    <t>Bitumen heating</t>
  </si>
  <si>
    <t>Starts and stops</t>
  </si>
  <si>
    <t>Electricity (other)</t>
  </si>
  <si>
    <t>Overheating minerals for aphalt mixtures containing RA</t>
  </si>
  <si>
    <t>EA Factors</t>
  </si>
  <si>
    <t>Factor</t>
  </si>
  <si>
    <t>Temperature minerals</t>
  </si>
  <si>
    <t>Temperature Reclaimed Asphalt</t>
  </si>
  <si>
    <t>Evaporation Factor</t>
  </si>
  <si>
    <t>Heating of Combustion air</t>
  </si>
  <si>
    <t>Radiation of drums</t>
  </si>
  <si>
    <t>The 'Help moisture percentages' tab can be used to determine the mixture-specific moisture contents.</t>
  </si>
  <si>
    <t>Reclaimed Asphalt content</t>
  </si>
  <si>
    <t>Mixture final temperature in mixer (°C)</t>
  </si>
  <si>
    <t>Temperature RA just after parallel (RA) drum (°C)</t>
  </si>
  <si>
    <t>Moisture in minerals (kg/ton)</t>
  </si>
  <si>
    <t>Moisture in reclaimed asphalt (kg/ton)</t>
  </si>
  <si>
    <t>Help for determining quantities</t>
  </si>
  <si>
    <t>These data are automatically determined in Table 1 based on the data entered in Table 2. In short, the following steps must be followed:</t>
  </si>
  <si>
    <t>a. The names of all products produced in the previous calendar year;</t>
  </si>
  <si>
    <t>2) Copy the data in Table 1, and paste it 'as value' in the appropriate cells on the 'Input' tab.</t>
  </si>
  <si>
    <t>Table 1: Production quantities and quantity of asphalt granulate</t>
  </si>
  <si>
    <t>Table 2: Products produced in previous production year, and asphalt type, production quantity and % asphalt granulate of products produced</t>
  </si>
  <si>
    <t>Product</t>
  </si>
  <si>
    <t>Production amount (tons)</t>
  </si>
  <si>
    <t>Production quantity with RA (tons)</t>
  </si>
  <si>
    <t>Amount of RA processed (tonnes)</t>
  </si>
  <si>
    <t>AC 32 dense base 40/60 or 70/100 des </t>
  </si>
  <si>
    <t>AC 32 HDM base 40/60 des </t>
  </si>
  <si>
    <t>AC 20 dense bin 40/60 or 70/100 des </t>
  </si>
  <si>
    <t>AC 20 HDM bin 40/60 des </t>
  </si>
  <si>
    <t>AC 14 close surf 70/100 or 160/220 des </t>
  </si>
  <si>
    <t>AC 10 close surf 70/100 or 160/220 des </t>
  </si>
  <si>
    <t>AC 14 open surf 70/100 or 160/220 des </t>
  </si>
  <si>
    <t>AC 10 open surf 70/100 or 160/220 des </t>
  </si>
  <si>
    <t>AC 6 dense surf 70/100 or 160/220 des </t>
  </si>
  <si>
    <t>HRA 30/14F surf 40/60 des </t>
  </si>
  <si>
    <t>HRA 35/14F surf 40/60 des </t>
  </si>
  <si>
    <t>HRA 30/14C surf 40/60 des </t>
  </si>
  <si>
    <t>HRA 35/14C surf 40/60 des </t>
  </si>
  <si>
    <t>HRA 0/2F surf 40/60 des </t>
  </si>
  <si>
    <t>SMA 6 bin 40/60 or 70/100 or 65/105-60 des </t>
  </si>
  <si>
    <t>SMA 10 bin or surf 40/60 or 70/100 or 65/105-60 des </t>
  </si>
  <si>
    <t>SMA 14 bin or surf 40/60 or 70/100 or 65/105-60 des </t>
  </si>
  <si>
    <t>Tower installation</t>
  </si>
  <si>
    <t>Drum mixer</t>
  </si>
  <si>
    <t>Fuel type drums</t>
  </si>
  <si>
    <t>Parallel drum yes/no?</t>
  </si>
  <si>
    <t>No</t>
  </si>
  <si>
    <t>N/A</t>
  </si>
  <si>
    <t>Isolatie witte trommel</t>
  </si>
  <si>
    <t>not insulated</t>
  </si>
  <si>
    <t>insulated and encased</t>
  </si>
  <si>
    <t>Energy carrier bitumen heating</t>
  </si>
  <si>
    <t>Location bitumen tanks</t>
  </si>
  <si>
    <t>combinatie of overkapping</t>
  </si>
  <si>
    <t>Other items connected to heating system</t>
  </si>
  <si>
    <t>3-4</t>
  </si>
  <si>
    <t>&lt;3</t>
  </si>
  <si>
    <t xml:space="preserve"> Supply temperature (°C)</t>
  </si>
  <si>
    <t>&lt;165</t>
  </si>
  <si>
    <t>165-175</t>
  </si>
  <si>
    <t xml:space="preserve"> Lead time (weeks)</t>
  </si>
  <si>
    <t>&gt;1,3</t>
  </si>
  <si>
    <t>&lt;0,7</t>
  </si>
  <si>
    <t xml:space="preserve"> Quality of insulation bitumen infrastructure</t>
  </si>
  <si>
    <t>mediocre</t>
  </si>
  <si>
    <t>reasonable</t>
  </si>
  <si>
    <t>Help determining moisture percentages</t>
  </si>
  <si>
    <t>With this tab, the average moisture contents per material group (crushed stone, crushed sand, natural sand and AG) can be determined.</t>
  </si>
  <si>
    <t>a. The names of all materials used in the previous calendar year;</t>
  </si>
  <si>
    <t>b. The moisture content of the material</t>
  </si>
  <si>
    <t>c. The material group of the material. Choose from crushed stone, crusher sand, natural sand, RA; or leave the cell blank if it does not belong to any of these groups.</t>
  </si>
  <si>
    <t>d. The total amount, in tons, of the material consumed in the previous calendar year.</t>
  </si>
  <si>
    <t>2) Copy the data in Table 1, and paste it 'as value' into the appropriate cells on the 'Input' tab.</t>
  </si>
  <si>
    <t>Table 1: Moisture content (%) per material group</t>
  </si>
  <si>
    <t>Material group</t>
  </si>
  <si>
    <t>Consumption in tons</t>
  </si>
  <si>
    <t>Average moisture %</t>
  </si>
  <si>
    <t>Coarse and Crushed stone</t>
  </si>
  <si>
    <t>Table 2: Moisture contents, material group and quantities consumed (in tons) per material</t>
  </si>
  <si>
    <t>Moisture%</t>
  </si>
  <si>
    <t>Moisture% white</t>
  </si>
  <si>
    <t>Moisture% black</t>
  </si>
  <si>
    <t>Group</t>
  </si>
  <si>
    <t>Total usage in tons</t>
  </si>
  <si>
    <t>Moisture per material</t>
  </si>
  <si>
    <t>Moisture per Group</t>
  </si>
  <si>
    <t>Binder drainage inhibitor with Cellulose fibre and Bitumen </t>
  </si>
  <si>
    <t>Recycled Filler </t>
  </si>
  <si>
    <t>RA</t>
  </si>
  <si>
    <t>Calculated moisture content:</t>
  </si>
  <si>
    <t>Bitumen</t>
  </si>
  <si>
    <t>Rounded value (for copying):</t>
  </si>
  <si>
    <t>EA model default values (only use if moisture percentages are not known)</t>
  </si>
  <si>
    <t>Crushed Sand</t>
  </si>
  <si>
    <t>Average moisture fraction in coarse and crushed stone</t>
  </si>
  <si>
    <t>Average moisture fraction in crushed sand</t>
  </si>
  <si>
    <t>Average moisture fraction in sand</t>
  </si>
  <si>
    <t>Average moisture fraction in RA</t>
  </si>
  <si>
    <t>Crushed Limestone </t>
  </si>
  <si>
    <t>Filler</t>
  </si>
  <si>
    <t>Very Weak Filler</t>
  </si>
  <si>
    <t>Weak Filler</t>
  </si>
  <si>
    <t>Help moisture content per mixture</t>
  </si>
  <si>
    <t>With this tab the parameters 'moisture in minerals (kg/ton)' and 'moisture in reclaimed asphalt (kg/ton)' can be determined.</t>
  </si>
  <si>
    <t>a. Enter the name of the mixture concerned.</t>
  </si>
  <si>
    <t>b. The material name, this must exactly match the material names used on the 'Help moisture percentages' tab</t>
  </si>
  <si>
    <t>c. The amount of the material concerned, entered in kilograms (kg).</t>
  </si>
  <si>
    <t>Note: The name in column B must be exactly the same for every line. In addition, for each material entered in column C, the product name must also be entered in column B.</t>
  </si>
  <si>
    <t>2) Copy the data in Table 1, and paste it 'as value' into the appropriate cells in the 'Results' tab</t>
  </si>
  <si>
    <t>Table 1: Mixture-specific parameters related to moisture levels</t>
  </si>
  <si>
    <t>Unit</t>
  </si>
  <si>
    <t>Moisture% Material</t>
  </si>
  <si>
    <t>Moisture Minerals kg</t>
  </si>
  <si>
    <t>Moisture Minerals kg/ton asphalt</t>
  </si>
  <si>
    <t>Minerals</t>
  </si>
  <si>
    <t>Sum minerals</t>
  </si>
  <si>
    <t>Moisture kg/ton minerals</t>
  </si>
  <si>
    <t>Moisture % RA</t>
  </si>
  <si>
    <t>Moisteu RA kg</t>
  </si>
  <si>
    <t>Moisture RA kg/ton asphalt</t>
  </si>
  <si>
    <t>Sum RA</t>
  </si>
  <si>
    <t>Moisture kg/ton RA</t>
  </si>
  <si>
    <t>total kg/ton asphalt</t>
  </si>
  <si>
    <t>kg</t>
  </si>
  <si>
    <t>Projectgegevens</t>
  </si>
  <si>
    <t>Projectnaam</t>
  </si>
  <si>
    <t>MJA-nummer</t>
  </si>
  <si>
    <t>Datum</t>
  </si>
  <si>
    <t>Invoer: dd-mm-jjjj</t>
  </si>
  <si>
    <t>Algemene informatie</t>
  </si>
  <si>
    <t>Naam asfaltcentrale</t>
  </si>
  <si>
    <t>Adres</t>
  </si>
  <si>
    <t>Postcode</t>
  </si>
  <si>
    <t>Plaats</t>
  </si>
  <si>
    <t>Contactpersoon</t>
  </si>
  <si>
    <t>Functie</t>
  </si>
  <si>
    <t>Telefoonnummer</t>
  </si>
  <si>
    <t>E-mail</t>
  </si>
  <si>
    <t>Jaarlijks energieverbruik</t>
  </si>
  <si>
    <t>Waarde</t>
  </si>
  <si>
    <t>Eenheid</t>
  </si>
  <si>
    <t>Opmerking</t>
  </si>
  <si>
    <t>Aardgas</t>
  </si>
  <si>
    <t>Elektriciteit</t>
  </si>
  <si>
    <t>Totaal primair energieverbruik</t>
  </si>
  <si>
    <r>
      <rPr>
        <b/>
        <sz val="8"/>
        <color theme="1"/>
        <rFont val="Arial"/>
        <family val="2"/>
      </rPr>
      <t>Jaarlijkse CO</t>
    </r>
    <r>
      <rPr>
        <b/>
        <vertAlign val="subscript"/>
        <sz val="8"/>
        <color theme="1"/>
        <rFont val="Arial"/>
        <family val="2"/>
      </rPr>
      <t>2</t>
    </r>
    <r>
      <rPr>
        <b/>
        <sz val="8"/>
        <color theme="1"/>
        <rFont val="Arial"/>
        <family val="2"/>
      </rPr>
      <t>-emissies</t>
    </r>
  </si>
  <si>
    <t>Totale jaarlijkse CO2-emissies</t>
  </si>
  <si>
    <t>Jaarlijkse energiekosten</t>
  </si>
  <si>
    <t>Totale jaarlijkse energiekosten</t>
  </si>
  <si>
    <t>Specifieke gemiddelde energiekosten</t>
  </si>
  <si>
    <t>Specifieke leveringskosten</t>
  </si>
  <si>
    <t>Productiegegevens</t>
  </si>
  <si>
    <t>Jaarlijkse productie SURF</t>
  </si>
  <si>
    <t>Jaarlijkse productie BIND</t>
  </si>
  <si>
    <t>Jaarlijkse productie BASE</t>
  </si>
  <si>
    <t>Jaarlijkse productie SURF / BIND</t>
  </si>
  <si>
    <t>Jaarlijkse productie BIND / BASE</t>
  </si>
  <si>
    <t>Jaarlijkse productie SMA</t>
  </si>
  <si>
    <t>Jaarlijkse productie PA / ZOAB</t>
  </si>
  <si>
    <t>Jaarlijkse productie Gietasfalt</t>
  </si>
  <si>
    <t>LEA = Laag Energie Asfalt.</t>
  </si>
  <si>
    <t>Totale jaarlijkse productie</t>
  </si>
  <si>
    <t>Productiegegevens model</t>
  </si>
  <si>
    <t>Totale jaarlijkse productie (model)</t>
  </si>
  <si>
    <t>ton / a</t>
  </si>
  <si>
    <t>Benchmarkgegevens</t>
  </si>
  <si>
    <t>Gemiddeld specifiek primair energieverbruik</t>
  </si>
  <si>
    <r>
      <rPr>
        <i/>
        <sz val="8"/>
        <color theme="1"/>
        <rFont val="Arial"/>
        <family val="2"/>
      </rPr>
      <t>SEV</t>
    </r>
    <r>
      <rPr>
        <i/>
        <vertAlign val="subscript"/>
        <sz val="8"/>
        <color theme="1"/>
        <rFont val="Arial"/>
        <family val="2"/>
      </rPr>
      <t>primair, gemiddeld</t>
    </r>
  </si>
  <si>
    <t>Gemiddeld specifiek aardgasverbruik</t>
  </si>
  <si>
    <t>m3 (eq.) / ton</t>
  </si>
  <si>
    <t>Uitgedrukt in aardgas-equivalenten.</t>
  </si>
  <si>
    <r>
      <rPr>
        <sz val="8"/>
        <color theme="1"/>
        <rFont val="Arial"/>
        <family val="2"/>
      </rPr>
      <t>Gemiddelde specifieke CO</t>
    </r>
    <r>
      <rPr>
        <vertAlign val="subscript"/>
        <sz val="8"/>
        <color theme="1"/>
        <rFont val="Arial"/>
        <family val="2"/>
      </rPr>
      <t>2</t>
    </r>
    <r>
      <rPr>
        <sz val="8"/>
        <color theme="1"/>
        <rFont val="Arial"/>
        <family val="2"/>
      </rPr>
      <t>-emissie</t>
    </r>
  </si>
  <si>
    <r>
      <rPr>
        <i/>
        <sz val="8"/>
        <color theme="1"/>
        <rFont val="Arial"/>
        <family val="2"/>
      </rPr>
      <t>SCE</t>
    </r>
    <r>
      <rPr>
        <i/>
        <vertAlign val="subscript"/>
        <sz val="8"/>
        <color theme="1"/>
        <rFont val="Arial"/>
        <family val="2"/>
      </rPr>
      <t>gemiddeld</t>
    </r>
  </si>
  <si>
    <t>Kenmerken centrale</t>
  </si>
  <si>
    <t>Type installatie</t>
  </si>
  <si>
    <t>Brandstoftype witte en PR-trommel</t>
  </si>
  <si>
    <t>Kies de meest ingezette brandstof.</t>
  </si>
  <si>
    <t>Parallelle trommel voor hergebruik granulaat?</t>
  </si>
  <si>
    <t>Aantal productie-uren per jaar</t>
  </si>
  <si>
    <t>Details kenmerken centrale</t>
  </si>
  <si>
    <t>Gemiddelde vochtfractie in steenslag</t>
  </si>
  <si>
    <t>-</t>
  </si>
  <si>
    <t>gemiddelde gebaseerd op aangeleverde data</t>
  </si>
  <si>
    <t>Gemiddelde vochtfractie in brekerzand</t>
  </si>
  <si>
    <t>Gemiddelde vochtfractie in natuurlijk zand</t>
  </si>
  <si>
    <t>Waarde van onderstaand is gelijk aan C69, indien er maar één soort AG is</t>
  </si>
  <si>
    <t>Gemiddelde vochtfractie in AG</t>
  </si>
  <si>
    <t>Gemiddelde vochtfractie in AG LEA</t>
  </si>
  <si>
    <t>Gemiddeld %-AG in mengsels met AG</t>
  </si>
  <si>
    <t>Gemiddelde gebaseerd op aangeleverde data</t>
  </si>
  <si>
    <t>Gemiddelde eindtemperatuur AC SURF</t>
  </si>
  <si>
    <t>Eindtemperatuur na de menger.</t>
  </si>
  <si>
    <t>Gemiddelde eindtemperatuur AC BIND</t>
  </si>
  <si>
    <t>Gemiddelde eindtemperatuur AC BASE</t>
  </si>
  <si>
    <t>Gemiddelde eindtemperatuur AC SURF/BIND</t>
  </si>
  <si>
    <t>Gemiddelde eindtemperatuur AC BIND/BASE</t>
  </si>
  <si>
    <t>Gemiddelde eindtemperatuur AC mengsel</t>
  </si>
  <si>
    <t>°C</t>
  </si>
  <si>
    <t>Gemiddelde AC temperatuur (automatisch berekend).</t>
  </si>
  <si>
    <t>Gemiddelde eindtemperatuur SMA mengsel</t>
  </si>
  <si>
    <t>Gemiddelde eindtemperatuur PA/ZOAB mengsel</t>
  </si>
  <si>
    <t>Gemiddelde eindtemperatuur GIETASFALT mengsel</t>
  </si>
  <si>
    <t>Gemiddelde eindtemperatuur LEA mengsel</t>
  </si>
  <si>
    <t>Gemiddelde eindtemperatuur overige mengsels</t>
  </si>
  <si>
    <t>Gemiddelde temperatuur asfaltgranulaat AC mengsel</t>
  </si>
  <si>
    <t>Eindtemperatuur in paralleltrommel.</t>
  </si>
  <si>
    <t>Gemiddelde temperatuur asfaltgranulaat SMA mengsel</t>
  </si>
  <si>
    <t>Gemiddelde temperatuur asfaltgranulaat PA/ZOAB mengsel</t>
  </si>
  <si>
    <t>Gemiddelde temperatuur asfaltgranulaat GIETASFALT mengsel</t>
  </si>
  <si>
    <t>Gemiddelde temperatuur asfaltgranulaat LEA mengsel</t>
  </si>
  <si>
    <t>Gemiddelde temperatuur asfaltgranulaat overige mengsels</t>
  </si>
  <si>
    <t>Fractie verdampt vocht LEA</t>
  </si>
  <si>
    <t>Gemiddelde afgastemperatuur parallel trommel</t>
  </si>
  <si>
    <t>Zuurstofpercentage afgassen witte trommel</t>
  </si>
  <si>
    <t>Energiedrager bitumenverwarmingssysteem</t>
  </si>
  <si>
    <t>Op gas, gemiddeld verbruik 25 m3 per uur</t>
  </si>
  <si>
    <t>Locatie tanks</t>
  </si>
  <si>
    <t>Overige items op verwarmingssysteem</t>
  </si>
  <si>
    <t>Aanvoertemperatuur</t>
  </si>
  <si>
    <t>Doorlooptijd</t>
  </si>
  <si>
    <t>weken</t>
  </si>
  <si>
    <t>Kwaliteit van isolatie bitumenpark</t>
  </si>
  <si>
    <t>Inschatting energieverbruik bitumenpark</t>
  </si>
  <si>
    <t>Optioneel</t>
  </si>
  <si>
    <t>Isolatie parallel trommel</t>
  </si>
  <si>
    <t>Aantal starts per jaar van witte trommel</t>
  </si>
  <si>
    <t>Aantal receptwisselingen per jaar</t>
  </si>
  <si>
    <t>Energieverbr. tijdens receptwisseling voor witte trommel</t>
  </si>
  <si>
    <t>MJp / productwissel</t>
  </si>
  <si>
    <t>Verhouding steenslag / zand AC</t>
  </si>
  <si>
    <t>Verhouding steenslag / zand AG</t>
  </si>
  <si>
    <t>Verhouding steenslag / zand LEA</t>
  </si>
  <si>
    <t>Verhouding steenslag / zand SMA</t>
  </si>
  <si>
    <t>Verhouding steenslag / zand ZOAB</t>
  </si>
  <si>
    <t>Verhouding steenslag / zand Overig</t>
  </si>
  <si>
    <t>SAMENVATTING - EXCLUSIEF OVERVERHITTING</t>
  </si>
  <si>
    <t>BEREKENING - OVERVERHITTING ALS LOS PROCES</t>
  </si>
  <si>
    <t>SAMENVATTING - INCLUSIEF OVERVERHITTING</t>
  </si>
  <si>
    <t>RESULTATEN</t>
  </si>
  <si>
    <t>Omschrijving</t>
  </si>
  <si>
    <t>AC</t>
  </si>
  <si>
    <t>AG</t>
  </si>
  <si>
    <t>LEA</t>
  </si>
  <si>
    <t>SMA-NL</t>
  </si>
  <si>
    <t>ZOAB(PA)</t>
  </si>
  <si>
    <t>Overig</t>
  </si>
  <si>
    <r>
      <rPr>
        <b/>
        <sz val="8"/>
        <color theme="1"/>
        <rFont val="Arial"/>
        <family val="2"/>
      </rPr>
      <t>GEMIDDELD/</t>
    </r>
    <r>
      <rPr>
        <b/>
        <sz val="8"/>
        <color rgb="FFFF0000"/>
        <rFont val="Arial"/>
        <family val="2"/>
      </rPr>
      <t>TOTAAL</t>
    </r>
  </si>
  <si>
    <t>GECORRIGEERD</t>
  </si>
  <si>
    <t>AC zonder AG</t>
  </si>
  <si>
    <t>LEA zonder AG</t>
  </si>
  <si>
    <t>SMA zonder AG</t>
  </si>
  <si>
    <t>ZOAB zonder AG</t>
  </si>
  <si>
    <t>Overig zonder AG</t>
  </si>
  <si>
    <r>
      <rPr>
        <sz val="8"/>
        <color theme="1"/>
        <rFont val="Arial"/>
        <family val="2"/>
      </rPr>
      <t xml:space="preserve">GEMIDDELD / </t>
    </r>
    <r>
      <rPr>
        <b/>
        <sz val="8"/>
        <color rgb="FFFF0000"/>
        <rFont val="Arial"/>
        <family val="2"/>
      </rPr>
      <t>TOTAAL zonder AG</t>
    </r>
  </si>
  <si>
    <t>Oververhitting verschil</t>
  </si>
  <si>
    <r>
      <rPr>
        <b/>
        <sz val="8"/>
        <color theme="1"/>
        <rFont val="Arial"/>
        <family val="2"/>
      </rPr>
      <t xml:space="preserve">GEMIDDELD / </t>
    </r>
    <r>
      <rPr>
        <b/>
        <sz val="8"/>
        <color rgb="FFFF0000"/>
        <rFont val="Arial"/>
        <family val="2"/>
      </rPr>
      <t>TOTAAL</t>
    </r>
  </si>
  <si>
    <t>VERBRUIKEN PER PROCES</t>
  </si>
  <si>
    <t>Specifiek energieverbruik (SEV)</t>
  </si>
  <si>
    <t>MJp / ton asfalt</t>
  </si>
  <si>
    <t>Exclusief oververhitting</t>
  </si>
  <si>
    <t>Opwarmen mineralen witte trommel</t>
  </si>
  <si>
    <t>Proces</t>
  </si>
  <si>
    <t>m3</t>
  </si>
  <si>
    <t>kwh</t>
  </si>
  <si>
    <t>Opwarmen AG paralleltrommel</t>
  </si>
  <si>
    <t>Verdampen vocht mineralen witte trommel</t>
  </si>
  <si>
    <t>Verdampen vocht AG paralleltrommel</t>
  </si>
  <si>
    <t xml:space="preserve">Opwarmen verbrandingslucht, overmaat en leklucht </t>
  </si>
  <si>
    <t>Straling witte trommel en paralleltrommel</t>
  </si>
  <si>
    <t>Afgas parallel trommel (overdracht op witte trommel)</t>
  </si>
  <si>
    <t>Bitumenverwarming</t>
  </si>
  <si>
    <t>Receptwisselingen</t>
  </si>
  <si>
    <t>Starts en stops</t>
  </si>
  <si>
    <t>Elektriciteit overig</t>
  </si>
  <si>
    <t>Oververhitting</t>
  </si>
  <si>
    <t>Specifiek aardgasverbruik (equivalenten)</t>
  </si>
  <si>
    <t>Oververhitting mineralen voor AG mengsels</t>
  </si>
  <si>
    <t>Specifiek elektriciteitsverbruik</t>
  </si>
  <si>
    <t>kWh_e / ton asfalt</t>
  </si>
  <si>
    <t>Totaal</t>
  </si>
  <si>
    <t>Aardgasverbruik (model)</t>
  </si>
  <si>
    <r>
      <rPr>
        <b/>
        <sz val="8"/>
        <color theme="1"/>
        <rFont val="Arial"/>
        <family val="2"/>
      </rPr>
      <t>m</t>
    </r>
    <r>
      <rPr>
        <b/>
        <vertAlign val="superscript"/>
        <sz val="8"/>
        <color theme="1"/>
        <rFont val="Arial"/>
        <family val="2"/>
      </rPr>
      <t xml:space="preserve">3 </t>
    </r>
    <r>
      <rPr>
        <b/>
        <sz val="8"/>
        <color theme="1"/>
        <rFont val="Arial"/>
        <family val="2"/>
      </rPr>
      <t>/ a</t>
    </r>
  </si>
  <si>
    <t>Elektriciteitsverbruik (model)</t>
  </si>
  <si>
    <t>kWh_e / a</t>
  </si>
  <si>
    <t>Inclusief oververhitting</t>
  </si>
  <si>
    <t>GEGEVENS</t>
  </si>
  <si>
    <t>AC (gemiddeld)</t>
  </si>
  <si>
    <t>Eindtemperatuur mengsel (mineralen)</t>
  </si>
  <si>
    <t>Productie</t>
  </si>
  <si>
    <t>Eindtemperatuur asfaltgranulaat</t>
  </si>
  <si>
    <t>Productie asfaltsoorten</t>
  </si>
  <si>
    <t>Temperaturen</t>
  </si>
  <si>
    <t>Gemiddelde benodigde grondstoffen (literatuur)</t>
  </si>
  <si>
    <t>Benodigde hoeveelheid steenslag/grind (droog)</t>
  </si>
  <si>
    <t>kg / ton asfalt</t>
  </si>
  <si>
    <t>Benodigde hoeveelheid brekerzand (droog)</t>
  </si>
  <si>
    <t>Elektriciteit (overig)</t>
  </si>
  <si>
    <t>Benodigde hoeveelheid natuurlijk zand (droog)</t>
  </si>
  <si>
    <t>Verbruikte hoeveelheid asfaltgranulaat (droog)</t>
  </si>
  <si>
    <t>Benodigde hoeveelheid bitumen</t>
  </si>
  <si>
    <t>Benodigde hoeveelheid vulstof</t>
  </si>
  <si>
    <t>Totale hoeveelheid geproduceerd asfalt</t>
  </si>
  <si>
    <t>EA FACTOREN</t>
  </si>
  <si>
    <t>PA/ZOAB</t>
  </si>
  <si>
    <t>Fractie steenslag/grind per type asfalt (droge stenen)</t>
  </si>
  <si>
    <t>Temperatuur mineralen</t>
  </si>
  <si>
    <t>Fractie brekerzand per type asfalt (droog zand)</t>
  </si>
  <si>
    <t>Temperatuur asfaltgranulaat</t>
  </si>
  <si>
    <t>Fractie natuurlijkzand per type asfalt (droog zand)</t>
  </si>
  <si>
    <t>Factor verdampen</t>
  </si>
  <si>
    <t>Fractie asfaltgranulaat per type asfalt</t>
  </si>
  <si>
    <t>Opw. Verbrandingslucht</t>
  </si>
  <si>
    <t>Fracite bitumen per type asfalt</t>
  </si>
  <si>
    <t>Straling trommels</t>
  </si>
  <si>
    <t>Fractie vulstof per type asfalt</t>
  </si>
  <si>
    <t>VERBRUIKEN PER TYPE - GECORRIGEERD</t>
  </si>
  <si>
    <t>Hoeveelheid vocht in mineralen en AG</t>
  </si>
  <si>
    <t>Vocht in mineralen</t>
  </si>
  <si>
    <t>Vocht in asfaltgranulaat</t>
  </si>
  <si>
    <t>Gemiddelde temperatuurniveau's producten / afgassen</t>
  </si>
  <si>
    <t>% PR in mengsels</t>
  </si>
  <si>
    <t>%</t>
  </si>
  <si>
    <t>Temperatuurval mineralen tijdens transport van trommels naar menger</t>
  </si>
  <si>
    <t>º C</t>
  </si>
  <si>
    <t>Temperatuur warme mineralen vlak na witte trommel</t>
  </si>
  <si>
    <t>Temperatuur AG vlak na parallel trommel</t>
  </si>
  <si>
    <t>Gemiddelde rookgastemperatuur (afgastemperatuur)</t>
  </si>
  <si>
    <t xml:space="preserve">Ingaande gemiddelde temperatuur van mineralen en lucht </t>
  </si>
  <si>
    <t>Verbrandingslucht, overmaat en leklucht</t>
  </si>
  <si>
    <t>Zuurstofpercentage afgassen witte trommel / pr-trommel</t>
  </si>
  <si>
    <t>Specifiek geproduceerde hoeveelheid afgassen (bij stochiometrische verbranding)</t>
  </si>
  <si>
    <t>Aardgasverbruik (totaal)</t>
  </si>
  <si>
    <t>Specifieke hoeveelheid overmaat en leklucht (bij opgegeven zuurstofpercentage in afgassen)</t>
  </si>
  <si>
    <t>Elektriciteitsverbruik (totaal)</t>
  </si>
  <si>
    <t>Totale specifieke hoeveelheid benodigde lucht (VOL)</t>
  </si>
  <si>
    <t>Totale specifieke hoeveelheid vocht in VOL</t>
  </si>
  <si>
    <t>Benodigde specifieke hoeveelheid energie om VOL op te warmen</t>
  </si>
  <si>
    <t>VERBRUIKEN PER ASFALTTYPE - TOTAAL</t>
  </si>
  <si>
    <t>Benodigde specifieke hoeveelheid energie om vocht in VOL op te warmen</t>
  </si>
  <si>
    <t>Asfalttype</t>
  </si>
  <si>
    <t>Aardgasverbruik (m3)</t>
  </si>
  <si>
    <t>Elektriciteitsverbruik (kWh)</t>
  </si>
  <si>
    <t>Totale benodigde hoeveelheid aardgas (opwarmen mineralen, etc.)</t>
  </si>
  <si>
    <t>m3 aardgas / ton</t>
  </si>
  <si>
    <t>Totaal benodigde hoeveelheid aardgas (opwarmen VOL)</t>
  </si>
  <si>
    <t>Stralingsverliezen</t>
  </si>
  <si>
    <t>Stralingsverliezen (percentage) (witte trommel)</t>
  </si>
  <si>
    <t>Stralingsverliezen (percentage) (parallel trommel)</t>
  </si>
  <si>
    <t>Bitumen verwarming</t>
  </si>
  <si>
    <t>Totaal energieverbruik warmhouden bitumentanks</t>
  </si>
  <si>
    <t>GEMIDDELDE VERBRUIKEN PER ASFALTTYPE - OBV GEMIDDELDE AG GEHALTES</t>
  </si>
  <si>
    <t>Gewogen fractie bitumen per soort</t>
  </si>
  <si>
    <t>%AG</t>
  </si>
  <si>
    <t>Specifiek energieverbruik op basis van gewogen fractie bitumen</t>
  </si>
  <si>
    <t>Energieverbruik receptwisselingen</t>
  </si>
  <si>
    <t>MJp / ton</t>
  </si>
  <si>
    <t>Overig elektriciteitsverbruik</t>
  </si>
  <si>
    <t>Totaal elektriciteitsverbruik (exclusief bitumen verwarming)</t>
  </si>
  <si>
    <t>kWh / a</t>
  </si>
  <si>
    <t>kWh / ton / a</t>
  </si>
  <si>
    <t>VERBRUIKEN ASFALTMENGSEL - OBV ASFALTTYPE EN AG GEHALTE</t>
  </si>
  <si>
    <t>CONSTANTEN</t>
  </si>
  <si>
    <t>Asfaltgranulaatgehalte</t>
  </si>
  <si>
    <t>Soortelijke warmte van steenslag</t>
  </si>
  <si>
    <t>kJ / kg K</t>
  </si>
  <si>
    <t>Soortelijke warmte van zand</t>
  </si>
  <si>
    <t>Soortelijke warmte van AG (5% bitumen)</t>
  </si>
  <si>
    <t>Soortelijke warmte lucht</t>
  </si>
  <si>
    <t>Verdampingswaarde van water</t>
  </si>
  <si>
    <t xml:space="preserve">kJ / kg </t>
  </si>
  <si>
    <t>Soortelijke warmte water (vocht)</t>
  </si>
  <si>
    <t>Soortelijke warmte waterdamp</t>
  </si>
  <si>
    <t>Soortelijke warmte afgassen</t>
  </si>
  <si>
    <t>Soortelijke warmte aardgas</t>
  </si>
  <si>
    <t>Soortelijke warmte stookolie</t>
  </si>
  <si>
    <t>Dichtheid lucht</t>
  </si>
  <si>
    <r>
      <rPr>
        <sz val="8"/>
        <color theme="1"/>
        <rFont val="Arial"/>
        <family val="2"/>
      </rPr>
      <t>kg / m</t>
    </r>
    <r>
      <rPr>
        <vertAlign val="superscript"/>
        <sz val="8"/>
        <color theme="1"/>
        <rFont val="Arial"/>
        <family val="2"/>
      </rPr>
      <t>3</t>
    </r>
  </si>
  <si>
    <t>Dichtheid afgassen</t>
  </si>
  <si>
    <t>Vochtfractie in lucht</t>
  </si>
  <si>
    <t>kg / kg</t>
  </si>
  <si>
    <t>Benodigde verbrandingslucht voor aardgas</t>
  </si>
  <si>
    <r>
      <rPr>
        <sz val="8"/>
        <color theme="1"/>
        <rFont val="Arial"/>
        <family val="2"/>
      </rPr>
      <t>m</t>
    </r>
    <r>
      <rPr>
        <vertAlign val="superscript"/>
        <sz val="8"/>
        <color theme="1"/>
        <rFont val="Arial"/>
        <family val="2"/>
      </rPr>
      <t>3</t>
    </r>
    <r>
      <rPr>
        <sz val="8"/>
        <color theme="1"/>
        <rFont val="Arial"/>
        <family val="2"/>
      </rPr>
      <t xml:space="preserve"> lucht / m</t>
    </r>
    <r>
      <rPr>
        <vertAlign val="superscript"/>
        <sz val="8"/>
        <color theme="1"/>
        <rFont val="Arial"/>
        <family val="2"/>
      </rPr>
      <t>3</t>
    </r>
    <r>
      <rPr>
        <sz val="8"/>
        <color theme="1"/>
        <rFont val="Arial"/>
        <family val="2"/>
      </rPr>
      <t xml:space="preserve"> aardgas</t>
    </r>
  </si>
  <si>
    <t>Stookwaarde aardgas (op onderwaarde)</t>
  </si>
  <si>
    <t>MJ / m3</t>
  </si>
  <si>
    <t>Stookwaarde stookolie (op onderwaarde)</t>
  </si>
  <si>
    <t>MJ / kg</t>
  </si>
  <si>
    <t>Energieinhoud kWh_e</t>
  </si>
  <si>
    <t>MJ / kWh_e</t>
  </si>
  <si>
    <t>CO2 emissies per m^3 gas</t>
  </si>
  <si>
    <t>kg CO2 / m3</t>
  </si>
  <si>
    <t>CO2 emissies per kWh</t>
  </si>
  <si>
    <t>kg CO2 / kWh_e</t>
  </si>
  <si>
    <t>Kooktemperatuur water</t>
  </si>
  <si>
    <t>Zuurstofpercentage lucht (volumepercentage)</t>
  </si>
  <si>
    <t>Energieverbr. 1x opstarten en 1x nadraaien (beide trommels)</t>
  </si>
  <si>
    <t>MJp / start&amp;stop</t>
  </si>
  <si>
    <t>Efficiëntie elektriciteitsproductie</t>
  </si>
  <si>
    <t>SAMENVATTING INVLOEDSFACTOREN: Deze gegevens invullen in het e-MJV</t>
  </si>
  <si>
    <t>Omschrijving invloedsfactor</t>
  </si>
  <si>
    <t>Grootte van Effect [TJ]</t>
  </si>
  <si>
    <t>Verandering inzet asfaltpuingranulaat</t>
  </si>
  <si>
    <t>Verandering productiehoeveelheid t.o.v. vorige jaar</t>
  </si>
  <si>
    <t>Verandering vochtpercentage grondstoffen</t>
  </si>
  <si>
    <r>
      <rPr>
        <sz val="8"/>
        <color theme="1"/>
        <rFont val="Arial"/>
        <family val="2"/>
      </rPr>
      <t xml:space="preserve">Let op: het is </t>
    </r>
    <r>
      <rPr>
        <i/>
        <sz val="8"/>
        <color theme="1"/>
        <rFont val="Arial"/>
        <family val="2"/>
      </rPr>
      <t>niet</t>
    </r>
    <r>
      <rPr>
        <sz val="8"/>
        <color theme="1"/>
        <rFont val="Arial"/>
        <family val="2"/>
      </rPr>
      <t xml:space="preserve"> toegestaan correcties op te voeren,
selecteer daarom </t>
    </r>
    <r>
      <rPr>
        <i/>
        <u/>
        <sz val="8"/>
        <color theme="1"/>
        <rFont val="Arial"/>
        <family val="2"/>
      </rPr>
      <t>Nee</t>
    </r>
    <r>
      <rPr>
        <sz val="8"/>
        <color theme="1"/>
        <rFont val="Arial"/>
        <family val="2"/>
      </rPr>
      <t xml:space="preserve"> bij 'Meenemen in Correctie?'</t>
    </r>
  </si>
  <si>
    <t>BEREKENING INVLOEDSFACTOR: VERANDERING INZET ASFALTPUINGRANULAAT</t>
  </si>
  <si>
    <t>Gegevens (monitoringjaar)</t>
  </si>
  <si>
    <t>Type asfalt</t>
  </si>
  <si>
    <t>Totale asfaltproductie</t>
  </si>
  <si>
    <t>Hoeveelheid asfalt waarin asfaltpuin-granulaat is verwerkt</t>
  </si>
  <si>
    <t>Verwerkte hoeveelheid asfaltpuin-granulaat</t>
  </si>
  <si>
    <t>Percentage asfaltpuin-
granulaat</t>
  </si>
  <si>
    <t>ton/a</t>
  </si>
  <si>
    <t>a</t>
  </si>
  <si>
    <t>b</t>
  </si>
  <si>
    <t>c</t>
  </si>
  <si>
    <t>d = c / b</t>
  </si>
  <si>
    <t>SURF</t>
  </si>
  <si>
    <t>BIND</t>
  </si>
  <si>
    <t>BASE</t>
  </si>
  <si>
    <t>SURF/BIND</t>
  </si>
  <si>
    <t>BIND/BASE</t>
  </si>
  <si>
    <t>GIETASFALT</t>
  </si>
  <si>
    <t>Extra energieverbruik door inzet van asfaltpuingranulaat in het productieproces in vorig monitoringjaar</t>
  </si>
  <si>
    <t>Extra energieverbruik door inzet van asfaltpuingranulaat in het productieproces in huidig monitoringjaar</t>
  </si>
  <si>
    <t>Verschil energieverbruik door inzet van asfaltpuingranulaat in het productieproces t.o.v. vorig monitoringjaar</t>
  </si>
  <si>
    <t>Absolute waarde [TJ/a]</t>
  </si>
  <si>
    <t>WERKWIJZE INVOER e-MJV</t>
  </si>
  <si>
    <r>
      <rPr>
        <sz val="8"/>
        <color theme="1"/>
        <rFont val="Arial"/>
        <family val="2"/>
      </rPr>
      <t>Bovenstaand verschil (in cel G34) mag in het e-MJV worden ingevoerd op het scherm</t>
    </r>
    <r>
      <rPr>
        <i/>
        <sz val="8"/>
        <color theme="1"/>
        <rFont val="Arial"/>
        <family val="2"/>
      </rPr>
      <t xml:space="preserve"> &gt; Index&gt; MJA&gt; Invloedsfactoren en Correcties.</t>
    </r>
  </si>
  <si>
    <r>
      <rPr>
        <sz val="8"/>
        <color theme="1"/>
        <rFont val="Arial"/>
        <family val="2"/>
      </rPr>
      <t>1. Klik op &gt;</t>
    </r>
    <r>
      <rPr>
        <i/>
        <sz val="8"/>
        <color theme="1"/>
        <rFont val="Arial"/>
        <family val="2"/>
      </rPr>
      <t>Invloedsfactoren en correcties</t>
    </r>
  </si>
  <si>
    <r>
      <rPr>
        <sz val="8"/>
        <color theme="1"/>
        <rFont val="Arial"/>
        <family val="2"/>
      </rPr>
      <t xml:space="preserve">2. Klik op </t>
    </r>
    <r>
      <rPr>
        <i/>
        <sz val="8"/>
        <color theme="1"/>
        <rFont val="Arial"/>
        <family val="2"/>
      </rPr>
      <t>Voeg toe</t>
    </r>
    <r>
      <rPr>
        <sz val="8"/>
        <color theme="1"/>
        <rFont val="Arial"/>
        <family val="2"/>
      </rPr>
      <t xml:space="preserve"> en vul in: </t>
    </r>
    <r>
      <rPr>
        <i/>
        <u/>
        <sz val="8"/>
        <color theme="1"/>
        <rFont val="Arial"/>
        <family val="2"/>
      </rPr>
      <t>Verandering inzet asfaltpuingranulaat</t>
    </r>
  </si>
  <si>
    <r>
      <rPr>
        <sz val="8"/>
        <color theme="1"/>
        <rFont val="Arial"/>
        <family val="2"/>
      </rPr>
      <t xml:space="preserve">3. Kies categorie </t>
    </r>
    <r>
      <rPr>
        <i/>
        <u/>
        <sz val="8"/>
        <color theme="1"/>
        <rFont val="Arial"/>
        <family val="2"/>
      </rPr>
      <t>D</t>
    </r>
    <r>
      <rPr>
        <u/>
        <sz val="8"/>
        <color theme="1"/>
        <rFont val="Arial"/>
        <family val="2"/>
      </rPr>
      <t>:</t>
    </r>
    <r>
      <rPr>
        <i/>
        <u/>
        <sz val="8"/>
        <color theme="1"/>
        <rFont val="Arial"/>
        <family val="2"/>
      </rPr>
      <t xml:space="preserve"> bedrijfsintern, grondstofsamenstelling.</t>
    </r>
  </si>
  <si>
    <r>
      <rPr>
        <sz val="8"/>
        <color theme="1"/>
        <rFont val="Arial"/>
        <family val="2"/>
      </rPr>
      <t xml:space="preserve">4. Laat bij de vraag </t>
    </r>
    <r>
      <rPr>
        <i/>
        <sz val="8"/>
        <color theme="1"/>
        <rFont val="Arial"/>
        <family val="2"/>
      </rPr>
      <t xml:space="preserve">Meenemen in correctie? </t>
    </r>
    <r>
      <rPr>
        <i/>
        <u/>
        <sz val="8"/>
        <color theme="1"/>
        <rFont val="Arial"/>
        <family val="2"/>
      </rPr>
      <t>Nee</t>
    </r>
    <r>
      <rPr>
        <sz val="8"/>
        <color theme="1"/>
        <rFont val="Arial"/>
        <family val="2"/>
      </rPr>
      <t xml:space="preserve"> aangevinkt staan (er is ook geen andere mogelijkheid). </t>
    </r>
  </si>
  <si>
    <r>
      <rPr>
        <sz val="8"/>
        <color theme="1"/>
        <rFont val="Arial"/>
        <family val="2"/>
      </rPr>
      <t xml:space="preserve">5. Vul het resultaat van cel G34 in en geef aan of het effect </t>
    </r>
    <r>
      <rPr>
        <i/>
        <sz val="8"/>
        <color theme="1"/>
        <rFont val="Arial"/>
        <family val="2"/>
      </rPr>
      <t xml:space="preserve">Besparend </t>
    </r>
    <r>
      <rPr>
        <sz val="8"/>
        <color theme="1"/>
        <rFont val="Arial"/>
        <family val="2"/>
      </rPr>
      <t xml:space="preserve">of </t>
    </r>
    <r>
      <rPr>
        <i/>
        <sz val="8"/>
        <color theme="1"/>
        <rFont val="Arial"/>
        <family val="2"/>
      </rPr>
      <t xml:space="preserve">Ontsparend </t>
    </r>
    <r>
      <rPr>
        <sz val="8"/>
        <color theme="1"/>
        <rFont val="Arial"/>
        <family val="2"/>
      </rPr>
      <t>is (zie cel H34).</t>
    </r>
  </si>
  <si>
    <t>Inkoop</t>
  </si>
  <si>
    <t>TOTAAL</t>
  </si>
  <si>
    <r>
      <rPr>
        <b/>
        <sz val="8"/>
        <color rgb="FF000000"/>
        <rFont val="Arial"/>
        <family val="2"/>
      </rPr>
      <t xml:space="preserve">(uit </t>
    </r>
    <r>
      <rPr>
        <b/>
        <i/>
        <sz val="8"/>
        <color rgb="FF000000"/>
        <rFont val="Arial"/>
        <family val="2"/>
      </rPr>
      <t>Projectinformatie)</t>
    </r>
  </si>
  <si>
    <t>TJp</t>
  </si>
  <si>
    <t>n.v.t.</t>
  </si>
  <si>
    <t>Energieafnemers</t>
  </si>
  <si>
    <t>Energieverbruik</t>
  </si>
  <si>
    <t>Energiekosten</t>
  </si>
  <si>
    <t xml:space="preserve"> </t>
  </si>
  <si>
    <t>Brander Witte Trommel</t>
  </si>
  <si>
    <t>Brander PR Trommel</t>
  </si>
  <si>
    <t xml:space="preserve">  </t>
  </si>
  <si>
    <t>Energiedrager</t>
  </si>
  <si>
    <t>Eenheid
0</t>
  </si>
  <si>
    <t>Primaire energie-inhoud</t>
  </si>
  <si>
    <t>Eenheid 1</t>
  </si>
  <si>
    <t>Primaire energie inhoud</t>
  </si>
  <si>
    <t>Eenheid 2</t>
  </si>
  <si>
    <t>CO2-em.fact.
1</t>
  </si>
  <si>
    <t>Eenheid 3</t>
  </si>
  <si>
    <t>CO2-em.fact.
2</t>
  </si>
  <si>
    <t>Eenheid 4</t>
  </si>
  <si>
    <t>Spec. gem. kosten</t>
  </si>
  <si>
    <t>Eenheid
5</t>
  </si>
  <si>
    <t>MJp / m3</t>
  </si>
  <si>
    <t>MJp / kg</t>
  </si>
  <si>
    <t>kg / m3</t>
  </si>
  <si>
    <t>kg / GJp</t>
  </si>
  <si>
    <t>Aardgascondensaat</t>
  </si>
  <si>
    <t>Afval (niet biogeen)</t>
  </si>
  <si>
    <t>Antraciet</t>
  </si>
  <si>
    <t>Biomassa vast</t>
  </si>
  <si>
    <t>Biomassa vloeibaar</t>
  </si>
  <si>
    <t>Bitumineuze leisteen</t>
  </si>
  <si>
    <t>Bruinkool</t>
  </si>
  <si>
    <t>Chemisch restgas</t>
  </si>
  <si>
    <t>Cokeskolen (basismetaal)</t>
  </si>
  <si>
    <t>Cokeskolen (cokeovens)</t>
  </si>
  <si>
    <t>Cokesoven/gascokes</t>
  </si>
  <si>
    <t>Cokesovengas</t>
  </si>
  <si>
    <t>kWh</t>
  </si>
  <si>
    <t>MJp / kWh</t>
  </si>
  <si>
    <t>kg / kWh</t>
  </si>
  <si>
    <t>Ethaan</t>
  </si>
  <si>
    <t>Fosforovengas</t>
  </si>
  <si>
    <t>Gas-/dieselolie</t>
  </si>
  <si>
    <t>l</t>
  </si>
  <si>
    <t>MJp / l</t>
  </si>
  <si>
    <t>kg / l</t>
  </si>
  <si>
    <t>Hoogovengas</t>
  </si>
  <si>
    <t>Industrieeel fermentatiegas</t>
  </si>
  <si>
    <t>Kerosine luchtvaart</t>
  </si>
  <si>
    <t>ton</t>
  </si>
  <si>
    <t>Koolmonoxide</t>
  </si>
  <si>
    <t>Leisteenolie</t>
  </si>
  <si>
    <t>LPG</t>
  </si>
  <si>
    <t>Methaan</t>
  </si>
  <si>
    <t>Motorbenzine</t>
  </si>
  <si>
    <t>Nafta's</t>
  </si>
  <si>
    <t>Orimulsion</t>
  </si>
  <si>
    <t>Overige bitumineuze steenkool</t>
  </si>
  <si>
    <t>Overige oliën</t>
  </si>
  <si>
    <t>Oxystaalovengas</t>
  </si>
  <si>
    <t>Petroleum</t>
  </si>
  <si>
    <t>Petroleumcokes</t>
  </si>
  <si>
    <t>Primaire energie</t>
  </si>
  <si>
    <t>TJ</t>
  </si>
  <si>
    <t>MJp / GJ</t>
  </si>
  <si>
    <t>kg / GJ</t>
  </si>
  <si>
    <t>Propaan</t>
  </si>
  <si>
    <t>Raffinaderij grondstoffen</t>
  </si>
  <si>
    <t>Raffinaderijgas</t>
  </si>
  <si>
    <t>Ruwe aardolie</t>
  </si>
  <si>
    <t>RWZI biogas</t>
  </si>
  <si>
    <t>Smeeroliën</t>
  </si>
  <si>
    <t>Steenkool- en bruinkoolbriketten</t>
  </si>
  <si>
    <t>Steenkoolcokes/cokes</t>
  </si>
  <si>
    <t>Stortgas</t>
  </si>
  <si>
    <t>Sub-bitumineuze kool</t>
  </si>
  <si>
    <t>Turf</t>
  </si>
  <si>
    <t>Warmte</t>
  </si>
  <si>
    <t>GJ</t>
  </si>
  <si>
    <t>Waterstof</t>
  </si>
  <si>
    <t>Zware stookolie</t>
  </si>
  <si>
    <t>Bij de omrekenening naar primaire energie is uitgegaan van de onderste verbrandingswaarde.</t>
  </si>
  <si>
    <t>Eenhedenconversie</t>
  </si>
  <si>
    <t>1 kWh =</t>
  </si>
  <si>
    <t>MJ</t>
  </si>
  <si>
    <t>1 MJ =</t>
  </si>
  <si>
    <t>1 kcal =</t>
  </si>
  <si>
    <t>kJ</t>
  </si>
  <si>
    <t>1 kJ =</t>
  </si>
  <si>
    <t>kcal</t>
  </si>
  <si>
    <t>1 kcal / h =</t>
  </si>
  <si>
    <t>W</t>
  </si>
  <si>
    <t>1 W =</t>
  </si>
  <si>
    <t>kcal / h</t>
  </si>
  <si>
    <t>Conversie Engelse (UK) en Amerikaanse (US) eenheden</t>
  </si>
  <si>
    <t>Lengte</t>
  </si>
  <si>
    <t>Symbool</t>
  </si>
  <si>
    <t xml:space="preserve">1 mil = </t>
  </si>
  <si>
    <t>m</t>
  </si>
  <si>
    <t>mil</t>
  </si>
  <si>
    <t>1 m =</t>
  </si>
  <si>
    <t>1 inch =</t>
  </si>
  <si>
    <t>m (= 2,54 cm)</t>
  </si>
  <si>
    <t>in</t>
  </si>
  <si>
    <t>1 cm =</t>
  </si>
  <si>
    <t>foot (= 12 in)</t>
  </si>
  <si>
    <t>ft</t>
  </si>
  <si>
    <t>1 yard (= 3 ft)</t>
  </si>
  <si>
    <t>yd</t>
  </si>
  <si>
    <t>mile (= 1760 yd) (Engelse landmijl)</t>
  </si>
  <si>
    <t>m (= 1,61 km)</t>
  </si>
  <si>
    <t>mi (Engelse landmijl)</t>
  </si>
  <si>
    <t>1 km =</t>
  </si>
  <si>
    <t>mi</t>
  </si>
  <si>
    <t>Oppervlakte</t>
  </si>
  <si>
    <t>1 acre =</t>
  </si>
  <si>
    <t>m2 (= 0,4 ha)</t>
  </si>
  <si>
    <t>acre</t>
  </si>
  <si>
    <t>1 hectare =</t>
  </si>
  <si>
    <t>1 sq.foot =</t>
  </si>
  <si>
    <t>m2</t>
  </si>
  <si>
    <t>sq.ft</t>
  </si>
  <si>
    <t>1 m2 =</t>
  </si>
  <si>
    <t>sq. ft</t>
  </si>
  <si>
    <t>Inhoud (UK)</t>
  </si>
  <si>
    <t>1 fluid ounce =</t>
  </si>
  <si>
    <t>m3 (= 28,4 cc)</t>
  </si>
  <si>
    <t>fl oz</t>
  </si>
  <si>
    <t>1 m3 =</t>
  </si>
  <si>
    <t>1 gallon (= 4 qt) =</t>
  </si>
  <si>
    <t>m3 (= 4,5 l)</t>
  </si>
  <si>
    <t>(UK) gal</t>
  </si>
  <si>
    <t>1 bushel (= 8 gal) =</t>
  </si>
  <si>
    <t>m3 (= 36,3 l)</t>
  </si>
  <si>
    <t>bu</t>
  </si>
  <si>
    <t>1 cubic foot =</t>
  </si>
  <si>
    <t>cu.ft</t>
  </si>
  <si>
    <t>cu. ft</t>
  </si>
  <si>
    <t>Inhoud (US, voor vloeistoffen)</t>
  </si>
  <si>
    <t>Naar boven</t>
  </si>
  <si>
    <t>m3 (= 29,6 cc)</t>
  </si>
  <si>
    <t>1 gallon (= 4 liq qt) =</t>
  </si>
  <si>
    <t>m3 (= 3,8 l)</t>
  </si>
  <si>
    <t>(US) gal</t>
  </si>
  <si>
    <t>1 barrel (= 42 gal) (petroleum) =</t>
  </si>
  <si>
    <t>bbl</t>
  </si>
  <si>
    <t>Inhoud (US, voor droge stoffen)</t>
  </si>
  <si>
    <t>1 dry pint =</t>
  </si>
  <si>
    <t>m3 (= 0,55 l)</t>
  </si>
  <si>
    <t>dry pt</t>
  </si>
  <si>
    <t>1 dry gallon (= 4 dry qt) =</t>
  </si>
  <si>
    <t>m3 (= 4,4 l)</t>
  </si>
  <si>
    <t>dry gal</t>
  </si>
  <si>
    <t>1 peck (= 2 dry gal) =</t>
  </si>
  <si>
    <t>m3 (= 8,8 l)</t>
  </si>
  <si>
    <t>pk</t>
  </si>
  <si>
    <t>1 bushel (= 4 peck) =</t>
  </si>
  <si>
    <t>m3 (= 35,3 l)</t>
  </si>
  <si>
    <t>Massa</t>
  </si>
  <si>
    <t>1 ounce (UK, US) (= 1/16 1b) =</t>
  </si>
  <si>
    <t>kg (= 28,3 g)</t>
  </si>
  <si>
    <t>oz</t>
  </si>
  <si>
    <t>1 kg =</t>
  </si>
  <si>
    <t>1 pound (UK, US) =</t>
  </si>
  <si>
    <t>lb</t>
  </si>
  <si>
    <t>1 hundredweight (US) (= 100 lb) =</t>
  </si>
  <si>
    <t>sh cwt</t>
  </si>
  <si>
    <t>1 long hundredweight (US) (= 112 lb) =</t>
  </si>
  <si>
    <t>long cwt</t>
  </si>
  <si>
    <t>1 hundredweight (UK) (= 112 lb) =</t>
  </si>
  <si>
    <t>(UK) cwt</t>
  </si>
  <si>
    <t>1 US ton = short ton (= 2000 lb) =</t>
  </si>
  <si>
    <t>US ton</t>
  </si>
  <si>
    <t>1 UK ton = long ton (US) (= 2240 lb) =</t>
  </si>
  <si>
    <t>UK ton</t>
  </si>
  <si>
    <t>Kracht, energie, vermogen, druk</t>
  </si>
  <si>
    <t>1 poundal =</t>
  </si>
  <si>
    <t>N</t>
  </si>
  <si>
    <t>pdl</t>
  </si>
  <si>
    <t>1 N =</t>
  </si>
  <si>
    <t>1 pound (kracht) =</t>
  </si>
  <si>
    <t>lbf</t>
  </si>
  <si>
    <t>1 horsepower (= 550 lbf / s) =</t>
  </si>
  <si>
    <t>kW</t>
  </si>
  <si>
    <t>hp</t>
  </si>
  <si>
    <t>1 kW =</t>
  </si>
  <si>
    <t>1 mm British Thermal Unit =</t>
  </si>
  <si>
    <t>mm BTU</t>
  </si>
  <si>
    <t>1 Ton of Refrigeration =</t>
  </si>
  <si>
    <t>BTU / h</t>
  </si>
  <si>
    <t>TR</t>
  </si>
  <si>
    <t>1 pound per sq. inch =</t>
  </si>
  <si>
    <t>Pa</t>
  </si>
  <si>
    <t>psi</t>
  </si>
  <si>
    <t>1 Pa =</t>
  </si>
  <si>
    <t>1 pound-foot =</t>
  </si>
  <si>
    <t>Nm</t>
  </si>
  <si>
    <t>1 Nm =</t>
  </si>
  <si>
    <t>Snelheid</t>
  </si>
  <si>
    <t>1 mile / hr (= 1,47 ft / s) =</t>
  </si>
  <si>
    <t>km / h</t>
  </si>
  <si>
    <t>mi / h</t>
  </si>
  <si>
    <t>1 km / h =</t>
  </si>
  <si>
    <t>1 knot (knoop) =</t>
  </si>
  <si>
    <t>zeemijl / h</t>
  </si>
  <si>
    <t>1 cycle per second =</t>
  </si>
  <si>
    <t>Hz</t>
  </si>
  <si>
    <t>c / s</t>
  </si>
  <si>
    <t>1 revolutions per minute =</t>
  </si>
  <si>
    <t>rpm</t>
  </si>
  <si>
    <t>1 Hz =</t>
  </si>
  <si>
    <t>Voorvoegsels</t>
  </si>
  <si>
    <t>Voorvoegsel</t>
  </si>
  <si>
    <r>
      <rPr>
        <b/>
        <sz val="8"/>
        <color rgb="FF000000"/>
        <rFont val="Arial"/>
        <family val="2"/>
      </rPr>
      <t>10</t>
    </r>
    <r>
      <rPr>
        <b/>
        <vertAlign val="superscript"/>
        <sz val="8"/>
        <color rgb="FF000000"/>
        <rFont val="Arial"/>
        <family val="2"/>
      </rPr>
      <t>n</t>
    </r>
  </si>
  <si>
    <t>Naam</t>
  </si>
  <si>
    <t>Decimaal equivalent</t>
  </si>
  <si>
    <t xml:space="preserve">yotta </t>
  </si>
  <si>
    <r>
      <rPr>
        <sz val="8"/>
        <color theme="1"/>
        <rFont val="Arial"/>
        <family val="2"/>
      </rPr>
      <t>10</t>
    </r>
    <r>
      <rPr>
        <vertAlign val="superscript"/>
        <sz val="8"/>
        <color rgb="FF000000"/>
        <rFont val="Arial"/>
        <family val="2"/>
      </rPr>
      <t>24</t>
    </r>
  </si>
  <si>
    <t xml:space="preserve">Y </t>
  </si>
  <si>
    <t xml:space="preserve">quadriljoen </t>
  </si>
  <si>
    <t xml:space="preserve">zetta </t>
  </si>
  <si>
    <r>
      <rPr>
        <sz val="8"/>
        <color theme="1"/>
        <rFont val="Arial"/>
        <family val="2"/>
      </rPr>
      <t>10</t>
    </r>
    <r>
      <rPr>
        <vertAlign val="superscript"/>
        <sz val="8"/>
        <color rgb="FF000000"/>
        <rFont val="Arial"/>
        <family val="2"/>
      </rPr>
      <t>21</t>
    </r>
  </si>
  <si>
    <t xml:space="preserve">Z </t>
  </si>
  <si>
    <t xml:space="preserve">triljard </t>
  </si>
  <si>
    <t xml:space="preserve">exa </t>
  </si>
  <si>
    <r>
      <rPr>
        <sz val="8"/>
        <color theme="1"/>
        <rFont val="Arial"/>
        <family val="2"/>
      </rPr>
      <t>10</t>
    </r>
    <r>
      <rPr>
        <vertAlign val="superscript"/>
        <sz val="8"/>
        <color rgb="FF000000"/>
        <rFont val="Arial"/>
        <family val="2"/>
      </rPr>
      <t>18</t>
    </r>
  </si>
  <si>
    <t xml:space="preserve">E </t>
  </si>
  <si>
    <t xml:space="preserve">triljoen </t>
  </si>
  <si>
    <t xml:space="preserve">peta </t>
  </si>
  <si>
    <r>
      <rPr>
        <sz val="8"/>
        <color theme="1"/>
        <rFont val="Arial"/>
        <family val="2"/>
      </rPr>
      <t>10</t>
    </r>
    <r>
      <rPr>
        <vertAlign val="superscript"/>
        <sz val="8"/>
        <color rgb="FF000000"/>
        <rFont val="Arial"/>
        <family val="2"/>
      </rPr>
      <t>15</t>
    </r>
  </si>
  <si>
    <t xml:space="preserve">P </t>
  </si>
  <si>
    <t xml:space="preserve">biljard </t>
  </si>
  <si>
    <t xml:space="preserve">tera </t>
  </si>
  <si>
    <r>
      <rPr>
        <sz val="8"/>
        <color theme="1"/>
        <rFont val="Arial"/>
        <family val="2"/>
      </rPr>
      <t>10</t>
    </r>
    <r>
      <rPr>
        <vertAlign val="superscript"/>
        <sz val="8"/>
        <color rgb="FF000000"/>
        <rFont val="Arial"/>
        <family val="2"/>
      </rPr>
      <t>12</t>
    </r>
  </si>
  <si>
    <t xml:space="preserve">T </t>
  </si>
  <si>
    <t xml:space="preserve">biljoen </t>
  </si>
  <si>
    <t xml:space="preserve">giga </t>
  </si>
  <si>
    <r>
      <rPr>
        <sz val="8"/>
        <color theme="1"/>
        <rFont val="Arial"/>
        <family val="2"/>
      </rPr>
      <t>10</t>
    </r>
    <r>
      <rPr>
        <vertAlign val="superscript"/>
        <sz val="8"/>
        <color rgb="FF000000"/>
        <rFont val="Arial"/>
        <family val="2"/>
      </rPr>
      <t>9</t>
    </r>
  </si>
  <si>
    <t xml:space="preserve">G </t>
  </si>
  <si>
    <t xml:space="preserve">miljard </t>
  </si>
  <si>
    <t xml:space="preserve">mega </t>
  </si>
  <si>
    <r>
      <rPr>
        <sz val="8"/>
        <color theme="1"/>
        <rFont val="Arial"/>
        <family val="2"/>
      </rPr>
      <t>10</t>
    </r>
    <r>
      <rPr>
        <vertAlign val="superscript"/>
        <sz val="8"/>
        <color rgb="FF000000"/>
        <rFont val="Arial"/>
        <family val="2"/>
      </rPr>
      <t>6</t>
    </r>
  </si>
  <si>
    <t xml:space="preserve">M </t>
  </si>
  <si>
    <t xml:space="preserve">miljoen </t>
  </si>
  <si>
    <t xml:space="preserve">kilo </t>
  </si>
  <si>
    <r>
      <rPr>
        <sz val="8"/>
        <color theme="1"/>
        <rFont val="Arial"/>
        <family val="2"/>
      </rPr>
      <t>10</t>
    </r>
    <r>
      <rPr>
        <vertAlign val="superscript"/>
        <sz val="8"/>
        <color rgb="FF000000"/>
        <rFont val="Arial"/>
        <family val="2"/>
      </rPr>
      <t>3</t>
    </r>
  </si>
  <si>
    <t xml:space="preserve">k </t>
  </si>
  <si>
    <t xml:space="preserve">duizend </t>
  </si>
  <si>
    <t xml:space="preserve">hecto </t>
  </si>
  <si>
    <r>
      <rPr>
        <sz val="8"/>
        <color theme="1"/>
        <rFont val="Arial"/>
        <family val="2"/>
      </rPr>
      <t>10</t>
    </r>
    <r>
      <rPr>
        <vertAlign val="superscript"/>
        <sz val="8"/>
        <color rgb="FF000000"/>
        <rFont val="Arial"/>
        <family val="2"/>
      </rPr>
      <t>2</t>
    </r>
  </si>
  <si>
    <t xml:space="preserve">h </t>
  </si>
  <si>
    <t xml:space="preserve">honderd </t>
  </si>
  <si>
    <t xml:space="preserve">deca </t>
  </si>
  <si>
    <r>
      <rPr>
        <sz val="8"/>
        <color theme="1"/>
        <rFont val="Arial"/>
        <family val="2"/>
      </rPr>
      <t>10</t>
    </r>
    <r>
      <rPr>
        <vertAlign val="superscript"/>
        <sz val="8"/>
        <color rgb="FF000000"/>
        <rFont val="Arial"/>
        <family val="2"/>
      </rPr>
      <t>1</t>
    </r>
  </si>
  <si>
    <t xml:space="preserve">da </t>
  </si>
  <si>
    <t xml:space="preserve">tien </t>
  </si>
  <si>
    <t xml:space="preserve">deci </t>
  </si>
  <si>
    <r>
      <rPr>
        <sz val="8"/>
        <color theme="1"/>
        <rFont val="Arial"/>
        <family val="2"/>
      </rPr>
      <t>10-</t>
    </r>
    <r>
      <rPr>
        <vertAlign val="superscript"/>
        <sz val="8"/>
        <color rgb="FF000000"/>
        <rFont val="Arial"/>
        <family val="2"/>
      </rPr>
      <t>1</t>
    </r>
  </si>
  <si>
    <t xml:space="preserve">d </t>
  </si>
  <si>
    <t xml:space="preserve">tiende </t>
  </si>
  <si>
    <t xml:space="preserve">centi </t>
  </si>
  <si>
    <r>
      <rPr>
        <sz val="8"/>
        <color theme="1"/>
        <rFont val="Arial"/>
        <family val="2"/>
      </rPr>
      <t>10-</t>
    </r>
    <r>
      <rPr>
        <vertAlign val="superscript"/>
        <sz val="8"/>
        <color rgb="FF000000"/>
        <rFont val="Arial"/>
        <family val="2"/>
      </rPr>
      <t>2</t>
    </r>
  </si>
  <si>
    <t xml:space="preserve">c </t>
  </si>
  <si>
    <t xml:space="preserve">honderdste </t>
  </si>
  <si>
    <t xml:space="preserve">milli </t>
  </si>
  <si>
    <r>
      <rPr>
        <sz val="8"/>
        <color theme="1"/>
        <rFont val="Arial"/>
        <family val="2"/>
      </rPr>
      <t>10-</t>
    </r>
    <r>
      <rPr>
        <vertAlign val="superscript"/>
        <sz val="8"/>
        <color rgb="FF000000"/>
        <rFont val="Arial"/>
        <family val="2"/>
      </rPr>
      <t>3</t>
    </r>
  </si>
  <si>
    <t xml:space="preserve">m </t>
  </si>
  <si>
    <t xml:space="preserve">duizendste </t>
  </si>
  <si>
    <t xml:space="preserve">micro </t>
  </si>
  <si>
    <r>
      <rPr>
        <sz val="8"/>
        <color theme="1"/>
        <rFont val="Arial"/>
        <family val="2"/>
      </rPr>
      <t>10-</t>
    </r>
    <r>
      <rPr>
        <vertAlign val="superscript"/>
        <sz val="8"/>
        <color rgb="FF000000"/>
        <rFont val="Arial"/>
        <family val="2"/>
      </rPr>
      <t>6</t>
    </r>
  </si>
  <si>
    <t xml:space="preserve">µ </t>
  </si>
  <si>
    <t xml:space="preserve">miljoenste </t>
  </si>
  <si>
    <t>0,000 001</t>
  </si>
  <si>
    <t xml:space="preserve">nano </t>
  </si>
  <si>
    <r>
      <rPr>
        <sz val="8"/>
        <color theme="1"/>
        <rFont val="Arial"/>
        <family val="2"/>
      </rPr>
      <t>10-</t>
    </r>
    <r>
      <rPr>
        <vertAlign val="superscript"/>
        <sz val="8"/>
        <color rgb="FF000000"/>
        <rFont val="Arial"/>
        <family val="2"/>
      </rPr>
      <t>9</t>
    </r>
  </si>
  <si>
    <t xml:space="preserve">n </t>
  </si>
  <si>
    <t xml:space="preserve">miljardste </t>
  </si>
  <si>
    <t>0,000 000 001</t>
  </si>
  <si>
    <t xml:space="preserve">pico </t>
  </si>
  <si>
    <r>
      <rPr>
        <sz val="8"/>
        <color theme="1"/>
        <rFont val="Arial"/>
        <family val="2"/>
      </rPr>
      <t>10</t>
    </r>
    <r>
      <rPr>
        <vertAlign val="superscript"/>
        <sz val="8"/>
        <color rgb="FF000000"/>
        <rFont val="Arial"/>
        <family val="2"/>
      </rPr>
      <t>-12</t>
    </r>
  </si>
  <si>
    <t xml:space="preserve">p </t>
  </si>
  <si>
    <t xml:space="preserve">biljoenste </t>
  </si>
  <si>
    <t>0,000 000 000 001</t>
  </si>
  <si>
    <t xml:space="preserve">femto </t>
  </si>
  <si>
    <r>
      <rPr>
        <sz val="8"/>
        <color theme="1"/>
        <rFont val="Arial"/>
        <family val="2"/>
      </rPr>
      <t>10</t>
    </r>
    <r>
      <rPr>
        <vertAlign val="superscript"/>
        <sz val="8"/>
        <color rgb="FF000000"/>
        <rFont val="Arial"/>
        <family val="2"/>
      </rPr>
      <t>-15</t>
    </r>
  </si>
  <si>
    <t xml:space="preserve">f </t>
  </si>
  <si>
    <t xml:space="preserve">biljardste </t>
  </si>
  <si>
    <t>0,000 000 000 000 001</t>
  </si>
  <si>
    <t xml:space="preserve">atto </t>
  </si>
  <si>
    <r>
      <rPr>
        <sz val="8"/>
        <color theme="1"/>
        <rFont val="Arial"/>
        <family val="2"/>
      </rPr>
      <t>10</t>
    </r>
    <r>
      <rPr>
        <vertAlign val="superscript"/>
        <sz val="8"/>
        <color rgb="FF000000"/>
        <rFont val="Arial"/>
        <family val="2"/>
      </rPr>
      <t>-18</t>
    </r>
  </si>
  <si>
    <t xml:space="preserve">a </t>
  </si>
  <si>
    <t xml:space="preserve">triljoenste </t>
  </si>
  <si>
    <t>0,000 000 000 000 000 001</t>
  </si>
  <si>
    <t xml:space="preserve">zepto </t>
  </si>
  <si>
    <r>
      <rPr>
        <sz val="8"/>
        <color theme="1"/>
        <rFont val="Arial"/>
        <family val="2"/>
      </rPr>
      <t>10</t>
    </r>
    <r>
      <rPr>
        <vertAlign val="superscript"/>
        <sz val="8"/>
        <color rgb="FF000000"/>
        <rFont val="Arial"/>
        <family val="2"/>
      </rPr>
      <t>-21</t>
    </r>
  </si>
  <si>
    <t xml:space="preserve">z </t>
  </si>
  <si>
    <t xml:space="preserve">triljardste </t>
  </si>
  <si>
    <t>0,000 000 000 000 000 000 001</t>
  </si>
  <si>
    <t xml:space="preserve">yocto </t>
  </si>
  <si>
    <r>
      <rPr>
        <sz val="8"/>
        <color theme="1"/>
        <rFont val="Arial"/>
        <family val="2"/>
      </rPr>
      <t>10</t>
    </r>
    <r>
      <rPr>
        <vertAlign val="superscript"/>
        <sz val="8"/>
        <color rgb="FF000000"/>
        <rFont val="Arial"/>
        <family val="2"/>
      </rPr>
      <t>-24</t>
    </r>
  </si>
  <si>
    <t xml:space="preserve">y </t>
  </si>
  <si>
    <t xml:space="preserve">quadriljoenste </t>
  </si>
  <si>
    <t>0,000 000 000 000 000 000 000 001</t>
  </si>
  <si>
    <t>Afgeleide SI-eenheden met eigen naam</t>
  </si>
  <si>
    <t>Grootheid</t>
  </si>
  <si>
    <t>Becquerel</t>
  </si>
  <si>
    <t>Bq</t>
  </si>
  <si>
    <t>(Radio)activiteit</t>
  </si>
  <si>
    <t>Coulomb</t>
  </si>
  <si>
    <t>C</t>
  </si>
  <si>
    <t>Elektrische lading</t>
  </si>
  <si>
    <t>Farad</t>
  </si>
  <si>
    <t>F</t>
  </si>
  <si>
    <t>Elektrische capaciteit</t>
  </si>
  <si>
    <t>Gray</t>
  </si>
  <si>
    <t>Gy</t>
  </si>
  <si>
    <t>Geabsorbeerde dosis energie</t>
  </si>
  <si>
    <t>Henry</t>
  </si>
  <si>
    <t>H</t>
  </si>
  <si>
    <t>Elektrische inductantie (permeantie)</t>
  </si>
  <si>
    <t>Hertz</t>
  </si>
  <si>
    <t>Frequentie</t>
  </si>
  <si>
    <t>Joule</t>
  </si>
  <si>
    <t>J</t>
  </si>
  <si>
    <t>Arbeid, energie, hoeveelheid warmte</t>
  </si>
  <si>
    <t>Lumen</t>
  </si>
  <si>
    <t>lm</t>
  </si>
  <si>
    <t>Lichtstroom</t>
  </si>
  <si>
    <t>Lux</t>
  </si>
  <si>
    <t>lx</t>
  </si>
  <si>
    <t>Verlichtingssterkte</t>
  </si>
  <si>
    <t>Newton</t>
  </si>
  <si>
    <t>Kracht</t>
  </si>
  <si>
    <t>Pascal</t>
  </si>
  <si>
    <t>Druk, spanning</t>
  </si>
  <si>
    <t>Siemens</t>
  </si>
  <si>
    <t>S</t>
  </si>
  <si>
    <t>Elektrische geleiding</t>
  </si>
  <si>
    <t>Sievert</t>
  </si>
  <si>
    <t>Sv</t>
  </si>
  <si>
    <t>Dosis equivalnent (biologisch stralingseffect kernfysica)</t>
  </si>
  <si>
    <t>Tesla</t>
  </si>
  <si>
    <t>T</t>
  </si>
  <si>
    <t>Magnetische inductie</t>
  </si>
  <si>
    <t>Volt</t>
  </si>
  <si>
    <t>V</t>
  </si>
  <si>
    <t>Elektrische spanning, potentiaal</t>
  </si>
  <si>
    <t>Watt</t>
  </si>
  <si>
    <t>Vermogen, energiestroom</t>
  </si>
  <si>
    <t>Weber</t>
  </si>
  <si>
    <t>Wb</t>
  </si>
  <si>
    <t>Magnetische flux</t>
  </si>
  <si>
    <t>Ohm</t>
  </si>
  <si>
    <t>O</t>
  </si>
  <si>
    <t>Elektrische weerstand</t>
  </si>
  <si>
    <t>Mechanica algemeen</t>
  </si>
  <si>
    <t>Toelichting</t>
  </si>
  <si>
    <t>Arbeid (energie)</t>
  </si>
  <si>
    <t>W, A</t>
  </si>
  <si>
    <t>= N m</t>
  </si>
  <si>
    <t>Dichtheid</t>
  </si>
  <si>
    <t>r</t>
  </si>
  <si>
    <t>Draaistoot</t>
  </si>
  <si>
    <t>D</t>
  </si>
  <si>
    <t>N m s</t>
  </si>
  <si>
    <t>Druk</t>
  </si>
  <si>
    <t>p</t>
  </si>
  <si>
    <t>= Pascal = N / m2</t>
  </si>
  <si>
    <t>Energie</t>
  </si>
  <si>
    <t>E (W, U)</t>
  </si>
  <si>
    <t>Energiedichtheid</t>
  </si>
  <si>
    <t>w</t>
  </si>
  <si>
    <t>J / m3</t>
  </si>
  <si>
    <t>Energiestroom = vermogen</t>
  </si>
  <si>
    <t>P</t>
  </si>
  <si>
    <t>= J / s</t>
  </si>
  <si>
    <t>Gewicht</t>
  </si>
  <si>
    <t>G</t>
  </si>
  <si>
    <t>Gravitatieveldsterkte</t>
  </si>
  <si>
    <t>g</t>
  </si>
  <si>
    <t>N / kg</t>
  </si>
  <si>
    <t>Hoeveelheid van beweging</t>
  </si>
  <si>
    <t>kg m / s</t>
  </si>
  <si>
    <t>Impuls (stoot)</t>
  </si>
  <si>
    <t>I</t>
  </si>
  <si>
    <t>N s</t>
  </si>
  <si>
    <t>Impulsmoment (hoev. draaiing)</t>
  </si>
  <si>
    <t>L</t>
  </si>
  <si>
    <t>kg m2 / s</t>
  </si>
  <si>
    <t>Koppel</t>
  </si>
  <si>
    <t>N m</t>
  </si>
  <si>
    <t>Massastroom</t>
  </si>
  <si>
    <r>
      <rPr>
        <i/>
        <sz val="8"/>
        <color rgb="FF000000"/>
        <rFont val="Arial"/>
        <family val="2"/>
      </rPr>
      <t>q</t>
    </r>
    <r>
      <rPr>
        <i/>
        <vertAlign val="subscript"/>
        <sz val="8"/>
        <color rgb="FF000000"/>
        <rFont val="Arial"/>
        <family val="2"/>
      </rPr>
      <t>m</t>
    </r>
  </si>
  <si>
    <t>kg / s</t>
  </si>
  <si>
    <t>Massastroomdichtheid</t>
  </si>
  <si>
    <t>kg /  m2 s</t>
  </si>
  <si>
    <t>Normaalspanning</t>
  </si>
  <si>
    <t>s</t>
  </si>
  <si>
    <t>= N / m2</t>
  </si>
  <si>
    <t>Relatieve dichtheid</t>
  </si>
  <si>
    <r>
      <rPr>
        <i/>
        <sz val="8"/>
        <color rgb="FF000000"/>
        <rFont val="Arial"/>
        <family val="2"/>
      </rPr>
      <t xml:space="preserve">d, </t>
    </r>
    <r>
      <rPr>
        <i/>
        <sz val="8"/>
        <color rgb="FF000000"/>
        <rFont val="Symbol"/>
        <family val="1"/>
        <charset val="2"/>
      </rPr>
      <t>r</t>
    </r>
    <r>
      <rPr>
        <i/>
        <vertAlign val="subscript"/>
        <sz val="8"/>
        <color rgb="FF000000"/>
        <rFont val="Arial"/>
        <family val="2"/>
      </rPr>
      <t>v</t>
    </r>
  </si>
  <si>
    <t>Schuifspanning</t>
  </si>
  <si>
    <t>t</t>
  </si>
  <si>
    <t>Soortelijke (specifieke) massa</t>
  </si>
  <si>
    <t>R</t>
  </si>
  <si>
    <t>Soortelijk (specifiek) volume</t>
  </si>
  <si>
    <t>v</t>
  </si>
  <si>
    <t>m3 / kg</t>
  </si>
  <si>
    <t>Traagheidsmoment</t>
  </si>
  <si>
    <t>J, I</t>
  </si>
  <si>
    <t>kg m2</t>
  </si>
  <si>
    <t>Wrijvingscoe¨fficie¨nt</t>
  </si>
  <si>
    <r>
      <rPr>
        <i/>
        <sz val="8"/>
        <color rgb="FF000000"/>
        <rFont val="Noto Sans Symbols"/>
      </rPr>
      <t>m</t>
    </r>
    <r>
      <rPr>
        <i/>
        <sz val="8"/>
        <color rgb="FF000000"/>
        <rFont val="Arial"/>
        <family val="2"/>
      </rPr>
      <t>, f</t>
    </r>
  </si>
  <si>
    <t>Zwaarteveldsterkte</t>
  </si>
  <si>
    <t xml:space="preserve"> = m / s2</t>
  </si>
  <si>
    <t>Warmte en thermodynamica</t>
  </si>
  <si>
    <t>Enthalpie</t>
  </si>
  <si>
    <t>Entropie</t>
  </si>
  <si>
    <t>J / K</t>
  </si>
  <si>
    <t>Hoeveelheid warmte</t>
  </si>
  <si>
    <t>Q</t>
  </si>
  <si>
    <t>Inwendige energie</t>
  </si>
  <si>
    <t>U, E</t>
  </si>
  <si>
    <t>Overgangsenergie</t>
  </si>
  <si>
    <t>Relatieve spanningscoëfficiënt</t>
  </si>
  <si>
    <r>
      <rPr>
        <i/>
        <sz val="8"/>
        <color rgb="FF000000"/>
        <rFont val="Noto Sans Symbols"/>
      </rPr>
      <t>b, a</t>
    </r>
    <r>
      <rPr>
        <i/>
        <vertAlign val="subscript"/>
        <sz val="8"/>
        <color rgb="FF000000"/>
        <rFont val="Arial"/>
        <family val="2"/>
      </rPr>
      <t>p</t>
    </r>
  </si>
  <si>
    <t>1 / K</t>
  </si>
  <si>
    <t>Soortelijke</t>
  </si>
  <si>
    <t>- enthalpie</t>
  </si>
  <si>
    <t>h</t>
  </si>
  <si>
    <t>J / kg K</t>
  </si>
  <si>
    <t>- entropie</t>
  </si>
  <si>
    <t>J / kg</t>
  </si>
  <si>
    <t>- inwendige</t>
  </si>
  <si>
    <t>u, e</t>
  </si>
  <si>
    <t>- overgangsenergie</t>
  </si>
  <si>
    <t>vrije energie</t>
  </si>
  <si>
    <t>f</t>
  </si>
  <si>
    <t>vrije enthalpie</t>
  </si>
  <si>
    <t>warmte (capaciteit)</t>
  </si>
  <si>
    <t>warmteverhouding</t>
  </si>
  <si>
    <t>g, k</t>
  </si>
  <si>
    <r>
      <rPr>
        <sz val="8"/>
        <color theme="1"/>
        <rFont val="Arial"/>
        <family val="2"/>
      </rPr>
      <t>= c</t>
    </r>
    <r>
      <rPr>
        <vertAlign val="subscript"/>
        <sz val="8"/>
        <color rgb="FF000000"/>
        <rFont val="Arial"/>
        <family val="2"/>
      </rPr>
      <t xml:space="preserve">p </t>
    </r>
    <r>
      <rPr>
        <sz val="8"/>
        <color theme="1"/>
        <rFont val="Arial"/>
        <family val="2"/>
      </rPr>
      <t>/ c</t>
    </r>
    <r>
      <rPr>
        <vertAlign val="subscript"/>
        <sz val="8"/>
        <color rgb="FF000000"/>
        <rFont val="Arial"/>
        <family val="2"/>
      </rPr>
      <t>v</t>
    </r>
  </si>
  <si>
    <t>Temperatuur (absolute)</t>
  </si>
  <si>
    <t>K</t>
  </si>
  <si>
    <t>Kelvin</t>
  </si>
  <si>
    <t>Temperatuurvereffeningscoëff.</t>
  </si>
  <si>
    <r>
      <rPr>
        <sz val="8"/>
        <color theme="1"/>
        <rFont val="Arial"/>
        <family val="2"/>
      </rPr>
      <t>m2</t>
    </r>
    <r>
      <rPr>
        <vertAlign val="superscript"/>
        <sz val="8"/>
        <color rgb="FF000000"/>
        <rFont val="Arial"/>
        <family val="2"/>
      </rPr>
      <t xml:space="preserve"> </t>
    </r>
    <r>
      <rPr>
        <sz val="8"/>
        <color theme="1"/>
        <rFont val="Arial"/>
        <family val="2"/>
      </rPr>
      <t>/ s</t>
    </r>
  </si>
  <si>
    <r>
      <rPr>
        <sz val="8"/>
        <color theme="1"/>
        <rFont val="Arial"/>
        <family val="2"/>
      </rPr>
      <t xml:space="preserve">= </t>
    </r>
    <r>
      <rPr>
        <sz val="8"/>
        <color rgb="FF000000"/>
        <rFont val="Symbol"/>
        <family val="1"/>
        <charset val="2"/>
      </rPr>
      <t xml:space="preserve">l  </t>
    </r>
    <r>
      <rPr>
        <sz val="8"/>
        <color theme="1"/>
        <rFont val="Arial"/>
        <family val="2"/>
      </rPr>
      <t xml:space="preserve">/ </t>
    </r>
    <r>
      <rPr>
        <sz val="8"/>
        <color rgb="FF000000"/>
        <rFont val="Symbol"/>
        <family val="1"/>
        <charset val="2"/>
      </rPr>
      <t>r</t>
    </r>
    <r>
      <rPr>
        <sz val="8"/>
        <color theme="1"/>
        <rFont val="Arial"/>
        <family val="2"/>
      </rPr>
      <t xml:space="preserve"> c</t>
    </r>
    <r>
      <rPr>
        <vertAlign val="subscript"/>
        <sz val="8"/>
        <color rgb="FF000000"/>
        <rFont val="Arial"/>
        <family val="2"/>
      </rPr>
      <t>p</t>
    </r>
  </si>
  <si>
    <t>Uitzettingscoëfficiënt (lineaire)</t>
  </si>
  <si>
    <t>a, l</t>
  </si>
  <si>
    <t>Uitzettingscoëfficiënt (kubieke)</t>
  </si>
  <si>
    <r>
      <rPr>
        <i/>
        <sz val="8"/>
        <color rgb="FF000000"/>
        <rFont val="Noto Sans Symbols"/>
      </rPr>
      <t>g, a</t>
    </r>
    <r>
      <rPr>
        <i/>
        <vertAlign val="subscript"/>
        <sz val="8"/>
        <color rgb="FF000000"/>
        <rFont val="Arial"/>
        <family val="2"/>
      </rPr>
      <t>V</t>
    </r>
  </si>
  <si>
    <t>Vermogen (thermisch)</t>
  </si>
  <si>
    <t>Vrije energie</t>
  </si>
  <si>
    <t>Vrije enthalpie</t>
  </si>
  <si>
    <t>- capaciteit</t>
  </si>
  <si>
    <t>- doorgangscoëfficiënt</t>
  </si>
  <si>
    <t>W / m2 K</t>
  </si>
  <si>
    <t>- geleiding</t>
  </si>
  <si>
    <t>W / K</t>
  </si>
  <si>
    <t>- geleidingscoe¨fficie¨nt</t>
  </si>
  <si>
    <t>W / m K</t>
  </si>
  <si>
    <t>- overdrachtscoe¨fficie¨nt</t>
  </si>
  <si>
    <r>
      <rPr>
        <i/>
        <sz val="8"/>
        <color rgb="FF000000"/>
        <rFont val="Noto Sans Symbols"/>
      </rPr>
      <t xml:space="preserve">a, </t>
    </r>
    <r>
      <rPr>
        <i/>
        <sz val="8"/>
        <color rgb="FF000000"/>
        <rFont val="Arial"/>
        <family val="2"/>
      </rPr>
      <t>h</t>
    </r>
  </si>
  <si>
    <t>- stroom</t>
  </si>
  <si>
    <t>- stroomdichtheid</t>
  </si>
  <si>
    <t>q</t>
  </si>
  <si>
    <t>W / m2</t>
  </si>
  <si>
    <t>- weerstand</t>
  </si>
  <si>
    <t>K / W</t>
  </si>
  <si>
    <t>Ruimte, tijd en periodieke verschijnselen</t>
  </si>
  <si>
    <t>Breedte</t>
  </si>
  <si>
    <t>Cirkelfrequentie hoeksnelheid</t>
  </si>
  <si>
    <t>o</t>
  </si>
  <si>
    <t>rad / s</t>
  </si>
  <si>
    <t>Compressibiliteit</t>
  </si>
  <si>
    <t>k</t>
  </si>
  <si>
    <t>1 / Pa</t>
  </si>
  <si>
    <t>Decrescentie (dempingscoëff.)</t>
  </si>
  <si>
    <t>d</t>
  </si>
  <si>
    <t>1 / s</t>
  </si>
  <si>
    <t>Diameter</t>
  </si>
  <si>
    <t>D, d</t>
  </si>
  <si>
    <t>Dikte</t>
  </si>
  <si>
    <r>
      <rPr>
        <i/>
        <sz val="8"/>
        <color rgb="FF000000"/>
        <rFont val="Arial"/>
        <family val="2"/>
      </rPr>
      <t xml:space="preserve">d, </t>
    </r>
    <r>
      <rPr>
        <i/>
        <sz val="8"/>
        <color rgb="FF000000"/>
        <rFont val="Symbol"/>
        <family val="1"/>
        <charset val="2"/>
      </rPr>
      <t>d</t>
    </r>
  </si>
  <si>
    <t>Fase, faseverschil</t>
  </si>
  <si>
    <t>j</t>
  </si>
  <si>
    <t>rad</t>
  </si>
  <si>
    <t>Fasecoëfficiënt</t>
  </si>
  <si>
    <t>1 / m</t>
  </si>
  <si>
    <t>= 1 / s</t>
  </si>
  <si>
    <t>Golfgetal = repetentie</t>
  </si>
  <si>
    <r>
      <rPr>
        <sz val="8"/>
        <color rgb="FF000000"/>
        <rFont val="Noto Sans Symbols"/>
      </rPr>
      <t xml:space="preserve">s </t>
    </r>
    <r>
      <rPr>
        <sz val="8"/>
        <color theme="1"/>
        <rFont val="Arial"/>
        <family val="2"/>
      </rPr>
      <t>= 1 /</t>
    </r>
    <r>
      <rPr>
        <sz val="8"/>
        <color rgb="FF000000"/>
        <rFont val="Symbol"/>
        <family val="1"/>
        <charset val="2"/>
      </rPr>
      <t xml:space="preserve"> l</t>
    </r>
  </si>
  <si>
    <t>Golflengte</t>
  </si>
  <si>
    <t>Hoek (vlakke)</t>
  </si>
  <si>
    <t>a, b, g, j</t>
  </si>
  <si>
    <t>Hoekversnelling</t>
  </si>
  <si>
    <t>rad / s2</t>
  </si>
  <si>
    <t>Hoogte</t>
  </si>
  <si>
    <t>A</t>
  </si>
  <si>
    <t>Periode</t>
  </si>
  <si>
    <t>Rotatiefrequentie</t>
  </si>
  <si>
    <t>n</t>
  </si>
  <si>
    <t>Ruimtehoek</t>
  </si>
  <si>
    <t>O, o</t>
  </si>
  <si>
    <t>sr</t>
  </si>
  <si>
    <t>u, v, w, c</t>
  </si>
  <si>
    <t>m / s</t>
  </si>
  <si>
    <t>Straal</t>
  </si>
  <si>
    <t>R, r</t>
  </si>
  <si>
    <t>Tijd</t>
  </si>
  <si>
    <t>Tijdconstante</t>
  </si>
  <si>
    <t>Versnelling</t>
  </si>
  <si>
    <t>m / s2</t>
  </si>
  <si>
    <t>Versnelling van de vrije val</t>
  </si>
  <si>
    <t>Volume (inhoud)</t>
  </si>
  <si>
    <t>Volumestroom</t>
  </si>
  <si>
    <r>
      <rPr>
        <i/>
        <sz val="8"/>
        <color rgb="FF000000"/>
        <rFont val="Arial"/>
        <family val="2"/>
      </rPr>
      <t>q</t>
    </r>
    <r>
      <rPr>
        <i/>
        <vertAlign val="subscript"/>
        <sz val="8"/>
        <color rgb="FF000000"/>
        <rFont val="Arial"/>
        <family val="2"/>
      </rPr>
      <t>v</t>
    </r>
  </si>
  <si>
    <t>m3 / s</t>
  </si>
  <si>
    <t>Voortplantingscoëfficiënt</t>
  </si>
  <si>
    <t>Weglengte</t>
  </si>
  <si>
    <t>Zandsamenstelling prestatiematen</t>
  </si>
  <si>
    <t>% brekerzand</t>
  </si>
  <si>
    <t>%natuurlijk zand</t>
  </si>
  <si>
    <t>Eindtemperatuur mineralen bij verschillende percentages AG.</t>
  </si>
  <si>
    <t>Maximum temperatuur mineralen (uit trommel) (50% AG)</t>
  </si>
  <si>
    <t>Minimum temperatuur mineralen (uit trommel) (geen AG)</t>
  </si>
  <si>
    <t>Temperatuurverhoging per % PR</t>
  </si>
  <si>
    <t>Afgastemperatuur en elektriciteitsverbruik in relatie tot het gemiddelde percentage AG in de totale productie.</t>
  </si>
  <si>
    <t>II</t>
  </si>
  <si>
    <t>III</t>
  </si>
  <si>
    <t>IV</t>
  </si>
  <si>
    <t>Totale asfalt productie (ton)</t>
  </si>
  <si>
    <t>Hoeveelheid AG materiaal (ton)</t>
  </si>
  <si>
    <t>Percentage AG op totaalproductie (%)</t>
  </si>
  <si>
    <t>Afgastemperatuur witte trommel (gr. C)</t>
  </si>
  <si>
    <t>Zuurstofpercentage (%)</t>
  </si>
  <si>
    <t xml:space="preserve">Verandering afgastemperatuur witte trommel (gr. C) </t>
  </si>
  <si>
    <t xml:space="preserve">Verandering zuurstofpercentage (%) </t>
  </si>
  <si>
    <t>Aantal productienachten</t>
  </si>
  <si>
    <t># / a</t>
  </si>
  <si>
    <t>Gecorrigeerde ingaande temperatuur</t>
  </si>
  <si>
    <t>Aantal productienachten per jaar</t>
  </si>
  <si>
    <t>Gecorrigeerde Tin (graden C.)</t>
  </si>
  <si>
    <t>Ideale gaswet</t>
  </si>
  <si>
    <t>mol / m3</t>
  </si>
  <si>
    <t>J / K / mol</t>
  </si>
  <si>
    <t>Samenstelling lucht</t>
  </si>
  <si>
    <t>O2</t>
  </si>
  <si>
    <t>N2</t>
  </si>
  <si>
    <t>H2O</t>
  </si>
  <si>
    <t>Massa O2</t>
  </si>
  <si>
    <t>Massa N2</t>
  </si>
  <si>
    <t>Massa H2O</t>
  </si>
  <si>
    <t>Samenstelling aardgas</t>
  </si>
  <si>
    <t>Rookgassen (stochiometrisch)</t>
  </si>
  <si>
    <t>Element</t>
  </si>
  <si>
    <t>kg element / m3 brandstof</t>
  </si>
  <si>
    <t>Benodigde hoeveelheid zuurstof (kg / m3 brandstof)</t>
  </si>
  <si>
    <t>Geproduceerde hoeveelheid water (kg / m3 brandstof)</t>
  </si>
  <si>
    <t>Benodigde verbrandingslucht (m3 / 3m aardgas)</t>
  </si>
  <si>
    <t>Molecuul</t>
  </si>
  <si>
    <t>Mol</t>
  </si>
  <si>
    <t>m3 rookgas</t>
  </si>
  <si>
    <t>CO2</t>
  </si>
  <si>
    <t>SO2</t>
  </si>
  <si>
    <t xml:space="preserve">Samenstelling bruinkool </t>
  </si>
  <si>
    <t>kg element / kg brandstof</t>
  </si>
  <si>
    <t>Benodigde hoeveelheid zuurstof (kg / kg brandstof)</t>
  </si>
  <si>
    <t>Geproduceerde hoeveelheid water (kg / kg brandstof)</t>
  </si>
  <si>
    <t>Benodigde verbrandingslucht (m3 / kg bruinkool)</t>
  </si>
  <si>
    <t xml:space="preserve">Samenstelling Gasolie </t>
  </si>
  <si>
    <t>Benodigde verbrandingslucht (m3 / kg gasolie)</t>
  </si>
  <si>
    <t>Brandstoftabel</t>
  </si>
  <si>
    <t>Totale hoeveelheid rookgassen  (m3 lucht / eenheid brandstof) (bij sochiometrische verbranding)</t>
  </si>
  <si>
    <t>Stookwaarde (bovenwaarde) (MJ / eenheid)</t>
  </si>
  <si>
    <t>Hoeveelheid vocht in verbrandingsgassen (kg / eenheid)</t>
  </si>
  <si>
    <t>Verwarmen bitumen tanks</t>
  </si>
  <si>
    <t>Punten</t>
  </si>
  <si>
    <t>Wat er nog meer wordt geregistreerd op energie meter</t>
  </si>
  <si>
    <t>Aanvoertemperatuur (graden Celsius)</t>
  </si>
  <si>
    <t>Doorlooptijd (weken)</t>
  </si>
  <si>
    <t>Kwaliteit van isolatie</t>
  </si>
  <si>
    <t>TOTAAL punten</t>
  </si>
  <si>
    <t>TOTAAL BRANDSTOFVERBRUIK (m3 aardgas / a)</t>
  </si>
  <si>
    <t>TOTAAL ENERGIEVERBRUIK (MJp / a)</t>
  </si>
  <si>
    <t>Type maatregel 1</t>
  </si>
  <si>
    <t>Variable name</t>
  </si>
  <si>
    <t>Worksheet name</t>
  </si>
  <si>
    <t>Button</t>
  </si>
  <si>
    <t>Button name old</t>
  </si>
  <si>
    <t>Button name new</t>
  </si>
  <si>
    <t>Macro name</t>
  </si>
  <si>
    <t>Zeker</t>
  </si>
  <si>
    <t>WS_Title</t>
  </si>
  <si>
    <t>Titel</t>
  </si>
  <si>
    <t>B_AddEmptyWorksheet</t>
  </si>
  <si>
    <t>Add empty worksheet</t>
  </si>
  <si>
    <t>Voeg lege maatregel toe</t>
  </si>
  <si>
    <t>StartAddEmptyWorksheet</t>
  </si>
  <si>
    <t>Voorwaardelijk</t>
  </si>
  <si>
    <t>WS_Linklist</t>
  </si>
  <si>
    <t>Links</t>
  </si>
  <si>
    <t>B_PreviousWorksheet</t>
  </si>
  <si>
    <t>Previous worksheet</t>
  </si>
  <si>
    <t>Vorig werkblad</t>
  </si>
  <si>
    <t>PreviousWorksheet</t>
  </si>
  <si>
    <t>Onzeker</t>
  </si>
  <si>
    <t>WS_Manual</t>
  </si>
  <si>
    <t>Handleiding</t>
  </si>
  <si>
    <t>B_AddNewMeasure</t>
  </si>
  <si>
    <t>Add new measure</t>
  </si>
  <si>
    <t>Voeg nieuwe maatregel toe</t>
  </si>
  <si>
    <t>StartAddNewMeasure</t>
  </si>
  <si>
    <t>WS_GPI</t>
  </si>
  <si>
    <t>Projectinformatie</t>
  </si>
  <si>
    <t>B_AddEnergyCarrier</t>
  </si>
  <si>
    <t>Add energy carrier</t>
  </si>
  <si>
    <t>Voeg energiedrager toe</t>
  </si>
  <si>
    <t>StartAddEnergyCarrier</t>
  </si>
  <si>
    <t>Type maatregel 2</t>
  </si>
  <si>
    <t>WS_Overview</t>
  </si>
  <si>
    <t xml:space="preserve">Overzicht </t>
  </si>
  <si>
    <t>B_RemoveEnergyCarrier</t>
  </si>
  <si>
    <t>Remove energy carrier</t>
  </si>
  <si>
    <t>Verwijder energiedrager</t>
  </si>
  <si>
    <t>StartRemoveEnergyCarrier</t>
  </si>
  <si>
    <t>PE</t>
  </si>
  <si>
    <t>WS_EnergyBalance</t>
  </si>
  <si>
    <t>Energiebalans</t>
  </si>
  <si>
    <t>B_AddProduct</t>
  </si>
  <si>
    <t>Add product</t>
  </si>
  <si>
    <t>Voeg product toe</t>
  </si>
  <si>
    <t>StartAddProduct</t>
  </si>
  <si>
    <t>KE</t>
  </si>
  <si>
    <t>WS_EnergyCarriers</t>
  </si>
  <si>
    <t>Energiedragers</t>
  </si>
  <si>
    <t>B_RemoveProduct</t>
  </si>
  <si>
    <t>Remove product</t>
  </si>
  <si>
    <t>Verwijder product</t>
  </si>
  <si>
    <t>StartRemoveProduct</t>
  </si>
  <si>
    <t>DE</t>
  </si>
  <si>
    <t>WS_Conversion</t>
  </si>
  <si>
    <t>Conversie</t>
  </si>
  <si>
    <t>B_DeleteMeasureInOverview</t>
  </si>
  <si>
    <t>Delete measure in overview</t>
  </si>
  <si>
    <t>Verwijder uit overzicht</t>
  </si>
  <si>
    <t>StartRemoveMeasureFromOverview</t>
  </si>
  <si>
    <t>WS_Currencies</t>
  </si>
  <si>
    <t>B_CopyTableComplete</t>
  </si>
  <si>
    <t>Copy table (complete)</t>
  </si>
  <si>
    <t>Kopieer tabel (compleet)</t>
  </si>
  <si>
    <t>CopyThisTable_Overview</t>
  </si>
  <si>
    <t>ENERGY_CARRIERS_SELECT</t>
  </si>
  <si>
    <t>R_MeasureNumber</t>
  </si>
  <si>
    <t>Overzicht energiebesparende maatregelen</t>
  </si>
  <si>
    <t>B_CopyTableOverview</t>
  </si>
  <si>
    <t>Copy table (overview)</t>
  </si>
  <si>
    <t>Kopieer tabel (overzicht)</t>
  </si>
  <si>
    <t>CopyThisTable_Overview_Table</t>
  </si>
  <si>
    <t>R_Remarks</t>
  </si>
  <si>
    <t>Opmerkingen</t>
  </si>
  <si>
    <t>B_ShowAll</t>
  </si>
  <si>
    <t>Show all</t>
  </si>
  <si>
    <t>Alles zichtbaar</t>
  </si>
  <si>
    <t>EverythingVisible</t>
  </si>
  <si>
    <t>R_GeneralWorksheets</t>
  </si>
  <si>
    <t>Algemene werkbladen</t>
  </si>
  <si>
    <t>B_FitsOn1A4</t>
  </si>
  <si>
    <t>Fits on 1 A4?</t>
  </si>
  <si>
    <t>Past op 1 A4?</t>
  </si>
  <si>
    <t>FitsoneA4</t>
  </si>
  <si>
    <t>R_AddedWorksheets</t>
  </si>
  <si>
    <t>Toegevoegde werkbladen</t>
  </si>
  <si>
    <t>B_HideRows</t>
  </si>
  <si>
    <t>Hide row(s)</t>
  </si>
  <si>
    <t>Verberg rij(en)</t>
  </si>
  <si>
    <t>HideRow</t>
  </si>
  <si>
    <t>T_AdditionalInformation</t>
  </si>
  <si>
    <t>Aanvullende informatie</t>
  </si>
  <si>
    <t>B_CopySummaryTable</t>
  </si>
  <si>
    <t>Copy summary table</t>
  </si>
  <si>
    <t>Kopieer samenvatting</t>
  </si>
  <si>
    <t>CopySummary</t>
  </si>
  <si>
    <t>T_DataSheet</t>
  </si>
  <si>
    <t>Datawerkblad</t>
  </si>
  <si>
    <t>B_CopyBothTables</t>
  </si>
  <si>
    <t>Copy both tables</t>
  </si>
  <si>
    <t>Kopieer beide tabellen</t>
  </si>
  <si>
    <t>CopyThisTable_Measure</t>
  </si>
  <si>
    <t>Charge-menginstallatie</t>
  </si>
  <si>
    <t>R_NewMeasures</t>
  </si>
  <si>
    <t>Nieuwe maatregelen</t>
  </si>
  <si>
    <t>B_CopyThisMeasure</t>
  </si>
  <si>
    <t>Copy this measure</t>
  </si>
  <si>
    <t>Kopieer deze maatregel</t>
  </si>
  <si>
    <t>StartCopyThisMeasure</t>
  </si>
  <si>
    <t>Toreninstallatie</t>
  </si>
  <si>
    <t>T_Total</t>
  </si>
  <si>
    <t>B_RemoveThisMeasure</t>
  </si>
  <si>
    <t>Remove this measure</t>
  </si>
  <si>
    <t>Verwijder deze maatregel</t>
  </si>
  <si>
    <t>StartRemoveStandardMeasure</t>
  </si>
  <si>
    <t>Drummixer</t>
  </si>
  <si>
    <t>T_AI</t>
  </si>
  <si>
    <t>_AI</t>
  </si>
  <si>
    <t>B_RenameThisMeasure</t>
  </si>
  <si>
    <t>Rename this measure</t>
  </si>
  <si>
    <t>Hernoem deze maatregel</t>
  </si>
  <si>
    <t>StartRenameMeasureWorksheet</t>
  </si>
  <si>
    <t>T_D</t>
  </si>
  <si>
    <t>_D</t>
  </si>
  <si>
    <t>B_AddMeasureToOverview</t>
  </si>
  <si>
    <t>Add measure to Overview</t>
  </si>
  <si>
    <t>Toevoegen aan overzicht</t>
  </si>
  <si>
    <t>AddMeasureToOverview</t>
  </si>
  <si>
    <t>Keuze Ja/Nee</t>
  </si>
  <si>
    <t>T_RemoveThisMeasure</t>
  </si>
  <si>
    <t>B_StandardiseMeasure</t>
  </si>
  <si>
    <t>Standardise measure</t>
  </si>
  <si>
    <t>Maak maatregel standaard</t>
  </si>
  <si>
    <t>DoNothingAfterClick</t>
  </si>
  <si>
    <t>Ja</t>
  </si>
  <si>
    <t>T_StandardiseMeasure</t>
  </si>
  <si>
    <t>B_DeleteRows</t>
  </si>
  <si>
    <t>Delete row(s)</t>
  </si>
  <si>
    <t>Verwijder rij(en)</t>
  </si>
  <si>
    <t>Nee</t>
  </si>
  <si>
    <t>T_AddRows</t>
  </si>
  <si>
    <t>B_AddRows</t>
  </si>
  <si>
    <t>Add row(s)</t>
  </si>
  <si>
    <t>Voeg rij(en) toe</t>
  </si>
  <si>
    <t>T_DeleteRows</t>
  </si>
  <si>
    <t>B_CopyMeasureTable2</t>
  </si>
  <si>
    <t>Copy measure table</t>
  </si>
  <si>
    <t>Keuze Ja/Nee/N.v.t.</t>
  </si>
  <si>
    <t>R_StandardMeasures</t>
  </si>
  <si>
    <t>Standaardmaatregelen</t>
  </si>
  <si>
    <t>B_CopyThisWorksheet</t>
  </si>
  <si>
    <t>Copy this worksheet</t>
  </si>
  <si>
    <t>Kopieer dit werkblad</t>
  </si>
  <si>
    <t>StartCopyThisWorksheet</t>
  </si>
  <si>
    <t>R_TotalEnergyConsumption</t>
  </si>
  <si>
    <t>B_RenameThisWorksheet</t>
  </si>
  <si>
    <t>Rename this worksheet</t>
  </si>
  <si>
    <t>Hernoemd dit werkblad</t>
  </si>
  <si>
    <t>R_AnnualEnergyConsumption</t>
  </si>
  <si>
    <t>B_RemoveThisWorksheet</t>
  </si>
  <si>
    <t>Remove this worksheet</t>
  </si>
  <si>
    <t>Verwijder dit werkblad</t>
  </si>
  <si>
    <t>StartRemoveEmptyWorksheet</t>
  </si>
  <si>
    <t>N.v.t.</t>
  </si>
  <si>
    <t>R_TotalAnnualCO2Emissions</t>
  </si>
  <si>
    <t>R_AnnualCO2Emissions</t>
  </si>
  <si>
    <t>Jaarlijkse CO2-emissies</t>
  </si>
  <si>
    <t>R_TotalAnnualEnergyCosts</t>
  </si>
  <si>
    <t>R_AnnualEnergyCosts</t>
  </si>
  <si>
    <t>R_SpecificDeliveryCosts</t>
  </si>
  <si>
    <t>R_ProductionData</t>
  </si>
  <si>
    <t>R_Total</t>
  </si>
  <si>
    <t>R_EnergyConsumption</t>
  </si>
  <si>
    <t>PRODUCT_SELECT</t>
  </si>
  <si>
    <t>R_ChosenEnergyCarriers</t>
  </si>
  <si>
    <t>Gekozen energiedragers</t>
  </si>
  <si>
    <t>R_UnitConversion</t>
  </si>
  <si>
    <t>R_ConversionUKUS</t>
  </si>
  <si>
    <t>Conversie UK en US</t>
  </si>
  <si>
    <t>ZOAB</t>
  </si>
  <si>
    <t>R_Prefixes</t>
  </si>
  <si>
    <t>R_DerivativeSI</t>
  </si>
  <si>
    <t>R_Mechanics</t>
  </si>
  <si>
    <t>R_HeatThermodynamics</t>
  </si>
  <si>
    <t>R_Spaceandtime</t>
  </si>
  <si>
    <t>TOTAL ENERGY CONSUMPTION</t>
  </si>
  <si>
    <t>R_InvolvedPersons</t>
  </si>
  <si>
    <t>Klik hier voor het invoeren van de betrokken personen.</t>
  </si>
  <si>
    <t>R_AdditionalInformation</t>
  </si>
  <si>
    <t>R_DataSheet</t>
  </si>
  <si>
    <t>TOTAL ENERGY COSTS</t>
  </si>
  <si>
    <t>R_Upwards</t>
  </si>
  <si>
    <t>R_OtherLinks</t>
  </si>
  <si>
    <t>Andere links</t>
  </si>
  <si>
    <t>T_ThirdLetterS</t>
  </si>
  <si>
    <t>LOCATIE</t>
  </si>
  <si>
    <t>T_ThirdLetterN</t>
  </si>
  <si>
    <t>buiten</t>
  </si>
  <si>
    <t>R_TotalProduction</t>
  </si>
  <si>
    <t>T_ProductionOf</t>
  </si>
  <si>
    <t>Jaarlijkse productie</t>
  </si>
  <si>
    <t>binnen</t>
  </si>
  <si>
    <t>T_Deviation_GPI_Overview1</t>
  </si>
  <si>
    <t>Let op. Het totale primaire energieverbruik op het werkblad "Projectinformatie" is gewijzigd. Hierdoor klopt de berekende EEV niet meer.</t>
  </si>
  <si>
    <t>T_Deviation_GPI_Overview2</t>
  </si>
  <si>
    <t>Let op. De totale energiekosten op het werkblad "Projectinformatie" zijn gewijzigd. Hierdoor klopt mogelijk de berekende financiële besparing niet meer.</t>
  </si>
  <si>
    <t>ITEMS</t>
  </si>
  <si>
    <t>T_Deviation_GPI_Overview3</t>
  </si>
  <si>
    <t>Let op. Het totale primaire energieverbruik en de totale energiekosten op het werkblad "Projectinformatie" zijn gewijzigd. Hierdoor klopt de EEV en (mogelijk) de berekende financiële besparing niet meer.</t>
  </si>
  <si>
    <t>T_Deviation_GPI_Overview4</t>
  </si>
  <si>
    <t>Gebruik de knop "Vernieuw overzicht" om de juiste waarden weer te geven.</t>
  </si>
  <si>
    <t>DBT_UF_ErrorMessage1</t>
  </si>
  <si>
    <t>Er is een fout opgetreden in producedure:</t>
  </si>
  <si>
    <t>DBT_UF_ErrorMessage2</t>
  </si>
  <si>
    <t>Foutnummer:</t>
  </si>
  <si>
    <t>DBT_UF_ErrorMessage3</t>
  </si>
  <si>
    <t>Foutomschrijving:</t>
  </si>
  <si>
    <t>AANVOERTEMPERATUUR</t>
  </si>
  <si>
    <t>DBT_UF_ErrorMessage4</t>
  </si>
  <si>
    <t>Schrijf de producedurenaam, foutnummer en fountomschrijving op of maak een screen shot en stuur een e-mail naar everts@beco.nl. Sluit de EBA zonder op te slaan!</t>
  </si>
  <si>
    <t>DOORLOOPTIJD</t>
  </si>
  <si>
    <t>ISOLATIE</t>
  </si>
  <si>
    <t>matig</t>
  </si>
  <si>
    <t>redelijk</t>
  </si>
  <si>
    <t>goed</t>
  </si>
  <si>
    <t>ISOLATIE2</t>
  </si>
  <si>
    <t>niet geisoleerd</t>
  </si>
  <si>
    <t>geisoleerd</t>
  </si>
  <si>
    <t>geisoleerd en omkast</t>
  </si>
  <si>
    <t>TOTAAL ELEKTRICITEITSVERBRUIK</t>
  </si>
  <si>
    <t>Ja / nee</t>
  </si>
  <si>
    <t>Huidige datum</t>
  </si>
  <si>
    <t>Licentiedatum</t>
  </si>
  <si>
    <t>Licentiecode na verlopen licentiedatum</t>
  </si>
  <si>
    <t>SDBP9IW32EW</t>
  </si>
  <si>
    <t>Aantal verleningen</t>
  </si>
  <si>
    <t>Verleningsperiode</t>
  </si>
  <si>
    <t>Licentiecode 0</t>
  </si>
  <si>
    <t>Licentiecode 1</t>
  </si>
  <si>
    <t>Licentiecode 2</t>
  </si>
  <si>
    <t>23098SDVSDG</t>
  </si>
  <si>
    <t>Licentiecode 3</t>
  </si>
  <si>
    <t>23098WSEDGL</t>
  </si>
  <si>
    <t>Licentiecode 4</t>
  </si>
  <si>
    <t>DLKJE30932</t>
  </si>
  <si>
    <t>Licentiecode 5</t>
  </si>
  <si>
    <t>SDGLKJSDG09</t>
  </si>
  <si>
    <t>Licentiecode 6</t>
  </si>
  <si>
    <t>23SEDGSDLBV</t>
  </si>
  <si>
    <t>Licentiecode 7</t>
  </si>
  <si>
    <t>23098SDGLKJ</t>
  </si>
  <si>
    <t>Licentiecode 8</t>
  </si>
  <si>
    <t>SDB098235R</t>
  </si>
  <si>
    <t>Licentiecode 9</t>
  </si>
  <si>
    <t>DFBLKJ3893</t>
  </si>
  <si>
    <t>Licentiecode 10</t>
  </si>
  <si>
    <t>LEKJTGLMN3098</t>
  </si>
  <si>
    <t>Licentiecode 11</t>
  </si>
  <si>
    <t>E89SDBVLKJ</t>
  </si>
  <si>
    <t>Licentiecode 12</t>
  </si>
  <si>
    <t>2309823LKJWE</t>
  </si>
  <si>
    <t>Licentiecode 13</t>
  </si>
  <si>
    <t>098SDGLKJ323T</t>
  </si>
  <si>
    <t>Licentiecode 14</t>
  </si>
  <si>
    <t>SEDGO980SDG</t>
  </si>
  <si>
    <t>Licentiecode 15</t>
  </si>
  <si>
    <t>235LKJWET098</t>
  </si>
  <si>
    <t>Licentiecode 16</t>
  </si>
  <si>
    <t>23LKNWEG098</t>
  </si>
  <si>
    <t>Licentiecode 17</t>
  </si>
  <si>
    <t>123LKNMEG098</t>
  </si>
  <si>
    <t>Licentiecode 18</t>
  </si>
  <si>
    <t>SEDG0-8923</t>
  </si>
  <si>
    <t>Licentiecode 19</t>
  </si>
  <si>
    <t>SDG0983LKJ</t>
  </si>
  <si>
    <t>Beheerderscode</t>
  </si>
  <si>
    <t>BECOBeheer123_[]</t>
  </si>
  <si>
    <t>Outside</t>
  </si>
  <si>
    <t>Combination or canopy within</t>
  </si>
  <si>
    <t>AC BIN/BASE</t>
  </si>
  <si>
    <t>AC SURF</t>
  </si>
  <si>
    <t>Jaarlijkse productie AC surf</t>
  </si>
  <si>
    <t>Jaarlijkse productie HRA</t>
  </si>
  <si>
    <t>Eindtemperatuur AG in witte trommel (bij geen parallel trommel)</t>
  </si>
  <si>
    <t>Kopie eerst:</t>
  </si>
  <si>
    <t>Kopie 2de van met parallel drum</t>
  </si>
  <si>
    <t>Checks!</t>
  </si>
  <si>
    <t>Parallel drum for reclaimed asphalt available</t>
  </si>
  <si>
    <t>Fuel type internal transport</t>
  </si>
  <si>
    <t>Internal transport</t>
  </si>
  <si>
    <t>Sand from river or pond</t>
  </si>
  <si>
    <t>Crushed Stone</t>
  </si>
  <si>
    <t>Insulation Dryer drum</t>
  </si>
  <si>
    <t>Fuel type for Dryer and PR drum</t>
  </si>
  <si>
    <t>Number of annual starts of dryer drum</t>
  </si>
  <si>
    <t>Energy consumption during recipe change for Dryer drum (MJp/product change)</t>
  </si>
  <si>
    <t>Dryer and parallel drum temperatures</t>
  </si>
  <si>
    <t>Evaporating moisture in minerals dryer drum</t>
  </si>
  <si>
    <t>This data is automatically determined in Table 1 based on the data entered in Table 2. In short, the following steps must be followed:</t>
  </si>
  <si>
    <t>HMA AC BIN/BASE</t>
  </si>
  <si>
    <t>HMA AG</t>
  </si>
  <si>
    <t>HMA AC SURF</t>
  </si>
  <si>
    <t>HMA SMA</t>
  </si>
  <si>
    <t>HMA PA</t>
  </si>
  <si>
    <t>HMA HRA</t>
  </si>
  <si>
    <t>WMA AC BIN/BASE</t>
  </si>
  <si>
    <t>WMA AC SURF</t>
  </si>
  <si>
    <t>WMA SMA</t>
  </si>
  <si>
    <t>WMA AG</t>
  </si>
  <si>
    <t>Jaarlijkse productie HMA AC BIN/BASE</t>
  </si>
  <si>
    <t>Jaarlijkse productie HMA AG</t>
  </si>
  <si>
    <t>Jaarlijkse productie HMA PA</t>
  </si>
  <si>
    <t>Jaarlijkse productie HMA SMA</t>
  </si>
  <si>
    <t>Jaarlijkse productie HMA HRA</t>
  </si>
  <si>
    <t>Jaarlijkse productie WMA AC BIN/BASE</t>
  </si>
  <si>
    <t>Jaarlijkse productie WMA SMA</t>
  </si>
  <si>
    <t>Jaarlijkse productie WMA AG</t>
  </si>
  <si>
    <t>Jaarlijkse productie HMA AC SURF</t>
  </si>
  <si>
    <t>BIND/BASE WMA</t>
  </si>
  <si>
    <t>SURF WMA</t>
  </si>
  <si>
    <t>SMA WMA</t>
  </si>
  <si>
    <t>Temperature drop from dryer drum to mixer for HMA (°C)</t>
  </si>
  <si>
    <t>Temperature drop from dryer drum to mixer for WMA (°C)</t>
  </si>
  <si>
    <t>HMA AC Bin/Base</t>
  </si>
  <si>
    <t>HMA AC Surf</t>
  </si>
  <si>
    <t>WMA AC Surf</t>
  </si>
  <si>
    <t>WMA AC Bin/Base</t>
  </si>
  <si>
    <t>Jaarlijkse productie WMA AC SURF</t>
  </si>
  <si>
    <t xml:space="preserve">Gemiddelde eindtemperatuur WMA AC BIND/BASE </t>
  </si>
  <si>
    <t>Gemiddelde eindtemperatuur WMA AC SURF</t>
  </si>
  <si>
    <t>Gemiddelde eindtemperatuur WMA SMA</t>
  </si>
  <si>
    <t>Gemiddelde temperatuur asfaltgranulaat WMA AC BIND/BASE</t>
  </si>
  <si>
    <t>Gemiddelde temperatuur asfaltgranulaat WMA AC SURF</t>
  </si>
  <si>
    <t>Gemiddelde temperatuur asfaltgranulaat WMA SMA</t>
  </si>
  <si>
    <t>Gemiddelde afgastemperatuur witte trommel WMA</t>
  </si>
  <si>
    <t>Gemiddelde afgastemperatuur witte trommel HMA</t>
  </si>
  <si>
    <t>Average flue gas temperature Dryer Drum HMA (°C)</t>
  </si>
  <si>
    <t>Average flue gas temperature Dryer Drum WMA (°C)</t>
  </si>
  <si>
    <t>AC BIN/BASE HMA zonder AG</t>
  </si>
  <si>
    <t>AC SURF HMA zonder AG</t>
  </si>
  <si>
    <t>SMA HMA zonder AG</t>
  </si>
  <si>
    <t>PA zonder AG</t>
  </si>
  <si>
    <t>HRA zonder AG</t>
  </si>
  <si>
    <t>AC BIN/BASE WMA zonder AG</t>
  </si>
  <si>
    <t>AC SURF WMA zonder AG</t>
  </si>
  <si>
    <t>SMA WMA zonder AG</t>
  </si>
  <si>
    <t>Natural gas (MJ)</t>
  </si>
  <si>
    <t>LPG (MJ)</t>
  </si>
  <si>
    <t>Recovered Fuel Oil (MJ)</t>
  </si>
  <si>
    <t>Diesel (MJ)</t>
  </si>
  <si>
    <t>MJ / ton asfalt</t>
  </si>
  <si>
    <r>
      <t>MJ</t>
    </r>
    <r>
      <rPr>
        <b/>
        <vertAlign val="superscript"/>
        <sz val="8"/>
        <color theme="1"/>
        <rFont val="Arial"/>
        <family val="2"/>
      </rPr>
      <t xml:space="preserve"> </t>
    </r>
    <r>
      <rPr>
        <b/>
        <sz val="8"/>
        <color theme="1"/>
        <rFont val="Arial"/>
        <family val="2"/>
      </rPr>
      <t>/ a</t>
    </r>
  </si>
  <si>
    <t>Number of bituminous mixture production changes per year</t>
  </si>
  <si>
    <t>Bituminous mixture production changes</t>
  </si>
  <si>
    <t>Average flue gas temperature parallel (RA) drum (°C)</t>
  </si>
  <si>
    <t>Temperature drop from parallel (RA) drum to mixer (°C)</t>
  </si>
  <si>
    <t>Total bituminous mixture production (tons/year)</t>
  </si>
  <si>
    <t>Production quantity of bituminous mixture in which RA is processed (tons/year)</t>
  </si>
  <si>
    <t>Temperature RA at exit of parallel drum (° C)</t>
  </si>
  <si>
    <t>Warming of minerals dryer drum</t>
  </si>
  <si>
    <t>Radiation dryer drum and parallel (RA) drum</t>
  </si>
  <si>
    <t>Aardgasverbruik (model) - gecorrigeerd</t>
  </si>
  <si>
    <t>Elektriciteitsverbruik (model) - gecorrigeerd</t>
  </si>
  <si>
    <t>Aardgasverbruik (MJ) - niet AG</t>
  </si>
  <si>
    <t>Aardgasverbruik (MJ) - AG</t>
  </si>
  <si>
    <t>Aardgasverbruik (MJ) - totaal</t>
  </si>
  <si>
    <t>Elektriciteitsverbruik (kWh) - niet AG</t>
  </si>
  <si>
    <t>Elektriciteitsverbruik (kWh) - AG</t>
  </si>
  <si>
    <t>Aardgas (MJ)</t>
  </si>
  <si>
    <t>Elektriciteit (kWh)</t>
  </si>
  <si>
    <t>Type AG</t>
  </si>
  <si>
    <t>Electricity (MJ)</t>
  </si>
  <si>
    <t>Electricity consumption (MJ)</t>
  </si>
  <si>
    <t>Electricity (MJ) consumption per ton</t>
  </si>
  <si>
    <t>Elektriciteitsverbruik (MJ)</t>
  </si>
  <si>
    <t>Zie tabblad Model_mixturespecific</t>
  </si>
  <si>
    <t>Heavy Fuel Oil (MJ)</t>
  </si>
  <si>
    <t>MJ nat. Gas</t>
  </si>
  <si>
    <t>MJ electricity</t>
  </si>
  <si>
    <t>Irish Energy Allocation model for PCR asphalt</t>
  </si>
  <si>
    <t>Estimate energy consumption bitumen infrastructure (MJ electricity)</t>
  </si>
  <si>
    <t>To use the EA model, the following annual data about the asphalt plant must be entered in the light blue cells on this tab:</t>
  </si>
  <si>
    <t>1) Total fuel and electricity consumption (MJ);</t>
  </si>
  <si>
    <t>2) Characteristics of the bitumen heating system, such as the throughput time of bitumen;</t>
  </si>
  <si>
    <t>4) Moisture content of the coarse aggregate, fine aggregate and reclaimed asphalt fractions;</t>
  </si>
  <si>
    <t>7) Dryer and parallel drum temperatures per bituminous mixture product.</t>
  </si>
  <si>
    <t>After filling in this data, the model provides the consumptions per process, EA factors, average consumptions per bituminous mixture product and a consumption per individual mixture based on the asphalt type and RA content. This is displayed in the 'Results' tab.</t>
  </si>
  <si>
    <t>6) Total amount of processed reclaimed asphalt (RA) per bituminous mixture product;</t>
  </si>
  <si>
    <t>5) Total production quantities per bituminous mixture product;</t>
  </si>
  <si>
    <t>3) Main features of the asphalt plant such as type of mixing plant, types of drum and their level of insulation;</t>
  </si>
  <si>
    <t>Main fuel used for heating of the Dryer (and PR) drum (MJ)</t>
  </si>
  <si>
    <t>Fuel used for internal transport (MJ)</t>
  </si>
  <si>
    <t>Total bituminous mixture production quantities &amp; quantity of reclaimed asphalt</t>
  </si>
  <si>
    <t>Enter the following information below, per bituminious mixture type:</t>
  </si>
  <si>
    <t>1) The total bituminous mixture production;</t>
  </si>
  <si>
    <t>2) The production quantity of bituminous mixture in which RA is processed;</t>
  </si>
  <si>
    <t>Bituminious mixture type</t>
  </si>
  <si>
    <t>The tab 'Help amounts' can be used to determine this data.</t>
  </si>
  <si>
    <t>Enter below, per mixture type, the average final temperature in the mixer and the temperature of RA at exit of parallel drum.</t>
  </si>
  <si>
    <t>In addition, the EA model shows the average consumption per bituminious mixture type, and a consumption per individual mixture can be determined on the basis of the type and reclaimed asphalt content</t>
  </si>
  <si>
    <t>The EA factors per bituminous mixture type are shown below. This concerns the bituminous mixture type-specific factors. The mixture specific factors can be determined as described in the PCR.</t>
  </si>
  <si>
    <t>Average consumption per bituminous mixture type</t>
  </si>
  <si>
    <t>The average gas and electricity consumption per bituminous mixture type per tonne is shown below, which is based on the average RA content per bituminous mixture type.</t>
  </si>
  <si>
    <t>Consumption bituminous mixtures</t>
  </si>
  <si>
    <t>Below, after entering the bituminous mixture type, reclaimed asphalt content, temperatures and moisture contents, a consumption of an individual mixture can be determined.</t>
  </si>
  <si>
    <t>With this tab, the total production quantities, quantity of bituminous mixture produced containing RA, and processed quantity of RA can be determined per asphalt type.</t>
  </si>
  <si>
    <t>1) Fill in the light blue cells in Table 2. The grey cells are calculated automatically. Information must be entered in these cells:</t>
  </si>
  <si>
    <t>b. For each product produced, the bituminous mixture type, production quantity and the % RA must be entered.</t>
  </si>
  <si>
    <t>% recyclaimed asphalt in product</t>
  </si>
  <si>
    <t>e. Copy the moisture content of the recycled filler as calculated and shown in column M cell 24 (marked yellow) to the relevant row in column C. The recycled filler does not have to be classified in a group.</t>
  </si>
  <si>
    <t>1) Fill in the light blue cells in Table 2. The grey cells are calculated automatically. Information must be entered in these cells about:</t>
  </si>
  <si>
    <t>Kerosene (MJ)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</si>
</sst>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0.0"/>
    <numFmt numFmtId="167" formatCode="0;\-0;"/>
    <numFmt numFmtId="168" formatCode="#,##0.000"/>
    <numFmt numFmtId="169" formatCode="0.000"/>
    <numFmt numFmtId="170" formatCode="0.0000"/>
    <numFmt numFmtId="171" formatCode="_-&quot;€&quot;\ * #,##0_-;_-&quot;€&quot;\ * #,##0\-;_-&quot;€&quot;\ * &quot;-&quot;_-;_-@"/>
    <numFmt numFmtId="172" formatCode="&quot;€&quot;\ #,##0"/>
    <numFmt numFmtId="173" formatCode="0.000E+00"/>
    <numFmt numFmtId="174" formatCode="0.00000"/>
    <numFmt numFmtId="175" formatCode="#,##0.00000"/>
    <numFmt numFmtId="176" formatCode="#,##0.0000"/>
    <numFmt numFmtId="177" formatCode="#,##0.000000"/>
    <numFmt numFmtId="178" formatCode="0.000000"/>
    <numFmt numFmtId="179" formatCode="_-* #,##0_-;_-* #,##0\-;_-* &quot;-&quot;??_-;_-@"/>
    <numFmt numFmtId="180" formatCode="#,##0.0000000"/>
  </numFmts>
  <fonts count="63">
    <font>
      <sz val="8"/>
      <color theme="1"/>
      <name val="Calibri"/>
      <scheme val="minor"/>
    </font>
    <font>
      <sz val="10"/>
      <color theme="1"/>
      <name val="Calibri"/>
      <family val="2"/>
    </font>
    <font>
      <b/>
      <sz val="32"/>
      <color theme="4"/>
      <name val="Calibri"/>
      <family val="2"/>
    </font>
    <font>
      <b/>
      <sz val="12"/>
      <color theme="4"/>
      <name val="Calibri"/>
      <family val="2"/>
    </font>
    <font>
      <i/>
      <sz val="10"/>
      <color rgb="FFFFFFFF"/>
      <name val="Calibri"/>
      <family val="2"/>
    </font>
    <font>
      <b/>
      <sz val="12"/>
      <color rgb="FF4472C4"/>
      <name val="Calibri"/>
      <family val="2"/>
    </font>
    <font>
      <u/>
      <sz val="10"/>
      <color theme="1"/>
      <name val="Calibri"/>
      <family val="2"/>
    </font>
    <font>
      <sz val="10"/>
      <color rgb="FF000000"/>
      <name val="Calibri"/>
      <family val="2"/>
    </font>
    <font>
      <sz val="10"/>
      <color rgb="FFFF0000"/>
      <name val="Calibri"/>
      <family val="2"/>
    </font>
    <font>
      <sz val="8"/>
      <color theme="1"/>
      <name val="Arial"/>
      <family val="2"/>
    </font>
    <font>
      <sz val="8"/>
      <color theme="1"/>
      <name val="Calibri"/>
      <family val="2"/>
    </font>
    <font>
      <b/>
      <sz val="8"/>
      <color theme="1"/>
      <name val="Arial"/>
      <family val="2"/>
    </font>
    <font>
      <sz val="8"/>
      <color theme="1"/>
      <name val="Calibri"/>
      <family val="2"/>
      <scheme val="minor"/>
    </font>
    <font>
      <sz val="10"/>
      <color rgb="FF7F7F7F"/>
      <name val="Calibri"/>
      <family val="2"/>
    </font>
    <font>
      <b/>
      <sz val="10"/>
      <color rgb="FF000000"/>
      <name val="Calibri"/>
      <family val="2"/>
    </font>
    <font>
      <i/>
      <sz val="10"/>
      <color rgb="FF000000"/>
      <name val="Calibri"/>
      <family val="2"/>
    </font>
    <font>
      <sz val="11"/>
      <color rgb="FF000000"/>
      <name val="Calibri"/>
      <family val="2"/>
    </font>
    <font>
      <sz val="11"/>
      <color rgb="FF7F7F7F"/>
      <name val="Calibri"/>
      <family val="2"/>
    </font>
    <font>
      <b/>
      <sz val="11"/>
      <color rgb="FF7F7F7F"/>
      <name val="Calibri"/>
      <family val="2"/>
    </font>
    <font>
      <i/>
      <sz val="9"/>
      <color rgb="FFFFFFFF"/>
      <name val="Calibri"/>
      <family val="2"/>
    </font>
    <font>
      <sz val="8"/>
      <name val="Calibri"/>
      <family val="2"/>
    </font>
    <font>
      <i/>
      <sz val="8"/>
      <color theme="1"/>
      <name val="Arial"/>
      <family val="2"/>
    </font>
    <font>
      <b/>
      <i/>
      <sz val="8"/>
      <color theme="1"/>
      <name val="Arial"/>
      <family val="2"/>
    </font>
    <font>
      <u/>
      <sz val="8"/>
      <color rgb="FF0000FF"/>
      <name val="Arial"/>
      <family val="2"/>
    </font>
    <font>
      <u/>
      <sz val="8"/>
      <color theme="6"/>
      <name val="Arial"/>
      <family val="2"/>
    </font>
    <font>
      <i/>
      <u/>
      <sz val="8"/>
      <color rgb="FF0000FF"/>
      <name val="Arial"/>
      <family val="2"/>
    </font>
    <font>
      <sz val="8"/>
      <color theme="0"/>
      <name val="Arial"/>
      <family val="2"/>
    </font>
    <font>
      <i/>
      <sz val="8"/>
      <color theme="0"/>
      <name val="Arial"/>
      <family val="2"/>
    </font>
    <font>
      <b/>
      <sz val="8"/>
      <color rgb="FF0000FF"/>
      <name val="Arial"/>
      <family val="2"/>
    </font>
    <font>
      <sz val="8"/>
      <color theme="9"/>
      <name val="Arial"/>
      <family val="2"/>
    </font>
    <font>
      <b/>
      <sz val="8"/>
      <color theme="9"/>
      <name val="Arial"/>
      <family val="2"/>
    </font>
    <font>
      <b/>
      <sz val="8"/>
      <color rgb="FFFF0000"/>
      <name val="Arial"/>
      <family val="2"/>
    </font>
    <font>
      <b/>
      <sz val="11"/>
      <color rgb="FF000000"/>
      <name val="Calibri"/>
      <family val="2"/>
    </font>
    <font>
      <sz val="8"/>
      <color rgb="FFFFFFFF"/>
      <name val="Arial"/>
      <family val="2"/>
    </font>
    <font>
      <b/>
      <sz val="8"/>
      <color theme="0"/>
      <name val="Arial"/>
      <family val="2"/>
    </font>
    <font>
      <b/>
      <sz val="8"/>
      <color rgb="FF000000"/>
      <name val="Arial"/>
      <family val="2"/>
    </font>
    <font>
      <b/>
      <i/>
      <sz val="8"/>
      <color rgb="FF000000"/>
      <name val="Arial"/>
      <family val="2"/>
    </font>
    <font>
      <sz val="8"/>
      <color rgb="FF000000"/>
      <name val="Arial"/>
      <family val="2"/>
    </font>
    <font>
      <b/>
      <sz val="8"/>
      <color rgb="FFFFFFFF"/>
      <name val="Arial"/>
      <family val="2"/>
    </font>
    <font>
      <b/>
      <i/>
      <sz val="8"/>
      <color rgb="FFFF0000"/>
      <name val="Arial"/>
      <family val="2"/>
    </font>
    <font>
      <i/>
      <sz val="8"/>
      <color rgb="FF000000"/>
      <name val="Arial"/>
      <family val="2"/>
    </font>
    <font>
      <i/>
      <sz val="8"/>
      <color rgb="FF000000"/>
      <name val="Noto Sans Symbols"/>
    </font>
    <font>
      <sz val="8"/>
      <color rgb="FF000000"/>
      <name val="Noto Sans Symbols"/>
    </font>
    <font>
      <sz val="10"/>
      <color theme="1"/>
      <name val="Arial"/>
      <family val="2"/>
    </font>
    <font>
      <b/>
      <vertAlign val="subscript"/>
      <sz val="8"/>
      <color theme="1"/>
      <name val="Arial"/>
      <family val="2"/>
    </font>
    <font>
      <i/>
      <vertAlign val="subscript"/>
      <sz val="8"/>
      <color theme="1"/>
      <name val="Arial"/>
      <family val="2"/>
    </font>
    <font>
      <vertAlign val="subscript"/>
      <sz val="8"/>
      <color theme="1"/>
      <name val="Arial"/>
      <family val="2"/>
    </font>
    <font>
      <b/>
      <vertAlign val="superscript"/>
      <sz val="8"/>
      <color theme="1"/>
      <name val="Arial"/>
      <family val="2"/>
    </font>
    <font>
      <vertAlign val="superscript"/>
      <sz val="8"/>
      <color theme="1"/>
      <name val="Arial"/>
      <family val="2"/>
    </font>
    <font>
      <i/>
      <u/>
      <sz val="8"/>
      <color theme="1"/>
      <name val="Arial"/>
      <family val="2"/>
    </font>
    <font>
      <u/>
      <sz val="8"/>
      <color theme="1"/>
      <name val="Arial"/>
      <family val="2"/>
    </font>
    <font>
      <b/>
      <vertAlign val="superscript"/>
      <sz val="8"/>
      <color rgb="FF000000"/>
      <name val="Arial"/>
      <family val="2"/>
    </font>
    <font>
      <vertAlign val="superscript"/>
      <sz val="8"/>
      <color rgb="FF000000"/>
      <name val="Arial"/>
      <family val="2"/>
    </font>
    <font>
      <i/>
      <vertAlign val="subscript"/>
      <sz val="8"/>
      <color rgb="FF000000"/>
      <name val="Arial"/>
      <family val="2"/>
    </font>
    <font>
      <i/>
      <sz val="8"/>
      <color rgb="FF000000"/>
      <name val="Symbol"/>
      <family val="1"/>
      <charset val="2"/>
    </font>
    <font>
      <vertAlign val="subscript"/>
      <sz val="8"/>
      <color rgb="FF000000"/>
      <name val="Arial"/>
      <family val="2"/>
    </font>
    <font>
      <sz val="8"/>
      <color rgb="FF000000"/>
      <name val="Symbol"/>
      <family val="1"/>
      <charset val="2"/>
    </font>
    <font>
      <sz val="10"/>
      <name val="Calibri"/>
      <family val="2"/>
    </font>
    <font>
      <sz val="8"/>
      <name val="Arial"/>
      <family val="2"/>
    </font>
    <font>
      <b/>
      <sz val="8"/>
      <color theme="1"/>
      <name val="Calibri"/>
      <family val="2"/>
      <scheme val="minor"/>
    </font>
    <font>
      <i/>
      <sz val="10"/>
      <color rgb="FFFF0000"/>
      <name val="Calibri"/>
      <family val="2"/>
    </font>
    <font>
      <sz val="8"/>
      <color rgb="FFFF0000"/>
      <name val="Arial"/>
      <family val="2"/>
    </font>
    <font>
      <sz val="8"/>
      <color rgb="FFFF0000"/>
      <name val="Calibri"/>
      <scheme val="minor"/>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A8D08D"/>
        <bgColor rgb="FFA8D08D"/>
      </patternFill>
    </fill>
    <fill>
      <patternFill patternType="solid">
        <fgColor rgb="FF072B49"/>
        <bgColor rgb="FF072B49"/>
      </patternFill>
    </fill>
    <fill>
      <patternFill patternType="solid">
        <fgColor rgb="FFE7E6E6"/>
        <bgColor rgb="FFE7E6E6"/>
      </patternFill>
    </fill>
    <fill>
      <patternFill patternType="solid">
        <fgColor rgb="FFC5E0B3"/>
        <bgColor rgb="FFC5E0B3"/>
      </patternFill>
    </fill>
    <fill>
      <patternFill patternType="solid">
        <fgColor rgb="FFDADADA"/>
        <bgColor rgb="FFDADADA"/>
      </patternFill>
    </fill>
    <fill>
      <patternFill patternType="solid">
        <fgColor rgb="FFDEEAF6"/>
        <bgColor rgb="FFDEEAF6"/>
      </patternFill>
    </fill>
    <fill>
      <patternFill patternType="solid">
        <fgColor rgb="FFECECEC"/>
        <bgColor rgb="FFECECEC"/>
      </patternFill>
    </fill>
    <fill>
      <patternFill patternType="solid">
        <fgColor rgb="FFFFFF00"/>
        <bgColor rgb="FFFFFF00"/>
      </patternFill>
    </fill>
    <fill>
      <patternFill patternType="solid">
        <fgColor rgb="FFFBE4D5"/>
        <bgColor rgb="FFFBE4D5"/>
      </patternFill>
    </fill>
    <fill>
      <patternFill patternType="solid">
        <fgColor rgb="FFC0C0C0"/>
        <bgColor rgb="FFC0C0C0"/>
      </patternFill>
    </fill>
    <fill>
      <patternFill patternType="solid">
        <fgColor rgb="FFFFFFCC"/>
        <bgColor rgb="FFFFFFCC"/>
      </patternFill>
    </fill>
    <fill>
      <patternFill patternType="solid">
        <fgColor rgb="FFCCFFCC"/>
        <bgColor rgb="FFCCFFCC"/>
      </patternFill>
    </fill>
    <fill>
      <patternFill patternType="solid">
        <fgColor theme="9"/>
        <bgColor theme="9"/>
      </patternFill>
    </fill>
    <fill>
      <patternFill patternType="solid">
        <fgColor theme="1"/>
        <bgColor theme="1"/>
      </patternFill>
    </fill>
    <fill>
      <patternFill patternType="solid">
        <fgColor rgb="FFFFCC99"/>
        <bgColor rgb="FFFFCC99"/>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bgColor rgb="FFDEEAF6"/>
      </patternFill>
    </fill>
  </fills>
  <borders count="18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style="thin">
        <color rgb="FFE7E6E6"/>
      </top>
      <bottom/>
      <diagonal/>
    </border>
    <border>
      <left style="thin">
        <color rgb="FFE7E6E6"/>
      </left>
      <right/>
      <top style="thin">
        <color rgb="FFE7E6E6"/>
      </top>
      <bottom style="thin">
        <color rgb="FFE7E6E6"/>
      </bottom>
      <diagonal/>
    </border>
    <border>
      <left/>
      <right style="thin">
        <color rgb="FFE7E6E6"/>
      </right>
      <top style="thin">
        <color rgb="FFE7E6E6"/>
      </top>
      <bottom style="thin">
        <color rgb="FFE7E6E6"/>
      </bottom>
      <diagonal/>
    </border>
    <border>
      <left style="thin">
        <color rgb="FFE7E6E6"/>
      </left>
      <right style="thin">
        <color rgb="FFE7E6E6"/>
      </right>
      <top/>
      <bottom style="thin">
        <color rgb="FFE7E6E6"/>
      </bottom>
      <diagonal/>
    </border>
    <border>
      <left style="thin">
        <color rgb="FFECECEC"/>
      </left>
      <right style="thin">
        <color rgb="FFECECEC"/>
      </right>
      <top style="thin">
        <color rgb="FFECECEC"/>
      </top>
      <bottom style="thin">
        <color rgb="FFECECEC"/>
      </bottom>
      <diagonal/>
    </border>
    <border>
      <left style="thin">
        <color rgb="FFECECEC"/>
      </left>
      <right style="thin">
        <color rgb="FFECECEC"/>
      </right>
      <top style="thin">
        <color rgb="FFECECEC"/>
      </top>
      <bottom/>
      <diagonal/>
    </border>
    <border>
      <left style="thin">
        <color rgb="FF000000"/>
      </left>
      <right/>
      <top style="thin">
        <color rgb="FF000000"/>
      </top>
      <bottom style="thin">
        <color theme="0"/>
      </bottom>
      <diagonal/>
    </border>
    <border>
      <left/>
      <right/>
      <top style="thin">
        <color rgb="FF000000"/>
      </top>
      <bottom style="thin">
        <color theme="0"/>
      </bottom>
      <diagonal/>
    </border>
    <border>
      <left/>
      <right style="thin">
        <color rgb="FF000000"/>
      </right>
      <top style="thin">
        <color rgb="FF000000"/>
      </top>
      <bottom style="thin">
        <color theme="0"/>
      </bottom>
      <diagonal/>
    </border>
    <border>
      <left style="thin">
        <color rgb="FF000000"/>
      </left>
      <right style="thin">
        <color rgb="FFFFFFFF"/>
      </right>
      <top style="thin">
        <color rgb="FFFFFFFF"/>
      </top>
      <bottom style="thin">
        <color rgb="FFFFFFFF"/>
      </bottom>
      <diagonal/>
    </border>
    <border>
      <left style="thin">
        <color rgb="FF000000"/>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000000"/>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000000"/>
      </left>
      <right style="thin">
        <color rgb="FFFFFFFF"/>
      </right>
      <top/>
      <bottom style="thin">
        <color rgb="FFFFFFFF"/>
      </bottom>
      <diagonal/>
    </border>
    <border>
      <left/>
      <right/>
      <top/>
      <bottom style="thin">
        <color rgb="FFFFFFFF"/>
      </bottom>
      <diagonal/>
    </border>
    <border>
      <left/>
      <right style="thin">
        <color rgb="FF000000"/>
      </right>
      <top/>
      <bottom style="thin">
        <color rgb="FFFFFFFF"/>
      </bottom>
      <diagonal/>
    </border>
    <border>
      <left/>
      <right/>
      <top style="thin">
        <color rgb="FFFFFFFF"/>
      </top>
      <bottom style="thin">
        <color rgb="FFFFFFFF"/>
      </bottom>
      <diagonal/>
    </border>
    <border>
      <left/>
      <right style="thin">
        <color rgb="FF000000"/>
      </right>
      <top style="thin">
        <color rgb="FFFFFFFF"/>
      </top>
      <bottom style="thin">
        <color rgb="FFFFFFFF"/>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000000"/>
      </right>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top style="thin">
        <color rgb="FFFFFFFF"/>
      </top>
      <bottom style="thin">
        <color rgb="FFFFFFFF"/>
      </bottom>
      <diagonal/>
    </border>
    <border>
      <left style="thin">
        <color theme="0"/>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FFFFFF"/>
      </right>
      <top style="thin">
        <color rgb="FFFFFFFF"/>
      </top>
      <bottom style="thin">
        <color rgb="FFA5A5A5"/>
      </bottom>
      <diagonal/>
    </border>
    <border>
      <left style="thin">
        <color rgb="FFFFFFFF"/>
      </left>
      <right style="thin">
        <color rgb="FFFFFFFF"/>
      </right>
      <top style="thin">
        <color rgb="FFFFFFFF"/>
      </top>
      <bottom style="thin">
        <color rgb="FFA5A5A5"/>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dotted">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bottom style="dotted">
        <color rgb="FF000000"/>
      </bottom>
      <diagonal/>
    </border>
    <border>
      <left/>
      <right style="dotted">
        <color rgb="FF000000"/>
      </right>
      <top/>
      <bottom style="dotted">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0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000000"/>
      </left>
      <right/>
      <top style="thin">
        <color theme="0"/>
      </top>
      <bottom style="thin">
        <color rgb="FF000000"/>
      </bottom>
      <diagonal/>
    </border>
    <border>
      <left/>
      <right/>
      <top style="thin">
        <color theme="0"/>
      </top>
      <bottom style="thin">
        <color rgb="FF000000"/>
      </bottom>
      <diagonal/>
    </border>
    <border>
      <left/>
      <right style="thin">
        <color theme="0"/>
      </right>
      <top style="thin">
        <color theme="0"/>
      </top>
      <bottom style="thin">
        <color rgb="FF000000"/>
      </bottom>
      <diagonal/>
    </border>
    <border>
      <left/>
      <right/>
      <top style="thin">
        <color rgb="FF000000"/>
      </top>
      <bottom style="medium">
        <color rgb="FF000000"/>
      </bottom>
      <diagonal/>
    </border>
    <border>
      <left style="thin">
        <color rgb="FF000000"/>
      </left>
      <right/>
      <top/>
      <bottom/>
      <diagonal/>
    </border>
    <border>
      <left style="thin">
        <color rgb="FF000000"/>
      </left>
      <right style="thin">
        <color rgb="FF7F7F7F"/>
      </right>
      <top/>
      <bottom style="thin">
        <color rgb="FF7F7F7F"/>
      </bottom>
      <diagonal/>
    </border>
    <border>
      <left/>
      <right/>
      <top/>
      <bottom style="thin">
        <color rgb="FF7F7F7F"/>
      </bottom>
      <diagonal/>
    </border>
    <border>
      <left style="thin">
        <color rgb="FF000000"/>
      </left>
      <right style="thin">
        <color rgb="FF7F7F7F"/>
      </right>
      <top style="thin">
        <color rgb="FF7F7F7F"/>
      </top>
      <bottom/>
      <diagonal/>
    </border>
    <border>
      <left style="thin">
        <color rgb="FF7F7F7F"/>
      </left>
      <right style="dotted">
        <color rgb="FFD8D8D8"/>
      </right>
      <top style="thin">
        <color rgb="FF7F7F7F"/>
      </top>
      <bottom/>
      <diagonal/>
    </border>
    <border>
      <left style="dotted">
        <color rgb="FFD8D8D8"/>
      </left>
      <right style="dotted">
        <color rgb="FFD8D8D8"/>
      </right>
      <top style="thin">
        <color rgb="FF7F7F7F"/>
      </top>
      <bottom/>
      <diagonal/>
    </border>
    <border>
      <left style="thin">
        <color rgb="FF000000"/>
      </left>
      <right style="thin">
        <color rgb="FF7F7F7F"/>
      </right>
      <top/>
      <bottom/>
      <diagonal/>
    </border>
    <border>
      <left style="thin">
        <color rgb="FF7F7F7F"/>
      </left>
      <right style="dotted">
        <color rgb="FFD8D8D8"/>
      </right>
      <top/>
      <bottom/>
      <diagonal/>
    </border>
    <border>
      <left style="dotted">
        <color rgb="FFD8D8D8"/>
      </left>
      <right style="dotted">
        <color rgb="FFD8D8D8"/>
      </right>
      <top/>
      <bottom/>
      <diagonal/>
    </border>
    <border>
      <left style="thin">
        <color rgb="FF7F7F7F"/>
      </left>
      <right style="dotted">
        <color rgb="FFD8D8D8"/>
      </right>
      <top/>
      <bottom style="dotted">
        <color rgb="FFD8D8D8"/>
      </bottom>
      <diagonal/>
    </border>
    <border>
      <left style="dotted">
        <color rgb="FFD8D8D8"/>
      </left>
      <right style="dotted">
        <color rgb="FFD8D8D8"/>
      </right>
      <top/>
      <bottom style="dotted">
        <color rgb="FFD8D8D8"/>
      </bottom>
      <diagonal/>
    </border>
    <border>
      <left style="dotted">
        <color rgb="FFD8D8D8"/>
      </left>
      <right style="dotted">
        <color rgb="FFD8D8D8"/>
      </right>
      <top style="dotted">
        <color rgb="FFD8D8D8"/>
      </top>
      <bottom style="dotted">
        <color rgb="FFD8D8D8"/>
      </bottom>
      <diagonal/>
    </border>
    <border>
      <left/>
      <right style="dotted">
        <color rgb="FFD8D8D8"/>
      </right>
      <top style="dotted">
        <color rgb="FFD8D8D8"/>
      </top>
      <bottom/>
      <diagonal/>
    </border>
    <border>
      <left style="dotted">
        <color rgb="FFD8D8D8"/>
      </left>
      <right style="dotted">
        <color rgb="FFD8D8D8"/>
      </right>
      <top style="dotted">
        <color rgb="FFD8D8D8"/>
      </top>
      <bottom/>
      <diagonal/>
    </border>
    <border>
      <left/>
      <right style="dotted">
        <color rgb="FFD8D8D8"/>
      </right>
      <top style="thin">
        <color rgb="FF7F7F7F"/>
      </top>
      <bottom/>
      <diagonal/>
    </border>
    <border>
      <left/>
      <right style="dotted">
        <color rgb="FFD8D8D8"/>
      </right>
      <top style="dotted">
        <color rgb="FFD8D8D8"/>
      </top>
      <bottom style="dotted">
        <color rgb="FFD8D8D8"/>
      </bottom>
      <diagonal/>
    </border>
    <border>
      <left/>
      <right style="dotted">
        <color rgb="FFD8D8D8"/>
      </right>
      <top/>
      <bottom/>
      <diagonal/>
    </border>
    <border>
      <left style="thin">
        <color rgb="FF000000"/>
      </left>
      <right style="thin">
        <color rgb="FF000000"/>
      </right>
      <top style="double">
        <color rgb="FF7F7F7F"/>
      </top>
      <bottom style="thin">
        <color rgb="FF000000"/>
      </bottom>
      <diagonal/>
    </border>
    <border>
      <left style="thin">
        <color rgb="FF000000"/>
      </left>
      <right style="dotted">
        <color rgb="FFD8D8D8"/>
      </right>
      <top/>
      <bottom style="thin">
        <color rgb="FF000000"/>
      </bottom>
      <diagonal/>
    </border>
    <border>
      <left/>
      <right style="dotted">
        <color rgb="FFD8D8D8"/>
      </right>
      <top/>
      <bottom style="thin">
        <color rgb="FF000000"/>
      </bottom>
      <diagonal/>
    </border>
    <border>
      <left style="thin">
        <color rgb="FF000000"/>
      </left>
      <right/>
      <top style="thin">
        <color rgb="FF7F7F7F"/>
      </top>
      <bottom style="dotted">
        <color rgb="FFBFBFBF"/>
      </bottom>
      <diagonal/>
    </border>
    <border>
      <left/>
      <right/>
      <top style="thin">
        <color rgb="FF7F7F7F"/>
      </top>
      <bottom style="dotted">
        <color rgb="FFBFBFBF"/>
      </bottom>
      <diagonal/>
    </border>
    <border>
      <left/>
      <right style="dotted">
        <color rgb="FFBFBFBF"/>
      </right>
      <top style="thin">
        <color rgb="FF7F7F7F"/>
      </top>
      <bottom style="dotted">
        <color rgb="FFBFBFBF"/>
      </bottom>
      <diagonal/>
    </border>
    <border>
      <left style="thin">
        <color rgb="FF000000"/>
      </left>
      <right/>
      <top style="dotted">
        <color rgb="FFBFBFBF"/>
      </top>
      <bottom/>
      <diagonal/>
    </border>
    <border>
      <left/>
      <right/>
      <top style="dotted">
        <color rgb="FFBFBFBF"/>
      </top>
      <bottom/>
      <diagonal/>
    </border>
    <border>
      <left/>
      <right style="dotted">
        <color rgb="FFBFBFBF"/>
      </right>
      <top style="dotted">
        <color rgb="FFBFBFBF"/>
      </top>
      <bottom/>
      <diagonal/>
    </border>
    <border>
      <left style="thin">
        <color rgb="FF000000"/>
      </left>
      <right/>
      <top style="double">
        <color rgb="FF7F7F7F"/>
      </top>
      <bottom/>
      <diagonal/>
    </border>
    <border>
      <left/>
      <right/>
      <top style="double">
        <color rgb="FF7F7F7F"/>
      </top>
      <bottom/>
      <diagonal/>
    </border>
    <border>
      <left/>
      <right style="dotted">
        <color rgb="FFBFBFBF"/>
      </right>
      <top style="double">
        <color rgb="FF7F7F7F"/>
      </top>
      <bottom/>
      <diagonal/>
    </border>
    <border>
      <left style="thin">
        <color rgb="FF000000"/>
      </left>
      <right/>
      <top style="dotted">
        <color rgb="FFD8D8D8"/>
      </top>
      <bottom style="thin">
        <color rgb="FF7F7F7F"/>
      </bottom>
      <diagonal/>
    </border>
    <border>
      <left/>
      <right/>
      <top style="dotted">
        <color rgb="FFD8D8D8"/>
      </top>
      <bottom style="thin">
        <color rgb="FF7F7F7F"/>
      </bottom>
      <diagonal/>
    </border>
    <border>
      <left/>
      <right style="dotted">
        <color rgb="FFBFBFBF"/>
      </right>
      <top style="dotted">
        <color rgb="FFD8D8D8"/>
      </top>
      <bottom style="thin">
        <color rgb="FF7F7F7F"/>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FFFFFF"/>
      </right>
      <top style="thin">
        <color rgb="FF000000"/>
      </top>
      <bottom style="thin">
        <color rgb="FFFFFFFF"/>
      </bottom>
      <diagonal/>
    </border>
    <border>
      <left style="thin">
        <color rgb="FFFFFFFF"/>
      </left>
      <right/>
      <top style="thin">
        <color rgb="FF000000"/>
      </top>
      <bottom style="thin">
        <color rgb="FFFFFFFF"/>
      </bottom>
      <diagonal/>
    </border>
    <border>
      <left style="thin">
        <color rgb="FF000000"/>
      </left>
      <right style="thin">
        <color rgb="FF000000"/>
      </right>
      <top style="thin">
        <color rgb="FF000000"/>
      </top>
      <bottom style="thin">
        <color rgb="FFFFFFFF"/>
      </bottom>
      <diagonal/>
    </border>
    <border>
      <left style="thin">
        <color rgb="FF000000"/>
      </left>
      <right style="thin">
        <color rgb="FF000000"/>
      </right>
      <top style="thin">
        <color rgb="FFFFFFFF"/>
      </top>
      <bottom style="thin">
        <color rgb="FFFFFFFF"/>
      </bottom>
      <diagonal/>
    </border>
    <border>
      <left/>
      <right style="thin">
        <color rgb="FFFFFFFF"/>
      </right>
      <top style="thin">
        <color rgb="FFFFFFFF"/>
      </top>
      <bottom style="thin">
        <color rgb="FF000000"/>
      </bottom>
      <diagonal/>
    </border>
    <border>
      <left style="thin">
        <color rgb="FF000000"/>
      </left>
      <right style="thin">
        <color rgb="FF000000"/>
      </right>
      <top style="thin">
        <color rgb="FFFFFFFF"/>
      </top>
      <bottom style="thin">
        <color rgb="FF000000"/>
      </bottom>
      <diagonal/>
    </border>
    <border>
      <left/>
      <right style="thin">
        <color rgb="FFFFFFFF"/>
      </right>
      <top/>
      <bottom style="thin">
        <color rgb="FFFFFFFF"/>
      </bottom>
      <diagonal/>
    </border>
    <border>
      <left style="thin">
        <color rgb="FFFFFFFF"/>
      </left>
      <right/>
      <top/>
      <bottom style="thin">
        <color rgb="FFFFFFFF"/>
      </bottom>
      <diagonal/>
    </border>
    <border>
      <left style="thin">
        <color rgb="FF000000"/>
      </left>
      <right style="thin">
        <color rgb="FF000000"/>
      </right>
      <top/>
      <bottom style="thin">
        <color rgb="FFFFFFFF"/>
      </bottom>
      <diagonal/>
    </border>
    <border>
      <left style="thin">
        <color rgb="FF000000"/>
      </left>
      <right/>
      <top style="thin">
        <color rgb="FF000000"/>
      </top>
      <bottom style="thin">
        <color rgb="FFFFFFFF"/>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right style="thin">
        <color rgb="FF969696"/>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ECECEC"/>
      </right>
      <top style="thin">
        <color rgb="FFECECEC"/>
      </top>
      <bottom style="thin">
        <color rgb="FFECECEC"/>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medium">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rgb="FF7F7F7F"/>
      </top>
      <bottom style="dotted">
        <color rgb="FFD8D8D8"/>
      </bottom>
      <diagonal/>
    </border>
    <border>
      <left style="thin">
        <color indexed="64"/>
      </left>
      <right style="thin">
        <color indexed="64"/>
      </right>
      <top style="dotted">
        <color rgb="FFD8D8D8"/>
      </top>
      <bottom style="dotted">
        <color rgb="FFD8D8D8"/>
      </bottom>
      <diagonal/>
    </border>
    <border>
      <left style="thin">
        <color indexed="64"/>
      </left>
      <right style="thin">
        <color indexed="64"/>
      </right>
      <top style="dotted">
        <color rgb="FFD8D8D8"/>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medium">
        <color rgb="FF000000"/>
      </top>
      <bottom/>
      <diagonal/>
    </border>
    <border>
      <left style="thin">
        <color indexed="64"/>
      </left>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s>
  <cellStyleXfs count="1">
    <xf numFmtId="0" fontId="0" fillId="0" borderId="0"/>
  </cellStyleXfs>
  <cellXfs count="791">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top"/>
    </xf>
    <xf numFmtId="0" fontId="2" fillId="2" borderId="1" xfId="0" applyFont="1" applyFill="1" applyBorder="1" applyAlignment="1">
      <alignment vertical="top"/>
    </xf>
    <xf numFmtId="0" fontId="3" fillId="2" borderId="1" xfId="0" applyFont="1" applyFill="1" applyBorder="1" applyAlignment="1">
      <alignment vertical="center"/>
    </xf>
    <xf numFmtId="0" fontId="1" fillId="3" borderId="1" xfId="0" applyFont="1" applyFill="1" applyBorder="1" applyAlignment="1">
      <alignment vertical="center"/>
    </xf>
    <xf numFmtId="0" fontId="1" fillId="0" borderId="0" xfId="0" applyFont="1" applyAlignment="1">
      <alignment vertical="center"/>
    </xf>
    <xf numFmtId="0" fontId="1" fillId="4" borderId="1" xfId="0" applyFont="1" applyFill="1" applyBorder="1" applyAlignment="1">
      <alignment vertical="center"/>
    </xf>
    <xf numFmtId="0" fontId="4" fillId="5" borderId="2" xfId="0" applyFont="1" applyFill="1" applyBorder="1" applyAlignment="1">
      <alignment vertical="center" wrapText="1"/>
    </xf>
    <xf numFmtId="0" fontId="4" fillId="2" borderId="1" xfId="0" applyFont="1" applyFill="1" applyBorder="1" applyAlignment="1">
      <alignment vertical="center" wrapText="1"/>
    </xf>
    <xf numFmtId="0" fontId="1" fillId="0" borderId="2" xfId="0" applyFont="1" applyBorder="1" applyAlignment="1">
      <alignment vertical="center"/>
    </xf>
    <xf numFmtId="0" fontId="1" fillId="6" borderId="2" xfId="0" applyFont="1" applyFill="1" applyBorder="1" applyAlignment="1">
      <alignment vertical="center"/>
    </xf>
    <xf numFmtId="3" fontId="1" fillId="2" borderId="1" xfId="0" applyNumberFormat="1" applyFont="1" applyFill="1" applyBorder="1" applyAlignment="1">
      <alignment horizontal="left" vertical="center"/>
    </xf>
    <xf numFmtId="0" fontId="5" fillId="2" borderId="1" xfId="0" applyFont="1" applyFill="1" applyBorder="1" applyAlignment="1">
      <alignment vertical="center"/>
    </xf>
    <xf numFmtId="0" fontId="1" fillId="2" borderId="2" xfId="0" applyFont="1" applyFill="1" applyBorder="1" applyAlignment="1">
      <alignment vertical="center"/>
    </xf>
    <xf numFmtId="0" fontId="6" fillId="2" borderId="1" xfId="0" applyFont="1" applyFill="1" applyBorder="1" applyAlignment="1">
      <alignment vertical="center"/>
    </xf>
    <xf numFmtId="10" fontId="1" fillId="2" borderId="1" xfId="0" applyNumberFormat="1" applyFont="1" applyFill="1" applyBorder="1" applyAlignment="1">
      <alignment horizontal="left" vertical="center"/>
    </xf>
    <xf numFmtId="0" fontId="7" fillId="2" borderId="2" xfId="0" applyFont="1" applyFill="1" applyBorder="1" applyAlignment="1">
      <alignment vertical="center"/>
    </xf>
    <xf numFmtId="0" fontId="7" fillId="6" borderId="2" xfId="0" applyFont="1" applyFill="1" applyBorder="1" applyAlignment="1">
      <alignment vertical="center"/>
    </xf>
    <xf numFmtId="3" fontId="4" fillId="5" borderId="2" xfId="0" applyNumberFormat="1" applyFont="1" applyFill="1" applyBorder="1" applyAlignment="1">
      <alignment horizontal="left" vertical="center" wrapText="1"/>
    </xf>
    <xf numFmtId="166" fontId="4" fillId="2" borderId="1" xfId="0" applyNumberFormat="1" applyFont="1" applyFill="1" applyBorder="1" applyAlignment="1">
      <alignment horizontal="left" vertical="center" wrapText="1"/>
    </xf>
    <xf numFmtId="0" fontId="4" fillId="5" borderId="2" xfId="0" applyFont="1" applyFill="1" applyBorder="1" applyAlignment="1">
      <alignment horizontal="left" vertical="center" wrapText="1"/>
    </xf>
    <xf numFmtId="0" fontId="8" fillId="2" borderId="1" xfId="0" applyFont="1" applyFill="1" applyBorder="1" applyAlignment="1">
      <alignment vertical="center"/>
    </xf>
    <xf numFmtId="0" fontId="9" fillId="2" borderId="1"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4" fontId="7" fillId="7" borderId="2" xfId="0" applyNumberFormat="1" applyFont="1" applyFill="1" applyBorder="1" applyAlignment="1">
      <alignment horizontal="left" vertical="center"/>
    </xf>
    <xf numFmtId="165" fontId="7" fillId="7" borderId="2" xfId="0" applyNumberFormat="1" applyFont="1" applyFill="1" applyBorder="1" applyAlignment="1">
      <alignment horizontal="left" vertical="center"/>
    </xf>
    <xf numFmtId="0" fontId="1" fillId="2" borderId="1" xfId="0" applyFont="1" applyFill="1" applyBorder="1"/>
    <xf numFmtId="0" fontId="1" fillId="2" borderId="1" xfId="0" applyFont="1" applyFill="1" applyBorder="1" applyAlignment="1">
      <alignment horizontal="left"/>
    </xf>
    <xf numFmtId="164" fontId="1" fillId="2" borderId="1" xfId="0" applyNumberFormat="1" applyFont="1" applyFill="1" applyBorder="1" applyAlignment="1">
      <alignment horizontal="left"/>
    </xf>
    <xf numFmtId="0" fontId="5" fillId="0" borderId="0" xfId="0" applyFont="1" applyAlignment="1">
      <alignment vertical="center"/>
    </xf>
    <xf numFmtId="0" fontId="10" fillId="2" borderId="1" xfId="0" applyFont="1" applyFill="1" applyBorder="1"/>
    <xf numFmtId="166" fontId="1" fillId="8" borderId="3" xfId="0" applyNumberFormat="1" applyFont="1" applyFill="1" applyBorder="1" applyAlignment="1">
      <alignment horizontal="left"/>
    </xf>
    <xf numFmtId="0" fontId="11" fillId="0" borderId="0" xfId="0" applyFont="1"/>
    <xf numFmtId="0" fontId="12" fillId="0" borderId="0" xfId="0" applyFont="1"/>
    <xf numFmtId="49" fontId="9" fillId="0" borderId="0" xfId="0" applyNumberFormat="1" applyFont="1"/>
    <xf numFmtId="0" fontId="7" fillId="2" borderId="1" xfId="0" applyFont="1" applyFill="1" applyBorder="1"/>
    <xf numFmtId="0" fontId="7" fillId="2" borderId="1" xfId="0" applyFont="1" applyFill="1" applyBorder="1" applyAlignment="1">
      <alignment horizontal="left"/>
    </xf>
    <xf numFmtId="0" fontId="13" fillId="2" borderId="1" xfId="0" applyFont="1" applyFill="1" applyBorder="1"/>
    <xf numFmtId="164" fontId="1" fillId="7" borderId="2" xfId="0" applyNumberFormat="1" applyFont="1" applyFill="1" applyBorder="1"/>
    <xf numFmtId="0" fontId="7" fillId="8" borderId="8" xfId="0" applyFont="1" applyFill="1" applyBorder="1" applyAlignment="1">
      <alignment horizontal="left"/>
    </xf>
    <xf numFmtId="166" fontId="1" fillId="8" borderId="8" xfId="0" applyNumberFormat="1" applyFont="1" applyFill="1" applyBorder="1"/>
    <xf numFmtId="2" fontId="1" fillId="8" borderId="8" xfId="0" applyNumberFormat="1" applyFont="1" applyFill="1" applyBorder="1"/>
    <xf numFmtId="10" fontId="1" fillId="10" borderId="2" xfId="0" applyNumberFormat="1" applyFont="1" applyFill="1" applyBorder="1" applyAlignment="1">
      <alignment horizontal="left"/>
    </xf>
    <xf numFmtId="2" fontId="1" fillId="11" borderId="2" xfId="0" applyNumberFormat="1" applyFont="1" applyFill="1" applyBorder="1" applyAlignment="1">
      <alignment horizontal="left"/>
    </xf>
    <xf numFmtId="0" fontId="14" fillId="2" borderId="1" xfId="0" applyFont="1" applyFill="1" applyBorder="1"/>
    <xf numFmtId="164" fontId="1" fillId="12" borderId="2" xfId="0" applyNumberFormat="1" applyFont="1" applyFill="1" applyBorder="1"/>
    <xf numFmtId="9" fontId="7" fillId="2" borderId="1" xfId="0" applyNumberFormat="1" applyFont="1" applyFill="1" applyBorder="1"/>
    <xf numFmtId="0" fontId="15" fillId="2" borderId="1" xfId="0" applyFont="1" applyFill="1" applyBorder="1"/>
    <xf numFmtId="10" fontId="7" fillId="2" borderId="1" xfId="0" applyNumberFormat="1" applyFont="1" applyFill="1" applyBorder="1"/>
    <xf numFmtId="0" fontId="7" fillId="8" borderId="9" xfId="0" applyFont="1" applyFill="1" applyBorder="1" applyAlignment="1">
      <alignment horizontal="left"/>
    </xf>
    <xf numFmtId="166" fontId="1" fillId="8" borderId="9" xfId="0" applyNumberFormat="1" applyFont="1" applyFill="1" applyBorder="1"/>
    <xf numFmtId="2" fontId="1" fillId="8" borderId="9" xfId="0" applyNumberFormat="1" applyFont="1" applyFill="1" applyBorder="1"/>
    <xf numFmtId="166" fontId="1" fillId="2" borderId="1" xfId="0" applyNumberFormat="1" applyFont="1" applyFill="1" applyBorder="1"/>
    <xf numFmtId="2" fontId="1" fillId="2" borderId="1" xfId="0" applyNumberFormat="1" applyFont="1" applyFill="1" applyBorder="1"/>
    <xf numFmtId="0" fontId="16" fillId="2" borderId="1" xfId="0" applyFont="1" applyFill="1" applyBorder="1"/>
    <xf numFmtId="0" fontId="17" fillId="2" borderId="1" xfId="0" applyFont="1" applyFill="1" applyBorder="1"/>
    <xf numFmtId="0" fontId="18" fillId="2" borderId="1" xfId="0" applyFont="1" applyFill="1" applyBorder="1"/>
    <xf numFmtId="164" fontId="1" fillId="2" borderId="1" xfId="0" applyNumberFormat="1" applyFont="1" applyFill="1" applyBorder="1"/>
    <xf numFmtId="4" fontId="7" fillId="7" borderId="2" xfId="0" applyNumberFormat="1" applyFont="1" applyFill="1" applyBorder="1" applyAlignment="1">
      <alignment horizontal="left"/>
    </xf>
    <xf numFmtId="0" fontId="16" fillId="0" borderId="0" xfId="0" applyFont="1"/>
    <xf numFmtId="0" fontId="16" fillId="2" borderId="1" xfId="0" applyFont="1" applyFill="1" applyBorder="1" applyAlignment="1">
      <alignment horizontal="left"/>
    </xf>
    <xf numFmtId="0" fontId="9" fillId="0" borderId="0" xfId="0" applyFont="1" applyAlignment="1">
      <alignment vertical="center"/>
    </xf>
    <xf numFmtId="0" fontId="9" fillId="13" borderId="13" xfId="0" applyFont="1" applyFill="1" applyBorder="1" applyAlignment="1">
      <alignment vertical="center"/>
    </xf>
    <xf numFmtId="0" fontId="9" fillId="13" borderId="14" xfId="0" applyFont="1" applyFill="1" applyBorder="1" applyAlignment="1">
      <alignment vertical="center"/>
    </xf>
    <xf numFmtId="0" fontId="11" fillId="0" borderId="0" xfId="0" applyFont="1" applyAlignment="1">
      <alignment vertical="center"/>
    </xf>
    <xf numFmtId="49" fontId="9" fillId="14" borderId="18" xfId="0" applyNumberFormat="1" applyFont="1" applyFill="1" applyBorder="1" applyAlignment="1">
      <alignment vertical="center"/>
    </xf>
    <xf numFmtId="0" fontId="9" fillId="13" borderId="19" xfId="0" applyFont="1" applyFill="1" applyBorder="1" applyAlignment="1">
      <alignment vertical="center"/>
    </xf>
    <xf numFmtId="0" fontId="21" fillId="13" borderId="20" xfId="0" applyFont="1" applyFill="1" applyBorder="1" applyAlignment="1">
      <alignment vertical="center"/>
    </xf>
    <xf numFmtId="0" fontId="9" fillId="14" borderId="23" xfId="0" applyFont="1" applyFill="1" applyBorder="1" applyAlignment="1">
      <alignment vertical="center"/>
    </xf>
    <xf numFmtId="0" fontId="9" fillId="14" borderId="24" xfId="0" applyFont="1" applyFill="1" applyBorder="1" applyAlignment="1">
      <alignment vertical="center"/>
    </xf>
    <xf numFmtId="0" fontId="11" fillId="13" borderId="25" xfId="0" applyFont="1" applyFill="1" applyBorder="1" applyAlignment="1">
      <alignment vertical="center"/>
    </xf>
    <xf numFmtId="0" fontId="11" fillId="13" borderId="26" xfId="0" applyFont="1" applyFill="1" applyBorder="1" applyAlignment="1">
      <alignment horizontal="center" vertical="center"/>
    </xf>
    <xf numFmtId="0" fontId="11" fillId="13" borderId="26" xfId="0" applyFont="1" applyFill="1" applyBorder="1" applyAlignment="1">
      <alignment vertical="center"/>
    </xf>
    <xf numFmtId="0" fontId="11" fillId="13" borderId="27" xfId="0" applyFont="1" applyFill="1" applyBorder="1" applyAlignment="1">
      <alignment vertical="center"/>
    </xf>
    <xf numFmtId="0" fontId="22" fillId="0" borderId="0" xfId="0" applyFont="1" applyAlignment="1">
      <alignment vertical="center"/>
    </xf>
    <xf numFmtId="167" fontId="9" fillId="13" borderId="13" xfId="0" applyNumberFormat="1" applyFont="1" applyFill="1" applyBorder="1" applyAlignment="1">
      <alignment vertical="center"/>
    </xf>
    <xf numFmtId="165" fontId="9" fillId="15" borderId="28" xfId="0" applyNumberFormat="1" applyFont="1" applyFill="1" applyBorder="1" applyAlignment="1">
      <alignment vertical="center"/>
    </xf>
    <xf numFmtId="0" fontId="9" fillId="13" borderId="28" xfId="0" applyFont="1" applyFill="1" applyBorder="1" applyAlignment="1">
      <alignment vertical="center"/>
    </xf>
    <xf numFmtId="49" fontId="9" fillId="14" borderId="19" xfId="0" applyNumberFormat="1" applyFont="1" applyFill="1" applyBorder="1" applyAlignment="1">
      <alignment vertical="center"/>
    </xf>
    <xf numFmtId="0" fontId="23" fillId="0" borderId="0" xfId="0" applyFont="1" applyAlignment="1">
      <alignment vertical="center"/>
    </xf>
    <xf numFmtId="168" fontId="9" fillId="13" borderId="28" xfId="0" applyNumberFormat="1" applyFont="1" applyFill="1" applyBorder="1" applyAlignment="1">
      <alignment vertical="center"/>
    </xf>
    <xf numFmtId="167" fontId="21" fillId="13" borderId="29" xfId="0" applyNumberFormat="1" applyFont="1" applyFill="1" applyBorder="1" applyAlignment="1">
      <alignment vertical="center"/>
    </xf>
    <xf numFmtId="168" fontId="21" fillId="13" borderId="30" xfId="0" applyNumberFormat="1" applyFont="1" applyFill="1" applyBorder="1" applyAlignment="1">
      <alignment vertical="center"/>
    </xf>
    <xf numFmtId="0" fontId="21" fillId="13" borderId="30" xfId="0" applyFont="1" applyFill="1" applyBorder="1" applyAlignment="1">
      <alignment vertical="center"/>
    </xf>
    <xf numFmtId="3" fontId="21" fillId="13" borderId="31" xfId="0" applyNumberFormat="1" applyFont="1" applyFill="1" applyBorder="1" applyAlignment="1">
      <alignment vertical="center"/>
    </xf>
    <xf numFmtId="3" fontId="9" fillId="13" borderId="28" xfId="0" applyNumberFormat="1" applyFont="1" applyFill="1" applyBorder="1" applyAlignment="1">
      <alignment vertical="center"/>
    </xf>
    <xf numFmtId="0" fontId="21" fillId="13" borderId="29" xfId="0" applyFont="1" applyFill="1" applyBorder="1" applyAlignment="1">
      <alignment vertical="center"/>
    </xf>
    <xf numFmtId="3" fontId="21" fillId="13" borderId="30" xfId="0" applyNumberFormat="1" applyFont="1" applyFill="1" applyBorder="1" applyAlignment="1">
      <alignment vertical="center"/>
    </xf>
    <xf numFmtId="0" fontId="9" fillId="0" borderId="0" xfId="0" applyFont="1"/>
    <xf numFmtId="0" fontId="22" fillId="0" borderId="0" xfId="0" applyFont="1"/>
    <xf numFmtId="2" fontId="9" fillId="13" borderId="28" xfId="0" applyNumberFormat="1" applyFont="1" applyFill="1" applyBorder="1" applyAlignment="1">
      <alignment vertical="center"/>
    </xf>
    <xf numFmtId="167" fontId="9" fillId="13" borderId="14" xfId="0" applyNumberFormat="1" applyFont="1" applyFill="1" applyBorder="1" applyAlignment="1">
      <alignment vertical="center"/>
    </xf>
    <xf numFmtId="2" fontId="9" fillId="13" borderId="32" xfId="0" applyNumberFormat="1" applyFont="1" applyFill="1" applyBorder="1" applyAlignment="1">
      <alignment vertical="center"/>
    </xf>
    <xf numFmtId="0" fontId="9" fillId="13" borderId="32" xfId="0" applyFont="1" applyFill="1" applyBorder="1" applyAlignment="1">
      <alignment vertical="center"/>
    </xf>
    <xf numFmtId="0" fontId="9" fillId="13" borderId="33" xfId="0" applyFont="1" applyFill="1" applyBorder="1" applyAlignment="1">
      <alignment vertical="center"/>
    </xf>
    <xf numFmtId="0" fontId="11" fillId="13" borderId="20" xfId="0" applyFont="1" applyFill="1" applyBorder="1" applyAlignment="1">
      <alignment vertical="center"/>
    </xf>
    <xf numFmtId="0" fontId="11" fillId="13" borderId="34" xfId="0" applyFont="1" applyFill="1" applyBorder="1" applyAlignment="1">
      <alignment horizontal="center" vertical="center"/>
    </xf>
    <xf numFmtId="0" fontId="11" fillId="13" borderId="34" xfId="0" applyFont="1" applyFill="1" applyBorder="1" applyAlignment="1">
      <alignment vertical="center"/>
    </xf>
    <xf numFmtId="0" fontId="11" fillId="13" borderId="35" xfId="0" applyFont="1" applyFill="1" applyBorder="1" applyAlignment="1">
      <alignment vertical="center"/>
    </xf>
    <xf numFmtId="2" fontId="9" fillId="14" borderId="28" xfId="0" applyNumberFormat="1" applyFont="1" applyFill="1" applyBorder="1" applyAlignment="1">
      <alignment vertical="center"/>
    </xf>
    <xf numFmtId="2" fontId="9" fillId="14" borderId="32" xfId="0" applyNumberFormat="1" applyFont="1" applyFill="1" applyBorder="1" applyAlignment="1">
      <alignment vertical="center"/>
    </xf>
    <xf numFmtId="0" fontId="9" fillId="13" borderId="20" xfId="0" applyFont="1" applyFill="1" applyBorder="1" applyAlignment="1">
      <alignment vertical="center"/>
    </xf>
    <xf numFmtId="3" fontId="9" fillId="14" borderId="28" xfId="0" applyNumberFormat="1" applyFont="1" applyFill="1" applyBorder="1" applyAlignment="1">
      <alignment vertical="center"/>
    </xf>
    <xf numFmtId="0" fontId="24" fillId="0" borderId="0" xfId="0" applyFont="1"/>
    <xf numFmtId="0" fontId="9" fillId="14" borderId="19" xfId="0" applyFont="1" applyFill="1" applyBorder="1" applyAlignment="1">
      <alignment vertical="center"/>
    </xf>
    <xf numFmtId="3" fontId="21" fillId="13" borderId="34" xfId="0" applyNumberFormat="1" applyFont="1" applyFill="1" applyBorder="1" applyAlignment="1">
      <alignment horizontal="right" vertical="center"/>
    </xf>
    <xf numFmtId="0" fontId="21" fillId="13" borderId="28" xfId="0" applyFont="1" applyFill="1" applyBorder="1" applyAlignment="1">
      <alignment vertical="center"/>
    </xf>
    <xf numFmtId="0" fontId="21" fillId="13" borderId="14" xfId="0" applyFont="1" applyFill="1" applyBorder="1" applyAlignment="1">
      <alignment vertical="center"/>
    </xf>
    <xf numFmtId="3" fontId="21" fillId="13" borderId="32" xfId="0" applyNumberFormat="1" applyFont="1" applyFill="1" applyBorder="1" applyAlignment="1">
      <alignment vertical="center"/>
    </xf>
    <xf numFmtId="0" fontId="21" fillId="13" borderId="32" xfId="0" applyFont="1" applyFill="1" applyBorder="1" applyAlignment="1">
      <alignment vertical="center"/>
    </xf>
    <xf numFmtId="0" fontId="9" fillId="13" borderId="27" xfId="0" applyFont="1" applyFill="1" applyBorder="1" applyAlignment="1">
      <alignment vertical="center"/>
    </xf>
    <xf numFmtId="165" fontId="9" fillId="13" borderId="28" xfId="0" applyNumberFormat="1" applyFont="1" applyFill="1" applyBorder="1" applyAlignment="1">
      <alignment vertical="center"/>
    </xf>
    <xf numFmtId="0" fontId="21" fillId="13" borderId="19" xfId="0" applyFont="1" applyFill="1" applyBorder="1" applyAlignment="1">
      <alignment vertical="center"/>
    </xf>
    <xf numFmtId="0" fontId="21" fillId="13" borderId="33" xfId="0" applyFont="1" applyFill="1" applyBorder="1" applyAlignment="1">
      <alignment vertical="center"/>
    </xf>
    <xf numFmtId="3" fontId="9" fillId="0" borderId="0" xfId="0" applyNumberFormat="1" applyFont="1" applyAlignment="1">
      <alignment vertical="center"/>
    </xf>
    <xf numFmtId="0" fontId="9" fillId="13" borderId="29" xfId="0" applyFont="1" applyFill="1" applyBorder="1" applyAlignment="1">
      <alignment vertical="center"/>
    </xf>
    <xf numFmtId="3" fontId="9" fillId="13" borderId="30" xfId="0" applyNumberFormat="1" applyFont="1" applyFill="1" applyBorder="1" applyAlignment="1">
      <alignment vertical="center"/>
    </xf>
    <xf numFmtId="0" fontId="9" fillId="13" borderId="30" xfId="0" applyFont="1" applyFill="1" applyBorder="1" applyAlignment="1">
      <alignment vertical="center"/>
    </xf>
    <xf numFmtId="0" fontId="21" fillId="13" borderId="31" xfId="0" applyFont="1" applyFill="1" applyBorder="1" applyAlignment="1">
      <alignment vertical="center"/>
    </xf>
    <xf numFmtId="0" fontId="9" fillId="15" borderId="19" xfId="0" applyFont="1" applyFill="1" applyBorder="1" applyAlignment="1">
      <alignment horizontal="left" vertical="center"/>
    </xf>
    <xf numFmtId="3" fontId="9" fillId="14" borderId="28" xfId="0" applyNumberFormat="1" applyFont="1" applyFill="1" applyBorder="1" applyAlignment="1">
      <alignment horizontal="right" vertical="center"/>
    </xf>
    <xf numFmtId="0" fontId="9" fillId="13" borderId="38" xfId="0" applyFont="1" applyFill="1" applyBorder="1" applyAlignment="1">
      <alignment vertical="center"/>
    </xf>
    <xf numFmtId="0" fontId="9" fillId="13" borderId="39" xfId="0" applyFont="1" applyFill="1" applyBorder="1" applyAlignment="1">
      <alignment vertical="center"/>
    </xf>
    <xf numFmtId="0" fontId="25" fillId="13" borderId="29" xfId="0" applyFont="1" applyFill="1" applyBorder="1" applyAlignment="1">
      <alignment vertical="center"/>
    </xf>
    <xf numFmtId="2" fontId="9" fillId="13" borderId="30" xfId="0" applyNumberFormat="1" applyFont="1" applyFill="1" applyBorder="1" applyAlignment="1">
      <alignment vertical="center"/>
    </xf>
    <xf numFmtId="0" fontId="9" fillId="13" borderId="31" xfId="0" applyFont="1" applyFill="1" applyBorder="1" applyAlignment="1">
      <alignment vertical="center"/>
    </xf>
    <xf numFmtId="10" fontId="9" fillId="14" borderId="28" xfId="0" applyNumberFormat="1" applyFont="1" applyFill="1" applyBorder="1" applyAlignment="1">
      <alignment vertical="center"/>
    </xf>
    <xf numFmtId="0" fontId="9" fillId="13" borderId="34" xfId="0" applyFont="1" applyFill="1" applyBorder="1" applyAlignment="1">
      <alignment vertical="center"/>
    </xf>
    <xf numFmtId="0" fontId="9" fillId="14" borderId="35" xfId="0" applyFont="1" applyFill="1" applyBorder="1" applyAlignment="1">
      <alignment vertical="center"/>
    </xf>
    <xf numFmtId="0" fontId="26" fillId="2" borderId="1" xfId="0" applyFont="1" applyFill="1" applyBorder="1" applyAlignment="1">
      <alignment vertical="center"/>
    </xf>
    <xf numFmtId="0" fontId="27" fillId="2" borderId="1" xfId="0" applyFont="1" applyFill="1" applyBorder="1" applyAlignment="1">
      <alignment vertical="center"/>
    </xf>
    <xf numFmtId="9" fontId="9" fillId="14" borderId="28" xfId="0" applyNumberFormat="1" applyFont="1" applyFill="1" applyBorder="1" applyAlignment="1">
      <alignment vertical="center"/>
    </xf>
    <xf numFmtId="0" fontId="26" fillId="2" borderId="1" xfId="0" applyFont="1" applyFill="1" applyBorder="1"/>
    <xf numFmtId="166" fontId="9" fillId="15" borderId="28" xfId="0" applyNumberFormat="1" applyFont="1" applyFill="1" applyBorder="1" applyAlignment="1">
      <alignment vertical="center"/>
    </xf>
    <xf numFmtId="166" fontId="9" fillId="14" borderId="28" xfId="0" applyNumberFormat="1" applyFont="1" applyFill="1" applyBorder="1" applyAlignment="1">
      <alignment vertical="center"/>
    </xf>
    <xf numFmtId="0" fontId="9" fillId="13" borderId="41" xfId="0" applyFont="1" applyFill="1" applyBorder="1" applyAlignment="1">
      <alignment vertical="center"/>
    </xf>
    <xf numFmtId="166" fontId="9" fillId="15" borderId="42" xfId="0" applyNumberFormat="1" applyFont="1" applyFill="1" applyBorder="1" applyAlignment="1">
      <alignment vertical="center"/>
    </xf>
    <xf numFmtId="0" fontId="9" fillId="13" borderId="42" xfId="0" applyFont="1" applyFill="1" applyBorder="1" applyAlignment="1">
      <alignment vertical="center"/>
    </xf>
    <xf numFmtId="166" fontId="9" fillId="15" borderId="34" xfId="0" applyNumberFormat="1" applyFont="1" applyFill="1" applyBorder="1" applyAlignment="1">
      <alignment vertical="center"/>
    </xf>
    <xf numFmtId="0" fontId="9" fillId="2" borderId="1" xfId="0" applyFont="1" applyFill="1" applyBorder="1"/>
    <xf numFmtId="2" fontId="9" fillId="16" borderId="28" xfId="0" applyNumberFormat="1" applyFont="1" applyFill="1" applyBorder="1" applyAlignment="1">
      <alignment vertical="center"/>
    </xf>
    <xf numFmtId="1" fontId="9" fillId="15" borderId="28" xfId="0" applyNumberFormat="1" applyFont="1" applyFill="1" applyBorder="1" applyAlignment="1">
      <alignment vertical="center"/>
    </xf>
    <xf numFmtId="164" fontId="9" fillId="16" borderId="28" xfId="0" applyNumberFormat="1" applyFont="1" applyFill="1" applyBorder="1" applyAlignment="1">
      <alignment vertical="center"/>
    </xf>
    <xf numFmtId="2" fontId="9" fillId="15" borderId="28" xfId="0" applyNumberFormat="1" applyFont="1" applyFill="1" applyBorder="1" applyAlignment="1">
      <alignment horizontal="left" vertical="center"/>
    </xf>
    <xf numFmtId="2" fontId="9" fillId="15" borderId="28" xfId="0" applyNumberFormat="1" applyFont="1" applyFill="1" applyBorder="1" applyAlignment="1">
      <alignment horizontal="right" vertical="center"/>
    </xf>
    <xf numFmtId="3" fontId="9" fillId="15" borderId="28" xfId="0" applyNumberFormat="1" applyFont="1" applyFill="1" applyBorder="1" applyAlignment="1">
      <alignment vertical="center"/>
    </xf>
    <xf numFmtId="0" fontId="21" fillId="14" borderId="19" xfId="0" applyFont="1" applyFill="1" applyBorder="1" applyAlignment="1">
      <alignment vertical="center"/>
    </xf>
    <xf numFmtId="2" fontId="9" fillId="16" borderId="30" xfId="0" applyNumberFormat="1" applyFont="1" applyFill="1" applyBorder="1" applyAlignment="1">
      <alignment vertical="center"/>
    </xf>
    <xf numFmtId="0" fontId="9" fillId="14" borderId="31" xfId="0" applyFont="1" applyFill="1" applyBorder="1" applyAlignment="1">
      <alignment vertical="center"/>
    </xf>
    <xf numFmtId="0" fontId="11" fillId="0" borderId="43" xfId="0" applyFont="1" applyBorder="1"/>
    <xf numFmtId="0" fontId="9" fillId="0" borderId="44" xfId="0" applyFont="1" applyBorder="1"/>
    <xf numFmtId="0" fontId="9" fillId="0" borderId="45" xfId="0" applyFont="1" applyBorder="1"/>
    <xf numFmtId="0" fontId="21" fillId="0" borderId="46" xfId="0" applyFont="1" applyBorder="1"/>
    <xf numFmtId="0" fontId="21" fillId="0" borderId="47" xfId="0" applyFont="1" applyBorder="1"/>
    <xf numFmtId="3" fontId="11" fillId="0" borderId="47" xfId="0" applyNumberFormat="1" applyFont="1" applyBorder="1" applyAlignment="1">
      <alignment horizontal="center"/>
    </xf>
    <xf numFmtId="3" fontId="11" fillId="0" borderId="47" xfId="0" applyNumberFormat="1" applyFont="1" applyBorder="1"/>
    <xf numFmtId="0" fontId="11" fillId="0" borderId="48" xfId="0" applyFont="1" applyBorder="1"/>
    <xf numFmtId="0" fontId="11" fillId="0" borderId="49" xfId="0" applyFont="1" applyBorder="1" applyAlignment="1">
      <alignment vertical="center"/>
    </xf>
    <xf numFmtId="0" fontId="28" fillId="0" borderId="50" xfId="0" applyFont="1" applyBorder="1"/>
    <xf numFmtId="0" fontId="9" fillId="0" borderId="0" xfId="0" applyFont="1" applyAlignment="1">
      <alignment wrapText="1"/>
    </xf>
    <xf numFmtId="0" fontId="9" fillId="0" borderId="51" xfId="0" applyFont="1" applyBorder="1" applyAlignment="1">
      <alignment wrapText="1"/>
    </xf>
    <xf numFmtId="0" fontId="9" fillId="0" borderId="49" xfId="0" applyFont="1" applyBorder="1" applyAlignment="1">
      <alignment wrapText="1"/>
    </xf>
    <xf numFmtId="0" fontId="11" fillId="0" borderId="52" xfId="0" applyFont="1" applyBorder="1"/>
    <xf numFmtId="0" fontId="9" fillId="0" borderId="52" xfId="0" applyFont="1" applyBorder="1"/>
    <xf numFmtId="0" fontId="9" fillId="0" borderId="53" xfId="0" applyFont="1" applyBorder="1"/>
    <xf numFmtId="0" fontId="11" fillId="0" borderId="54" xfId="0" applyFont="1" applyBorder="1"/>
    <xf numFmtId="0" fontId="11" fillId="0" borderId="55" xfId="0" applyFont="1" applyBorder="1"/>
    <xf numFmtId="1" fontId="11" fillId="0" borderId="55" xfId="0" applyNumberFormat="1" applyFont="1" applyBorder="1"/>
    <xf numFmtId="1" fontId="11" fillId="0" borderId="56" xfId="0" applyNumberFormat="1" applyFont="1" applyBorder="1"/>
    <xf numFmtId="1" fontId="11" fillId="0" borderId="43" xfId="0" applyNumberFormat="1" applyFont="1" applyBorder="1"/>
    <xf numFmtId="3" fontId="28" fillId="0" borderId="57" xfId="0" applyNumberFormat="1" applyFont="1" applyBorder="1"/>
    <xf numFmtId="1" fontId="9" fillId="0" borderId="0" xfId="0" applyNumberFormat="1" applyFont="1"/>
    <xf numFmtId="0" fontId="9" fillId="0" borderId="51" xfId="0" applyFont="1" applyBorder="1"/>
    <xf numFmtId="0" fontId="9" fillId="0" borderId="58" xfId="0" applyFont="1" applyBorder="1"/>
    <xf numFmtId="0" fontId="9" fillId="0" borderId="59" xfId="0" applyFont="1" applyBorder="1"/>
    <xf numFmtId="0" fontId="9" fillId="0" borderId="60" xfId="0" applyFont="1" applyBorder="1"/>
    <xf numFmtId="0" fontId="9" fillId="0" borderId="61" xfId="0" applyFont="1" applyBorder="1"/>
    <xf numFmtId="2" fontId="9" fillId="0" borderId="61" xfId="0" applyNumberFormat="1" applyFont="1" applyBorder="1"/>
    <xf numFmtId="1" fontId="9" fillId="0" borderId="61" xfId="0" applyNumberFormat="1" applyFont="1" applyBorder="1"/>
    <xf numFmtId="1" fontId="11" fillId="0" borderId="62" xfId="0" applyNumberFormat="1" applyFont="1" applyBorder="1"/>
    <xf numFmtId="3" fontId="28" fillId="0" borderId="63" xfId="0" applyNumberFormat="1" applyFont="1" applyBorder="1"/>
    <xf numFmtId="3" fontId="9" fillId="0" borderId="0" xfId="0" applyNumberFormat="1" applyFont="1"/>
    <xf numFmtId="169" fontId="9" fillId="0" borderId="51" xfId="0" applyNumberFormat="1" applyFont="1" applyBorder="1"/>
    <xf numFmtId="169" fontId="9" fillId="0" borderId="0" xfId="0" applyNumberFormat="1" applyFont="1"/>
    <xf numFmtId="166" fontId="9" fillId="0" borderId="61" xfId="0" applyNumberFormat="1" applyFont="1" applyBorder="1"/>
    <xf numFmtId="165" fontId="28" fillId="0" borderId="63" xfId="0" applyNumberFormat="1" applyFont="1" applyBorder="1"/>
    <xf numFmtId="169" fontId="9" fillId="0" borderId="58" xfId="0" applyNumberFormat="1" applyFont="1" applyBorder="1"/>
    <xf numFmtId="0" fontId="21" fillId="0" borderId="2" xfId="0" applyFont="1" applyBorder="1"/>
    <xf numFmtId="0" fontId="9" fillId="0" borderId="64" xfId="0" applyFont="1" applyBorder="1"/>
    <xf numFmtId="0" fontId="9" fillId="0" borderId="2" xfId="0" applyFont="1" applyBorder="1"/>
    <xf numFmtId="1" fontId="9" fillId="0" borderId="2" xfId="0" applyNumberFormat="1" applyFont="1" applyBorder="1"/>
    <xf numFmtId="1" fontId="9" fillId="0" borderId="65" xfId="0" applyNumberFormat="1" applyFont="1" applyBorder="1"/>
    <xf numFmtId="1" fontId="11" fillId="0" borderId="66" xfId="0" applyNumberFormat="1" applyFont="1" applyBorder="1"/>
    <xf numFmtId="166" fontId="9" fillId="0" borderId="2" xfId="0" applyNumberFormat="1" applyFont="1" applyBorder="1"/>
    <xf numFmtId="166" fontId="9" fillId="0" borderId="65" xfId="0" applyNumberFormat="1" applyFont="1" applyBorder="1"/>
    <xf numFmtId="3" fontId="9" fillId="0" borderId="2" xfId="0" applyNumberFormat="1" applyFont="1" applyBorder="1"/>
    <xf numFmtId="2" fontId="9" fillId="0" borderId="2" xfId="0" applyNumberFormat="1" applyFont="1" applyBorder="1"/>
    <xf numFmtId="2" fontId="9" fillId="0" borderId="67" xfId="0" applyNumberFormat="1" applyFont="1" applyBorder="1"/>
    <xf numFmtId="169" fontId="9" fillId="0" borderId="68" xfId="0" applyNumberFormat="1" applyFont="1" applyBorder="1"/>
    <xf numFmtId="0" fontId="29" fillId="0" borderId="64" xfId="0" applyFont="1" applyBorder="1"/>
    <xf numFmtId="0" fontId="29" fillId="0" borderId="2" xfId="0" applyFont="1" applyBorder="1"/>
    <xf numFmtId="1" fontId="29" fillId="0" borderId="2" xfId="0" applyNumberFormat="1" applyFont="1" applyBorder="1"/>
    <xf numFmtId="166" fontId="30" fillId="0" borderId="66" xfId="0" applyNumberFormat="1" applyFont="1" applyBorder="1"/>
    <xf numFmtId="165" fontId="30" fillId="0" borderId="63" xfId="0" applyNumberFormat="1" applyFont="1" applyBorder="1"/>
    <xf numFmtId="166" fontId="29" fillId="0" borderId="2" xfId="0" applyNumberFormat="1" applyFont="1" applyBorder="1"/>
    <xf numFmtId="3" fontId="29" fillId="0" borderId="2" xfId="0" applyNumberFormat="1" applyFont="1" applyBorder="1"/>
    <xf numFmtId="3" fontId="28" fillId="0" borderId="69" xfId="0" applyNumberFormat="1" applyFont="1" applyBorder="1"/>
    <xf numFmtId="165" fontId="28" fillId="0" borderId="69" xfId="0" applyNumberFormat="1" applyFont="1" applyBorder="1"/>
    <xf numFmtId="0" fontId="11" fillId="0" borderId="64" xfId="0" applyFont="1" applyBorder="1"/>
    <xf numFmtId="0" fontId="11" fillId="0" borderId="2" xfId="0" applyFont="1" applyBorder="1"/>
    <xf numFmtId="166" fontId="11" fillId="0" borderId="2" xfId="0" applyNumberFormat="1" applyFont="1" applyBorder="1"/>
    <xf numFmtId="166" fontId="11" fillId="0" borderId="65" xfId="0" applyNumberFormat="1" applyFont="1" applyBorder="1"/>
    <xf numFmtId="166" fontId="11" fillId="0" borderId="66" xfId="0" applyNumberFormat="1" applyFont="1" applyBorder="1"/>
    <xf numFmtId="166" fontId="11" fillId="0" borderId="62" xfId="0" applyNumberFormat="1" applyFont="1" applyBorder="1"/>
    <xf numFmtId="3" fontId="11" fillId="0" borderId="2" xfId="0" applyNumberFormat="1" applyFont="1" applyBorder="1"/>
    <xf numFmtId="3" fontId="11" fillId="0" borderId="65" xfId="0" applyNumberFormat="1" applyFont="1" applyBorder="1"/>
    <xf numFmtId="3" fontId="31" fillId="0" borderId="66" xfId="0" applyNumberFormat="1" applyFont="1" applyBorder="1"/>
    <xf numFmtId="2" fontId="9" fillId="0" borderId="0" xfId="0" applyNumberFormat="1" applyFont="1"/>
    <xf numFmtId="0" fontId="11" fillId="0" borderId="70" xfId="0" applyFont="1" applyBorder="1"/>
    <xf numFmtId="0" fontId="11" fillId="0" borderId="71" xfId="0" applyFont="1" applyBorder="1"/>
    <xf numFmtId="3" fontId="11" fillId="0" borderId="71" xfId="0" applyNumberFormat="1" applyFont="1" applyBorder="1"/>
    <xf numFmtId="3" fontId="11" fillId="0" borderId="72" xfId="0" applyNumberFormat="1" applyFont="1" applyBorder="1"/>
    <xf numFmtId="3" fontId="31" fillId="0" borderId="73" xfId="0" applyNumberFormat="1" applyFont="1" applyBorder="1"/>
    <xf numFmtId="3" fontId="28" fillId="0" borderId="74" xfId="0" applyNumberFormat="1" applyFont="1" applyBorder="1"/>
    <xf numFmtId="0" fontId="11" fillId="0" borderId="57" xfId="0" applyFont="1" applyBorder="1" applyAlignment="1">
      <alignment vertical="center"/>
    </xf>
    <xf numFmtId="0" fontId="26" fillId="0" borderId="0" xfId="0" applyFont="1"/>
    <xf numFmtId="3" fontId="9" fillId="0" borderId="0" xfId="0" applyNumberFormat="1" applyFont="1" applyAlignment="1">
      <alignment wrapText="1"/>
    </xf>
    <xf numFmtId="0" fontId="11" fillId="0" borderId="60" xfId="0" applyFont="1" applyBorder="1"/>
    <xf numFmtId="9" fontId="9" fillId="0" borderId="61" xfId="0" applyNumberFormat="1" applyFont="1" applyBorder="1"/>
    <xf numFmtId="0" fontId="9" fillId="0" borderId="75" xfId="0" applyFont="1" applyBorder="1"/>
    <xf numFmtId="0" fontId="9" fillId="0" borderId="63" xfId="0" applyFont="1" applyBorder="1"/>
    <xf numFmtId="2" fontId="26" fillId="0" borderId="0" xfId="0" applyNumberFormat="1" applyFont="1"/>
    <xf numFmtId="1" fontId="26" fillId="0" borderId="0" xfId="0" applyNumberFormat="1" applyFont="1"/>
    <xf numFmtId="0" fontId="9" fillId="2" borderId="2" xfId="0" applyFont="1" applyFill="1" applyBorder="1"/>
    <xf numFmtId="3" fontId="9" fillId="2" borderId="2" xfId="0" applyNumberFormat="1" applyFont="1" applyFill="1" applyBorder="1"/>
    <xf numFmtId="0" fontId="21" fillId="0" borderId="64" xfId="0" applyFont="1" applyBorder="1"/>
    <xf numFmtId="0" fontId="9" fillId="0" borderId="65" xfId="0" applyFont="1" applyBorder="1"/>
    <xf numFmtId="0" fontId="21" fillId="0" borderId="69" xfId="0" applyFont="1" applyBorder="1"/>
    <xf numFmtId="3" fontId="9" fillId="0" borderId="65" xfId="0" applyNumberFormat="1" applyFont="1" applyBorder="1"/>
    <xf numFmtId="3" fontId="31" fillId="0" borderId="69" xfId="0" applyNumberFormat="1" applyFont="1" applyBorder="1"/>
    <xf numFmtId="0" fontId="29" fillId="2" borderId="2" xfId="0" applyFont="1" applyFill="1" applyBorder="1"/>
    <xf numFmtId="3" fontId="29" fillId="2" borderId="2" xfId="0" applyNumberFormat="1" applyFont="1" applyFill="1" applyBorder="1"/>
    <xf numFmtId="0" fontId="9" fillId="0" borderId="69" xfId="0" applyFont="1" applyBorder="1"/>
    <xf numFmtId="2" fontId="9" fillId="0" borderId="65" xfId="0" applyNumberFormat="1" applyFont="1" applyBorder="1"/>
    <xf numFmtId="3" fontId="11" fillId="2" borderId="2" xfId="0" applyNumberFormat="1" applyFont="1" applyFill="1" applyBorder="1"/>
    <xf numFmtId="0" fontId="32" fillId="0" borderId="0" xfId="0" applyFont="1"/>
    <xf numFmtId="166" fontId="9" fillId="0" borderId="69" xfId="0" applyNumberFormat="1" applyFont="1" applyBorder="1"/>
    <xf numFmtId="9" fontId="9" fillId="0" borderId="2" xfId="0" applyNumberFormat="1" applyFont="1" applyBorder="1"/>
    <xf numFmtId="9" fontId="9" fillId="0" borderId="65" xfId="0" applyNumberFormat="1" applyFont="1" applyBorder="1"/>
    <xf numFmtId="165" fontId="9" fillId="0" borderId="2" xfId="0" applyNumberFormat="1" applyFont="1" applyBorder="1" applyAlignment="1">
      <alignment horizontal="left"/>
    </xf>
    <xf numFmtId="170" fontId="9" fillId="0" borderId="0" xfId="0" applyNumberFormat="1" applyFont="1"/>
    <xf numFmtId="4" fontId="9" fillId="0" borderId="2" xfId="0" applyNumberFormat="1" applyFont="1" applyBorder="1" applyAlignment="1">
      <alignment horizontal="left"/>
    </xf>
    <xf numFmtId="3" fontId="11" fillId="0" borderId="2" xfId="0" applyNumberFormat="1" applyFont="1" applyBorder="1" applyAlignment="1">
      <alignment horizontal="center"/>
    </xf>
    <xf numFmtId="0" fontId="11" fillId="0" borderId="2" xfId="0" applyFont="1" applyBorder="1" applyAlignment="1">
      <alignment vertical="center"/>
    </xf>
    <xf numFmtId="1" fontId="11" fillId="0" borderId="2" xfId="0" applyNumberFormat="1" applyFont="1" applyBorder="1"/>
    <xf numFmtId="164" fontId="9" fillId="0" borderId="2" xfId="0" applyNumberFormat="1" applyFont="1" applyBorder="1"/>
    <xf numFmtId="164" fontId="9" fillId="0" borderId="65" xfId="0" applyNumberFormat="1" applyFont="1" applyBorder="1"/>
    <xf numFmtId="0" fontId="11" fillId="0" borderId="59" xfId="0" applyFont="1" applyBorder="1"/>
    <xf numFmtId="10" fontId="9" fillId="0" borderId="69" xfId="0" applyNumberFormat="1" applyFont="1" applyBorder="1"/>
    <xf numFmtId="165" fontId="9" fillId="0" borderId="2" xfId="0" applyNumberFormat="1" applyFont="1" applyBorder="1"/>
    <xf numFmtId="165" fontId="9" fillId="0" borderId="65" xfId="0" applyNumberFormat="1" applyFont="1" applyBorder="1"/>
    <xf numFmtId="165" fontId="9" fillId="0" borderId="69" xfId="0" applyNumberFormat="1" applyFont="1" applyBorder="1"/>
    <xf numFmtId="3" fontId="31" fillId="0" borderId="2" xfId="0" applyNumberFormat="1" applyFont="1" applyBorder="1"/>
    <xf numFmtId="4" fontId="9" fillId="0" borderId="2" xfId="0" applyNumberFormat="1" applyFont="1" applyBorder="1"/>
    <xf numFmtId="4" fontId="9" fillId="0" borderId="65" xfId="0" applyNumberFormat="1" applyFont="1" applyBorder="1"/>
    <xf numFmtId="2" fontId="9" fillId="0" borderId="2" xfId="0" applyNumberFormat="1" applyFont="1" applyBorder="1" applyAlignment="1">
      <alignment horizontal="left"/>
    </xf>
    <xf numFmtId="4" fontId="9" fillId="0" borderId="69" xfId="0" applyNumberFormat="1" applyFont="1" applyBorder="1"/>
    <xf numFmtId="10" fontId="9" fillId="0" borderId="2" xfId="0" applyNumberFormat="1" applyFont="1" applyBorder="1"/>
    <xf numFmtId="10" fontId="9" fillId="0" borderId="65" xfId="0" applyNumberFormat="1" applyFont="1" applyBorder="1"/>
    <xf numFmtId="3" fontId="9" fillId="0" borderId="69" xfId="0" applyNumberFormat="1" applyFont="1" applyBorder="1"/>
    <xf numFmtId="9" fontId="9" fillId="0" borderId="69" xfId="0" applyNumberFormat="1" applyFont="1" applyBorder="1"/>
    <xf numFmtId="3" fontId="9" fillId="2" borderId="69" xfId="0" applyNumberFormat="1" applyFont="1" applyFill="1" applyBorder="1"/>
    <xf numFmtId="0" fontId="9" fillId="0" borderId="70" xfId="0" applyFont="1" applyBorder="1"/>
    <xf numFmtId="0" fontId="9" fillId="0" borderId="71" xfId="0" applyFont="1" applyBorder="1"/>
    <xf numFmtId="3" fontId="9" fillId="0" borderId="71" xfId="0" applyNumberFormat="1" applyFont="1" applyBorder="1"/>
    <xf numFmtId="3" fontId="9" fillId="0" borderId="72" xfId="0" applyNumberFormat="1" applyFont="1" applyBorder="1"/>
    <xf numFmtId="0" fontId="9" fillId="0" borderId="74" xfId="0" applyFont="1" applyBorder="1"/>
    <xf numFmtId="0" fontId="9" fillId="0" borderId="43" xfId="0" applyFont="1" applyBorder="1"/>
    <xf numFmtId="9" fontId="9" fillId="0" borderId="2" xfId="0" applyNumberFormat="1" applyFont="1" applyBorder="1" applyAlignment="1">
      <alignment horizontal="left"/>
    </xf>
    <xf numFmtId="0" fontId="9" fillId="0" borderId="76" xfId="0" applyFont="1" applyBorder="1"/>
    <xf numFmtId="0" fontId="9" fillId="0" borderId="77" xfId="0" applyFont="1" applyBorder="1"/>
    <xf numFmtId="0" fontId="9" fillId="0" borderId="78" xfId="0" applyFont="1" applyBorder="1"/>
    <xf numFmtId="0" fontId="9" fillId="0" borderId="79" xfId="0" applyFont="1" applyBorder="1"/>
    <xf numFmtId="0" fontId="9" fillId="0" borderId="80" xfId="0" applyFont="1" applyBorder="1"/>
    <xf numFmtId="3" fontId="33" fillId="0" borderId="70" xfId="0" applyNumberFormat="1" applyFont="1" applyBorder="1"/>
    <xf numFmtId="1" fontId="9" fillId="0" borderId="71" xfId="0" applyNumberFormat="1" applyFont="1" applyBorder="1"/>
    <xf numFmtId="0" fontId="9" fillId="0" borderId="81" xfId="0" applyFont="1" applyBorder="1"/>
    <xf numFmtId="1" fontId="11" fillId="0" borderId="0" xfId="0" applyNumberFormat="1" applyFont="1"/>
    <xf numFmtId="2" fontId="9" fillId="0" borderId="0" xfId="0" applyNumberFormat="1" applyFont="1" applyAlignment="1">
      <alignment horizontal="left"/>
    </xf>
    <xf numFmtId="164" fontId="9" fillId="0" borderId="0" xfId="0" applyNumberFormat="1" applyFont="1"/>
    <xf numFmtId="0" fontId="9" fillId="0" borderId="0" xfId="0" applyFont="1" applyAlignment="1">
      <alignment horizontal="center" vertical="center"/>
    </xf>
    <xf numFmtId="0" fontId="21" fillId="13" borderId="82" xfId="0" applyFont="1" applyFill="1" applyBorder="1" applyAlignment="1">
      <alignment vertical="center"/>
    </xf>
    <xf numFmtId="0" fontId="21" fillId="13" borderId="83" xfId="0" applyFont="1" applyFill="1" applyBorder="1" applyAlignment="1">
      <alignment vertical="center"/>
    </xf>
    <xf numFmtId="0" fontId="21" fillId="13" borderId="84" xfId="0" applyFont="1" applyFill="1" applyBorder="1" applyAlignment="1">
      <alignment vertical="center"/>
    </xf>
    <xf numFmtId="0" fontId="21" fillId="13" borderId="85" xfId="0" applyFont="1" applyFill="1" applyBorder="1" applyAlignment="1">
      <alignment vertical="center"/>
    </xf>
    <xf numFmtId="0" fontId="21" fillId="13" borderId="85" xfId="0" applyFont="1" applyFill="1" applyBorder="1" applyAlignment="1">
      <alignment horizontal="center" vertical="center"/>
    </xf>
    <xf numFmtId="0" fontId="9" fillId="18" borderId="86" xfId="0" applyFont="1" applyFill="1" applyBorder="1" applyAlignment="1">
      <alignment vertical="center"/>
    </xf>
    <xf numFmtId="0" fontId="9" fillId="18" borderId="87" xfId="0" applyFont="1" applyFill="1" applyBorder="1" applyAlignment="1">
      <alignment vertical="center"/>
    </xf>
    <xf numFmtId="0" fontId="9" fillId="18" borderId="84" xfId="0" applyFont="1" applyFill="1" applyBorder="1" applyAlignment="1">
      <alignment vertical="center"/>
    </xf>
    <xf numFmtId="166" fontId="9" fillId="18" borderId="87" xfId="0" applyNumberFormat="1" applyFont="1" applyFill="1" applyBorder="1" applyAlignment="1">
      <alignment horizontal="center" vertical="center"/>
    </xf>
    <xf numFmtId="0" fontId="9" fillId="18" borderId="84" xfId="0" applyFont="1" applyFill="1" applyBorder="1" applyAlignment="1">
      <alignment horizontal="left" vertical="center"/>
    </xf>
    <xf numFmtId="0" fontId="9" fillId="18" borderId="85" xfId="0" applyFont="1" applyFill="1" applyBorder="1" applyAlignment="1">
      <alignment vertical="center"/>
    </xf>
    <xf numFmtId="165" fontId="9" fillId="18" borderId="87" xfId="0" applyNumberFormat="1" applyFont="1" applyFill="1" applyBorder="1" applyAlignment="1">
      <alignment horizontal="center" vertical="center"/>
    </xf>
    <xf numFmtId="165" fontId="9" fillId="18" borderId="84" xfId="0" applyNumberFormat="1" applyFont="1" applyFill="1" applyBorder="1" applyAlignment="1">
      <alignment vertical="center"/>
    </xf>
    <xf numFmtId="166" fontId="9" fillId="18" borderId="84" xfId="0" applyNumberFormat="1" applyFont="1" applyFill="1" applyBorder="1" applyAlignment="1">
      <alignment vertical="center"/>
    </xf>
    <xf numFmtId="0" fontId="9" fillId="13" borderId="88" xfId="0" applyFont="1" applyFill="1" applyBorder="1" applyAlignment="1">
      <alignment vertical="center"/>
    </xf>
    <xf numFmtId="0" fontId="9" fillId="13" borderId="89" xfId="0" applyFont="1" applyFill="1" applyBorder="1" applyAlignment="1">
      <alignment vertical="center"/>
    </xf>
    <xf numFmtId="0" fontId="9" fillId="13" borderId="90" xfId="0" applyFont="1" applyFill="1" applyBorder="1" applyAlignment="1">
      <alignment horizontal="center" vertical="center"/>
    </xf>
    <xf numFmtId="0" fontId="11" fillId="0" borderId="92" xfId="0" applyFont="1" applyBorder="1" applyAlignment="1">
      <alignment vertical="center"/>
    </xf>
    <xf numFmtId="0" fontId="11" fillId="0" borderId="93" xfId="0" applyFont="1" applyBorder="1" applyAlignment="1">
      <alignment vertical="center"/>
    </xf>
    <xf numFmtId="0" fontId="11" fillId="0" borderId="94" xfId="0" applyFont="1" applyBorder="1" applyAlignment="1">
      <alignment vertical="center"/>
    </xf>
    <xf numFmtId="0" fontId="11" fillId="0" borderId="98" xfId="0" applyFont="1" applyBorder="1" applyAlignment="1">
      <alignment vertical="center"/>
    </xf>
    <xf numFmtId="0" fontId="11" fillId="0" borderId="103" xfId="0" applyFont="1" applyBorder="1" applyAlignment="1">
      <alignment horizontal="center" vertical="center" wrapText="1"/>
    </xf>
    <xf numFmtId="0" fontId="11" fillId="0" borderId="103" xfId="0" applyFont="1" applyBorder="1" applyAlignment="1">
      <alignment horizontal="center" vertical="center"/>
    </xf>
    <xf numFmtId="0" fontId="11" fillId="0" borderId="104"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105" xfId="0" applyFont="1" applyBorder="1" applyAlignment="1">
      <alignment horizontal="center" vertical="center"/>
    </xf>
    <xf numFmtId="3" fontId="9" fillId="14" borderId="106" xfId="0" applyNumberFormat="1" applyFont="1" applyFill="1" applyBorder="1" applyAlignment="1">
      <alignment horizontal="center" vertical="center"/>
    </xf>
    <xf numFmtId="9" fontId="9" fillId="14" borderId="106" xfId="0" applyNumberFormat="1" applyFont="1" applyFill="1" applyBorder="1" applyAlignment="1">
      <alignment horizontal="center" vertical="center"/>
    </xf>
    <xf numFmtId="3" fontId="9" fillId="14" borderId="107" xfId="0" applyNumberFormat="1" applyFont="1" applyFill="1" applyBorder="1" applyAlignment="1">
      <alignment horizontal="center" vertical="center"/>
    </xf>
    <xf numFmtId="9" fontId="9" fillId="14" borderId="107" xfId="0" applyNumberFormat="1" applyFont="1" applyFill="1" applyBorder="1" applyAlignment="1">
      <alignment horizontal="center" vertical="center"/>
    </xf>
    <xf numFmtId="3" fontId="9" fillId="14" borderId="108" xfId="0" applyNumberFormat="1" applyFont="1" applyFill="1" applyBorder="1" applyAlignment="1">
      <alignment horizontal="center" vertical="center"/>
    </xf>
    <xf numFmtId="9" fontId="9" fillId="14" borderId="108" xfId="0" applyNumberFormat="1" applyFont="1" applyFill="1" applyBorder="1" applyAlignment="1">
      <alignment horizontal="center" vertical="center"/>
    </xf>
    <xf numFmtId="0" fontId="11" fillId="0" borderId="109" xfId="0" applyFont="1" applyBorder="1" applyAlignment="1">
      <alignment vertical="center"/>
    </xf>
    <xf numFmtId="3" fontId="9" fillId="14" borderId="110" xfId="0" applyNumberFormat="1" applyFont="1" applyFill="1" applyBorder="1" applyAlignment="1">
      <alignment horizontal="center" vertical="center"/>
    </xf>
    <xf numFmtId="3" fontId="9" fillId="14" borderId="111" xfId="0" applyNumberFormat="1" applyFont="1" applyFill="1" applyBorder="1" applyAlignment="1">
      <alignment horizontal="center" vertical="center"/>
    </xf>
    <xf numFmtId="9" fontId="9" fillId="14" borderId="111" xfId="0" applyNumberFormat="1" applyFont="1" applyFill="1" applyBorder="1" applyAlignment="1">
      <alignment horizontal="center" vertical="center"/>
    </xf>
    <xf numFmtId="0" fontId="9" fillId="0" borderId="92" xfId="0" applyFont="1" applyBorder="1" applyAlignment="1">
      <alignment vertical="center"/>
    </xf>
    <xf numFmtId="0" fontId="22" fillId="0" borderId="92" xfId="0" applyFont="1" applyBorder="1" applyAlignment="1">
      <alignment vertical="center"/>
    </xf>
    <xf numFmtId="0" fontId="31" fillId="0" borderId="0" xfId="0" applyFont="1" applyAlignment="1">
      <alignment horizontal="center" vertical="center"/>
    </xf>
    <xf numFmtId="0" fontId="9" fillId="0" borderId="92" xfId="0" applyFont="1" applyBorder="1" applyAlignment="1">
      <alignment horizontal="left" vertical="center"/>
    </xf>
    <xf numFmtId="0" fontId="9" fillId="0" borderId="75" xfId="0" applyFont="1" applyBorder="1" applyAlignment="1">
      <alignment horizontal="left" vertical="center"/>
    </xf>
    <xf numFmtId="0" fontId="9" fillId="0" borderId="126" xfId="0" applyFont="1" applyBorder="1" applyAlignment="1">
      <alignment vertical="center"/>
    </xf>
    <xf numFmtId="0" fontId="35" fillId="13" borderId="25" xfId="0" applyFont="1" applyFill="1" applyBorder="1"/>
    <xf numFmtId="49" fontId="11" fillId="13" borderId="26" xfId="0" applyNumberFormat="1" applyFont="1" applyFill="1" applyBorder="1" applyAlignment="1">
      <alignment horizontal="left"/>
    </xf>
    <xf numFmtId="0" fontId="9" fillId="13" borderId="27" xfId="0" applyFont="1" applyFill="1" applyBorder="1" applyAlignment="1">
      <alignment horizontal="left"/>
    </xf>
    <xf numFmtId="0" fontId="11" fillId="13" borderId="127" xfId="0" applyFont="1" applyFill="1" applyBorder="1"/>
    <xf numFmtId="0" fontId="11" fillId="13" borderId="26" xfId="0" applyFont="1" applyFill="1" applyBorder="1"/>
    <xf numFmtId="0" fontId="11" fillId="13" borderId="128" xfId="0" applyFont="1" applyFill="1" applyBorder="1"/>
    <xf numFmtId="3" fontId="9" fillId="13" borderId="129" xfId="0" applyNumberFormat="1" applyFont="1" applyFill="1" applyBorder="1" applyAlignment="1">
      <alignment horizontal="left"/>
    </xf>
    <xf numFmtId="0" fontId="35" fillId="13" borderId="13" xfId="0" applyFont="1" applyFill="1" applyBorder="1"/>
    <xf numFmtId="0" fontId="9" fillId="13" borderId="40" xfId="0" applyFont="1" applyFill="1" applyBorder="1"/>
    <xf numFmtId="0" fontId="9" fillId="13" borderId="28" xfId="0" applyFont="1" applyFill="1" applyBorder="1"/>
    <xf numFmtId="0" fontId="9" fillId="13" borderId="18" xfId="0" applyFont="1" applyFill="1" applyBorder="1"/>
    <xf numFmtId="0" fontId="11" fillId="13" borderId="130" xfId="0" applyFont="1" applyFill="1" applyBorder="1"/>
    <xf numFmtId="0" fontId="36" fillId="13" borderId="13" xfId="0" applyFont="1" applyFill="1" applyBorder="1"/>
    <xf numFmtId="3" fontId="35" fillId="13" borderId="40" xfId="0" applyNumberFormat="1" applyFont="1" applyFill="1" applyBorder="1" applyAlignment="1">
      <alignment horizontal="center"/>
    </xf>
    <xf numFmtId="3" fontId="35" fillId="13" borderId="28" xfId="0" applyNumberFormat="1" applyFont="1" applyFill="1" applyBorder="1" applyAlignment="1">
      <alignment horizontal="center"/>
    </xf>
    <xf numFmtId="3" fontId="35" fillId="13" borderId="18" xfId="0" applyNumberFormat="1" applyFont="1" applyFill="1" applyBorder="1" applyAlignment="1">
      <alignment horizontal="center"/>
    </xf>
    <xf numFmtId="3" fontId="35" fillId="13" borderId="130" xfId="0" applyNumberFormat="1" applyFont="1" applyFill="1" applyBorder="1" applyAlignment="1">
      <alignment horizontal="center"/>
    </xf>
    <xf numFmtId="3" fontId="37" fillId="13" borderId="40" xfId="0" applyNumberFormat="1" applyFont="1" applyFill="1" applyBorder="1" applyAlignment="1">
      <alignment horizontal="center"/>
    </xf>
    <xf numFmtId="3" fontId="37" fillId="13" borderId="28" xfId="0" applyNumberFormat="1" applyFont="1" applyFill="1" applyBorder="1" applyAlignment="1">
      <alignment horizontal="center"/>
    </xf>
    <xf numFmtId="3" fontId="37" fillId="13" borderId="18" xfId="0" applyNumberFormat="1" applyFont="1" applyFill="1" applyBorder="1" applyAlignment="1">
      <alignment horizontal="center"/>
    </xf>
    <xf numFmtId="0" fontId="35" fillId="13" borderId="28" xfId="0" applyFont="1" applyFill="1" applyBorder="1"/>
    <xf numFmtId="0" fontId="9" fillId="13" borderId="19" xfId="0" applyFont="1" applyFill="1" applyBorder="1"/>
    <xf numFmtId="166" fontId="37" fillId="13" borderId="40" xfId="0" applyNumberFormat="1" applyFont="1" applyFill="1" applyBorder="1" applyAlignment="1">
      <alignment horizontal="center"/>
    </xf>
    <xf numFmtId="166" fontId="37" fillId="13" borderId="28" xfId="0" applyNumberFormat="1" applyFont="1" applyFill="1" applyBorder="1" applyAlignment="1">
      <alignment horizontal="center"/>
    </xf>
    <xf numFmtId="3" fontId="37" fillId="13" borderId="130" xfId="0" applyNumberFormat="1" applyFont="1" applyFill="1" applyBorder="1" applyAlignment="1">
      <alignment horizontal="center"/>
    </xf>
    <xf numFmtId="4" fontId="37" fillId="13" borderId="40" xfId="0" applyNumberFormat="1" applyFont="1" applyFill="1" applyBorder="1" applyAlignment="1">
      <alignment horizontal="center"/>
    </xf>
    <xf numFmtId="4" fontId="37" fillId="13" borderId="28" xfId="0" applyNumberFormat="1" applyFont="1" applyFill="1" applyBorder="1" applyAlignment="1">
      <alignment horizontal="center"/>
    </xf>
    <xf numFmtId="4" fontId="37" fillId="13" borderId="130" xfId="0" applyNumberFormat="1" applyFont="1" applyFill="1" applyBorder="1" applyAlignment="1">
      <alignment horizontal="center"/>
    </xf>
    <xf numFmtId="0" fontId="33" fillId="0" borderId="0" xfId="0" applyFont="1"/>
    <xf numFmtId="4" fontId="11" fillId="13" borderId="40" xfId="0" applyNumberFormat="1" applyFont="1" applyFill="1" applyBorder="1" applyAlignment="1">
      <alignment horizontal="right"/>
    </xf>
    <xf numFmtId="4" fontId="11" fillId="13" borderId="28" xfId="0" applyNumberFormat="1" applyFont="1" applyFill="1" applyBorder="1" applyAlignment="1">
      <alignment horizontal="right"/>
    </xf>
    <xf numFmtId="4" fontId="35" fillId="13" borderId="18" xfId="0" applyNumberFormat="1" applyFont="1" applyFill="1" applyBorder="1" applyAlignment="1">
      <alignment horizontal="right"/>
    </xf>
    <xf numFmtId="171" fontId="35" fillId="13" borderId="130" xfId="0" applyNumberFormat="1" applyFont="1" applyFill="1" applyBorder="1" applyAlignment="1">
      <alignment horizontal="right"/>
    </xf>
    <xf numFmtId="4" fontId="35" fillId="13" borderId="40" xfId="0" applyNumberFormat="1" applyFont="1" applyFill="1" applyBorder="1" applyAlignment="1">
      <alignment horizontal="right"/>
    </xf>
    <xf numFmtId="4" fontId="35" fillId="13" borderId="28" xfId="0" applyNumberFormat="1" applyFont="1" applyFill="1" applyBorder="1" applyAlignment="1">
      <alignment horizontal="right"/>
    </xf>
    <xf numFmtId="4" fontId="11" fillId="13" borderId="18" xfId="0" applyNumberFormat="1" applyFont="1" applyFill="1" applyBorder="1" applyAlignment="1">
      <alignment horizontal="right"/>
    </xf>
    <xf numFmtId="0" fontId="11" fillId="13" borderId="13" xfId="0" applyFont="1" applyFill="1" applyBorder="1"/>
    <xf numFmtId="4" fontId="11" fillId="13" borderId="40" xfId="0" applyNumberFormat="1" applyFont="1" applyFill="1" applyBorder="1"/>
    <xf numFmtId="4" fontId="11" fillId="13" borderId="28" xfId="0" applyNumberFormat="1" applyFont="1" applyFill="1" applyBorder="1"/>
    <xf numFmtId="4" fontId="11" fillId="13" borderId="18" xfId="0" applyNumberFormat="1" applyFont="1" applyFill="1" applyBorder="1"/>
    <xf numFmtId="3" fontId="22" fillId="13" borderId="40" xfId="0" applyNumberFormat="1" applyFont="1" applyFill="1" applyBorder="1"/>
    <xf numFmtId="3" fontId="22" fillId="13" borderId="28" xfId="0" applyNumberFormat="1" applyFont="1" applyFill="1" applyBorder="1"/>
    <xf numFmtId="3" fontId="36" fillId="13" borderId="18" xfId="0" applyNumberFormat="1" applyFont="1" applyFill="1" applyBorder="1"/>
    <xf numFmtId="172" fontId="22" fillId="13" borderId="130" xfId="0" applyNumberFormat="1" applyFont="1" applyFill="1" applyBorder="1"/>
    <xf numFmtId="0" fontId="35" fillId="13" borderId="29" xfId="0" applyFont="1" applyFill="1" applyBorder="1"/>
    <xf numFmtId="0" fontId="35" fillId="13" borderId="30" xfId="0" applyFont="1" applyFill="1" applyBorder="1"/>
    <xf numFmtId="0" fontId="35" fillId="13" borderId="31" xfId="0" applyFont="1" applyFill="1" applyBorder="1"/>
    <xf numFmtId="3" fontId="35" fillId="13" borderId="131" xfId="0" applyNumberFormat="1" applyFont="1" applyFill="1" applyBorder="1" applyAlignment="1">
      <alignment horizontal="center"/>
    </xf>
    <xf numFmtId="3" fontId="35" fillId="13" borderId="30" xfId="0" applyNumberFormat="1" applyFont="1" applyFill="1" applyBorder="1" applyAlignment="1">
      <alignment horizontal="center"/>
    </xf>
    <xf numFmtId="172" fontId="35" fillId="13" borderId="132" xfId="0" applyNumberFormat="1" applyFont="1" applyFill="1" applyBorder="1"/>
    <xf numFmtId="49" fontId="9" fillId="14" borderId="20" xfId="0" applyNumberFormat="1" applyFont="1" applyFill="1" applyBorder="1"/>
    <xf numFmtId="49" fontId="9" fillId="14" borderId="34" xfId="0" applyNumberFormat="1" applyFont="1" applyFill="1" applyBorder="1"/>
    <xf numFmtId="4" fontId="9" fillId="14" borderId="35" xfId="0" applyNumberFormat="1" applyFont="1" applyFill="1" applyBorder="1"/>
    <xf numFmtId="3" fontId="9" fillId="14" borderId="133" xfId="0" applyNumberFormat="1" applyFont="1" applyFill="1" applyBorder="1"/>
    <xf numFmtId="3" fontId="9" fillId="14" borderId="34" xfId="0" applyNumberFormat="1" applyFont="1" applyFill="1" applyBorder="1"/>
    <xf numFmtId="168" fontId="9" fillId="13" borderId="134" xfId="0" applyNumberFormat="1" applyFont="1" applyFill="1" applyBorder="1" applyAlignment="1">
      <alignment horizontal="right"/>
    </xf>
    <xf numFmtId="171" fontId="9" fillId="13" borderId="135" xfId="0" applyNumberFormat="1" applyFont="1" applyFill="1" applyBorder="1"/>
    <xf numFmtId="49" fontId="9" fillId="14" borderId="13" xfId="0" applyNumberFormat="1" applyFont="1" applyFill="1" applyBorder="1"/>
    <xf numFmtId="49" fontId="9" fillId="14" borderId="28" xfId="0" applyNumberFormat="1" applyFont="1" applyFill="1" applyBorder="1"/>
    <xf numFmtId="3" fontId="9" fillId="14" borderId="28" xfId="0" applyNumberFormat="1" applyFont="1" applyFill="1" applyBorder="1"/>
    <xf numFmtId="168" fontId="9" fillId="13" borderId="18" xfId="0" applyNumberFormat="1" applyFont="1" applyFill="1" applyBorder="1" applyAlignment="1">
      <alignment horizontal="right"/>
    </xf>
    <xf numFmtId="171" fontId="9" fillId="13" borderId="130" xfId="0" applyNumberFormat="1" applyFont="1" applyFill="1" applyBorder="1"/>
    <xf numFmtId="49" fontId="9" fillId="14" borderId="29" xfId="0" applyNumberFormat="1" applyFont="1" applyFill="1" applyBorder="1"/>
    <xf numFmtId="49" fontId="9" fillId="14" borderId="30" xfId="0" applyNumberFormat="1" applyFont="1" applyFill="1" applyBorder="1"/>
    <xf numFmtId="49" fontId="9" fillId="14" borderId="31" xfId="0" applyNumberFormat="1" applyFont="1" applyFill="1" applyBorder="1"/>
    <xf numFmtId="3" fontId="9" fillId="14" borderId="131" xfId="0" applyNumberFormat="1" applyFont="1" applyFill="1" applyBorder="1"/>
    <xf numFmtId="3" fontId="9" fillId="14" borderId="30" xfId="0" applyNumberFormat="1" applyFont="1" applyFill="1" applyBorder="1"/>
    <xf numFmtId="171" fontId="9" fillId="13" borderId="132" xfId="0" applyNumberFormat="1" applyFont="1" applyFill="1" applyBorder="1"/>
    <xf numFmtId="0" fontId="35" fillId="0" borderId="0" xfId="0" applyFont="1"/>
    <xf numFmtId="0" fontId="38" fillId="0" borderId="0" xfId="0" applyFont="1"/>
    <xf numFmtId="49" fontId="38" fillId="0" borderId="0" xfId="0" applyNumberFormat="1" applyFont="1"/>
    <xf numFmtId="0" fontId="11" fillId="13" borderId="25" xfId="0" applyFont="1" applyFill="1" applyBorder="1" applyAlignment="1">
      <alignment horizontal="center" vertical="center" wrapText="1"/>
    </xf>
    <xf numFmtId="0" fontId="11" fillId="13" borderId="26" xfId="0" applyFont="1" applyFill="1" applyBorder="1" applyAlignment="1">
      <alignment horizontal="center" vertical="center" wrapText="1"/>
    </xf>
    <xf numFmtId="0" fontId="11" fillId="13" borderId="27" xfId="0" applyFont="1" applyFill="1" applyBorder="1" applyAlignment="1">
      <alignment horizontal="center" vertical="center" wrapText="1"/>
    </xf>
    <xf numFmtId="0" fontId="9" fillId="13" borderId="13" xfId="0" applyFont="1" applyFill="1" applyBorder="1"/>
    <xf numFmtId="166" fontId="9" fillId="13" borderId="28" xfId="0" applyNumberFormat="1" applyFont="1" applyFill="1" applyBorder="1"/>
    <xf numFmtId="2" fontId="9" fillId="13" borderId="28" xfId="0" applyNumberFormat="1" applyFont="1" applyFill="1" applyBorder="1"/>
    <xf numFmtId="169" fontId="9" fillId="13" borderId="28" xfId="0" applyNumberFormat="1" applyFont="1" applyFill="1" applyBorder="1"/>
    <xf numFmtId="4" fontId="9" fillId="13" borderId="28" xfId="0" applyNumberFormat="1" applyFont="1" applyFill="1" applyBorder="1"/>
    <xf numFmtId="3" fontId="9" fillId="13" borderId="28" xfId="0" applyNumberFormat="1" applyFont="1" applyFill="1" applyBorder="1"/>
    <xf numFmtId="0" fontId="9" fillId="13" borderId="29" xfId="0" applyFont="1" applyFill="1" applyBorder="1"/>
    <xf numFmtId="0" fontId="9" fillId="13" borderId="30" xfId="0" applyFont="1" applyFill="1" applyBorder="1"/>
    <xf numFmtId="2" fontId="9" fillId="13" borderId="30" xfId="0" applyNumberFormat="1" applyFont="1" applyFill="1" applyBorder="1"/>
    <xf numFmtId="166" fontId="9" fillId="13" borderId="30" xfId="0" applyNumberFormat="1" applyFont="1" applyFill="1" applyBorder="1"/>
    <xf numFmtId="4" fontId="9" fillId="13" borderId="30" xfId="0" applyNumberFormat="1" applyFont="1" applyFill="1" applyBorder="1"/>
    <xf numFmtId="0" fontId="9" fillId="13" borderId="31" xfId="0" applyFont="1" applyFill="1" applyBorder="1"/>
    <xf numFmtId="0" fontId="35" fillId="13" borderId="28" xfId="0" applyFont="1" applyFill="1" applyBorder="1" applyAlignment="1">
      <alignment horizontal="center"/>
    </xf>
    <xf numFmtId="0" fontId="35" fillId="13" borderId="19" xfId="0" applyFont="1" applyFill="1" applyBorder="1"/>
    <xf numFmtId="169" fontId="9" fillId="13" borderId="30" xfId="0" applyNumberFormat="1" applyFont="1" applyFill="1" applyBorder="1"/>
    <xf numFmtId="0" fontId="39" fillId="13" borderId="13" xfId="0" applyFont="1" applyFill="1" applyBorder="1"/>
    <xf numFmtId="173" fontId="9" fillId="13" borderId="28" xfId="0" applyNumberFormat="1" applyFont="1" applyFill="1" applyBorder="1"/>
    <xf numFmtId="170" fontId="9" fillId="13" borderId="28" xfId="0" applyNumberFormat="1" applyFont="1" applyFill="1" applyBorder="1"/>
    <xf numFmtId="11" fontId="9" fillId="13" borderId="28" xfId="0" applyNumberFormat="1" applyFont="1" applyFill="1" applyBorder="1"/>
    <xf numFmtId="174" fontId="9" fillId="13" borderId="28" xfId="0" applyNumberFormat="1" applyFont="1" applyFill="1" applyBorder="1"/>
    <xf numFmtId="165" fontId="9" fillId="13" borderId="28" xfId="0" applyNumberFormat="1" applyFont="1" applyFill="1" applyBorder="1"/>
    <xf numFmtId="175" fontId="9" fillId="13" borderId="28" xfId="0" applyNumberFormat="1" applyFont="1" applyFill="1" applyBorder="1"/>
    <xf numFmtId="3" fontId="9" fillId="13" borderId="13" xfId="0" applyNumberFormat="1" applyFont="1" applyFill="1" applyBorder="1" applyAlignment="1">
      <alignment horizontal="left"/>
    </xf>
    <xf numFmtId="176" fontId="9" fillId="13" borderId="28" xfId="0" applyNumberFormat="1" applyFont="1" applyFill="1" applyBorder="1"/>
    <xf numFmtId="168" fontId="9" fillId="13" borderId="28" xfId="0" applyNumberFormat="1" applyFont="1" applyFill="1" applyBorder="1"/>
    <xf numFmtId="177" fontId="9" fillId="13" borderId="28" xfId="0" applyNumberFormat="1" applyFont="1" applyFill="1" applyBorder="1"/>
    <xf numFmtId="178" fontId="9" fillId="13" borderId="28" xfId="0" applyNumberFormat="1" applyFont="1" applyFill="1" applyBorder="1"/>
    <xf numFmtId="1" fontId="9" fillId="13" borderId="30" xfId="0" applyNumberFormat="1" applyFont="1" applyFill="1" applyBorder="1"/>
    <xf numFmtId="49" fontId="9" fillId="13" borderId="28" xfId="0" applyNumberFormat="1" applyFont="1" applyFill="1" applyBorder="1" applyAlignment="1">
      <alignment horizontal="center"/>
    </xf>
    <xf numFmtId="0" fontId="9" fillId="13" borderId="28" xfId="0" applyFont="1" applyFill="1" applyBorder="1" applyAlignment="1">
      <alignment horizontal="center"/>
    </xf>
    <xf numFmtId="3" fontId="9" fillId="13" borderId="19" xfId="0" applyNumberFormat="1" applyFont="1" applyFill="1" applyBorder="1" applyAlignment="1">
      <alignment horizontal="left"/>
    </xf>
    <xf numFmtId="0" fontId="9" fillId="13" borderId="19" xfId="0" applyFont="1" applyFill="1" applyBorder="1" applyAlignment="1">
      <alignment horizontal="left"/>
    </xf>
    <xf numFmtId="49" fontId="9" fillId="13" borderId="30" xfId="0" applyNumberFormat="1" applyFont="1" applyFill="1" applyBorder="1" applyAlignment="1">
      <alignment horizontal="center"/>
    </xf>
    <xf numFmtId="0" fontId="9" fillId="13" borderId="30" xfId="0" applyFont="1" applyFill="1" applyBorder="1" applyAlignment="1">
      <alignment horizontal="center"/>
    </xf>
    <xf numFmtId="0" fontId="40" fillId="13" borderId="28" xfId="0" applyFont="1" applyFill="1" applyBorder="1" applyAlignment="1">
      <alignment horizontal="center"/>
    </xf>
    <xf numFmtId="0" fontId="40" fillId="13" borderId="30" xfId="0" applyFont="1" applyFill="1" applyBorder="1" applyAlignment="1">
      <alignment horizontal="center"/>
    </xf>
    <xf numFmtId="0" fontId="9" fillId="13" borderId="19" xfId="0" quotePrefix="1" applyFont="1" applyFill="1" applyBorder="1"/>
    <xf numFmtId="0" fontId="41" fillId="13" borderId="28" xfId="0" applyFont="1" applyFill="1" applyBorder="1" applyAlignment="1">
      <alignment horizontal="center"/>
    </xf>
    <xf numFmtId="0" fontId="9" fillId="13" borderId="31" xfId="0" quotePrefix="1" applyFont="1" applyFill="1" applyBorder="1"/>
    <xf numFmtId="0" fontId="9" fillId="13" borderId="13" xfId="0" quotePrefix="1" applyFont="1" applyFill="1" applyBorder="1"/>
    <xf numFmtId="0" fontId="9" fillId="13" borderId="28" xfId="0" quotePrefix="1" applyFont="1" applyFill="1" applyBorder="1"/>
    <xf numFmtId="0" fontId="9" fillId="13" borderId="29" xfId="0" quotePrefix="1" applyFont="1" applyFill="1" applyBorder="1"/>
    <xf numFmtId="0" fontId="42" fillId="13" borderId="19" xfId="0" applyFont="1" applyFill="1" applyBorder="1"/>
    <xf numFmtId="0" fontId="11" fillId="0" borderId="141" xfId="0" applyFont="1" applyBorder="1"/>
    <xf numFmtId="0" fontId="9" fillId="0" borderId="142" xfId="0" applyFont="1" applyBorder="1"/>
    <xf numFmtId="0" fontId="9" fillId="0" borderId="143" xfId="0" applyFont="1" applyBorder="1"/>
    <xf numFmtId="3" fontId="9" fillId="0" borderId="64" xfId="0" applyNumberFormat="1" applyFont="1" applyBorder="1"/>
    <xf numFmtId="9" fontId="9" fillId="0" borderId="77" xfId="0" applyNumberFormat="1" applyFont="1" applyBorder="1"/>
    <xf numFmtId="3" fontId="9" fillId="0" borderId="70" xfId="0" applyNumberFormat="1" applyFont="1" applyBorder="1"/>
    <xf numFmtId="9" fontId="9" fillId="0" borderId="71" xfId="0" applyNumberFormat="1" applyFont="1" applyBorder="1"/>
    <xf numFmtId="9" fontId="9" fillId="0" borderId="81" xfId="0" applyNumberFormat="1" applyFont="1" applyBorder="1"/>
    <xf numFmtId="0" fontId="11" fillId="0" borderId="141" xfId="0" applyFont="1" applyBorder="1" applyAlignment="1">
      <alignment vertical="center"/>
    </xf>
    <xf numFmtId="3" fontId="9" fillId="0" borderId="77" xfId="0" applyNumberFormat="1" applyFont="1" applyBorder="1"/>
    <xf numFmtId="164" fontId="9" fillId="0" borderId="77" xfId="0" applyNumberFormat="1" applyFont="1" applyBorder="1"/>
    <xf numFmtId="10" fontId="9" fillId="0" borderId="71" xfId="0" applyNumberFormat="1" applyFont="1" applyBorder="1"/>
    <xf numFmtId="0" fontId="9" fillId="0" borderId="55" xfId="0" applyFont="1" applyBorder="1"/>
    <xf numFmtId="0" fontId="9" fillId="0" borderId="144" xfId="0" applyFont="1" applyBorder="1"/>
    <xf numFmtId="0" fontId="43" fillId="0" borderId="0" xfId="0" applyFont="1"/>
    <xf numFmtId="0" fontId="43" fillId="0" borderId="0" xfId="0" applyFont="1" applyAlignment="1">
      <alignment horizontal="right"/>
    </xf>
    <xf numFmtId="0" fontId="11" fillId="0" borderId="49" xfId="0" applyFont="1" applyBorder="1"/>
    <xf numFmtId="0" fontId="9" fillId="0" borderId="141" xfId="0" applyFont="1" applyBorder="1"/>
    <xf numFmtId="179" fontId="9" fillId="0" borderId="142" xfId="0" applyNumberFormat="1" applyFont="1" applyBorder="1"/>
    <xf numFmtId="4" fontId="9" fillId="0" borderId="71" xfId="0" applyNumberFormat="1" applyFont="1" applyBorder="1"/>
    <xf numFmtId="3" fontId="9" fillId="0" borderId="142" xfId="0" applyNumberFormat="1" applyFont="1" applyBorder="1"/>
    <xf numFmtId="0" fontId="11" fillId="0" borderId="142" xfId="0" applyFont="1" applyBorder="1"/>
    <xf numFmtId="0" fontId="11" fillId="0" borderId="143" xfId="0" applyFont="1" applyBorder="1"/>
    <xf numFmtId="0" fontId="11" fillId="0" borderId="64" xfId="0" applyFont="1" applyBorder="1" applyAlignment="1">
      <alignment vertical="center"/>
    </xf>
    <xf numFmtId="0" fontId="11" fillId="0" borderId="77" xfId="0" applyFont="1" applyBorder="1"/>
    <xf numFmtId="165" fontId="9" fillId="0" borderId="77" xfId="0" applyNumberFormat="1" applyFont="1" applyBorder="1"/>
    <xf numFmtId="4" fontId="9" fillId="0" borderId="0" xfId="0" applyNumberFormat="1" applyFont="1"/>
    <xf numFmtId="4" fontId="11" fillId="0" borderId="71" xfId="0" applyNumberFormat="1" applyFont="1" applyBorder="1"/>
    <xf numFmtId="165" fontId="9" fillId="0" borderId="71" xfId="0" applyNumberFormat="1" applyFont="1" applyBorder="1"/>
    <xf numFmtId="165" fontId="11" fillId="0" borderId="81" xfId="0" applyNumberFormat="1" applyFont="1" applyBorder="1"/>
    <xf numFmtId="4" fontId="11" fillId="0" borderId="0" xfId="0" applyNumberFormat="1" applyFont="1"/>
    <xf numFmtId="165" fontId="9" fillId="0" borderId="0" xfId="0" applyNumberFormat="1" applyFont="1"/>
    <xf numFmtId="0" fontId="21" fillId="0" borderId="141" xfId="0" applyFont="1" applyBorder="1" applyAlignment="1">
      <alignment vertical="center"/>
    </xf>
    <xf numFmtId="0" fontId="21" fillId="0" borderId="142" xfId="0" applyFont="1" applyBorder="1" applyAlignment="1">
      <alignment vertical="center"/>
    </xf>
    <xf numFmtId="0" fontId="21" fillId="0" borderId="143" xfId="0" applyFont="1" applyBorder="1" applyAlignment="1">
      <alignment vertical="center"/>
    </xf>
    <xf numFmtId="4" fontId="9" fillId="0" borderId="77" xfId="0" applyNumberFormat="1" applyFont="1" applyBorder="1"/>
    <xf numFmtId="4" fontId="9" fillId="0" borderId="81" xfId="0" applyNumberFormat="1" applyFont="1" applyBorder="1"/>
    <xf numFmtId="0" fontId="35" fillId="0" borderId="141" xfId="0" applyFont="1" applyBorder="1"/>
    <xf numFmtId="0" fontId="35" fillId="0" borderId="143" xfId="0" applyFont="1" applyBorder="1"/>
    <xf numFmtId="3" fontId="9" fillId="0" borderId="81" xfId="0" applyNumberFormat="1" applyFont="1" applyBorder="1"/>
    <xf numFmtId="0" fontId="35" fillId="0" borderId="2" xfId="0" applyFont="1" applyBorder="1"/>
    <xf numFmtId="0" fontId="9" fillId="0" borderId="145" xfId="0" applyFont="1" applyBorder="1"/>
    <xf numFmtId="4" fontId="9" fillId="0" borderId="2" xfId="0" quotePrefix="1" applyNumberFormat="1" applyFont="1" applyBorder="1"/>
    <xf numFmtId="0" fontId="9" fillId="0" borderId="2" xfId="0" applyFont="1" applyBorder="1" applyAlignment="1">
      <alignment wrapText="1"/>
    </xf>
    <xf numFmtId="3" fontId="35" fillId="0" borderId="2" xfId="0" applyNumberFormat="1" applyFont="1" applyBorder="1"/>
    <xf numFmtId="14" fontId="9" fillId="0" borderId="143" xfId="0" applyNumberFormat="1" applyFont="1" applyBorder="1"/>
    <xf numFmtId="0" fontId="9" fillId="0" borderId="146" xfId="0" applyFont="1" applyBorder="1"/>
    <xf numFmtId="3" fontId="9" fillId="0" borderId="147" xfId="0" applyNumberFormat="1" applyFont="1" applyBorder="1"/>
    <xf numFmtId="14" fontId="9" fillId="0" borderId="148" xfId="0" applyNumberFormat="1" applyFont="1" applyBorder="1"/>
    <xf numFmtId="0" fontId="9" fillId="0" borderId="54" xfId="0" applyFont="1" applyBorder="1"/>
    <xf numFmtId="165" fontId="9" fillId="0" borderId="143" xfId="0" applyNumberFormat="1" applyFont="1" applyBorder="1"/>
    <xf numFmtId="165" fontId="9" fillId="0" borderId="81" xfId="0" applyNumberFormat="1" applyFont="1" applyBorder="1"/>
    <xf numFmtId="0" fontId="4" fillId="5" borderId="147" xfId="0" applyFont="1" applyFill="1" applyBorder="1" applyAlignment="1">
      <alignment horizontal="left" vertical="center" wrapText="1"/>
    </xf>
    <xf numFmtId="0" fontId="4" fillId="5" borderId="147" xfId="0" applyFont="1" applyFill="1" applyBorder="1" applyAlignment="1">
      <alignment vertical="center" wrapText="1"/>
    </xf>
    <xf numFmtId="0" fontId="4" fillId="5" borderId="65" xfId="0" applyFont="1" applyFill="1" applyBorder="1" applyAlignment="1">
      <alignment vertical="center" wrapText="1"/>
    </xf>
    <xf numFmtId="4" fontId="7" fillId="7" borderId="61" xfId="0" applyNumberFormat="1" applyFont="1" applyFill="1" applyBorder="1" applyAlignment="1">
      <alignment horizontal="left"/>
    </xf>
    <xf numFmtId="0" fontId="19" fillId="5" borderId="147" xfId="0" applyFont="1" applyFill="1" applyBorder="1" applyAlignment="1">
      <alignment vertical="center" wrapText="1"/>
    </xf>
    <xf numFmtId="0" fontId="23" fillId="0" borderId="0" xfId="0" applyFont="1"/>
    <xf numFmtId="0" fontId="34" fillId="17" borderId="124" xfId="0" applyFont="1" applyFill="1" applyBorder="1" applyAlignment="1">
      <alignment vertical="center"/>
    </xf>
    <xf numFmtId="0" fontId="34" fillId="17" borderId="125" xfId="0" applyFont="1" applyFill="1" applyBorder="1" applyAlignment="1">
      <alignment vertical="center"/>
    </xf>
    <xf numFmtId="0" fontId="34" fillId="17" borderId="125" xfId="0" applyFont="1" applyFill="1" applyBorder="1" applyAlignment="1">
      <alignment horizontal="center" vertical="center"/>
    </xf>
    <xf numFmtId="0" fontId="11" fillId="0" borderId="107" xfId="0" applyFont="1" applyBorder="1" applyAlignment="1">
      <alignment horizontal="center" vertical="center" wrapText="1"/>
    </xf>
    <xf numFmtId="3" fontId="35" fillId="13" borderId="137" xfId="0" applyNumberFormat="1" applyFont="1" applyFill="1" applyBorder="1" applyAlignment="1">
      <alignment horizontal="center"/>
    </xf>
    <xf numFmtId="168" fontId="9" fillId="13" borderId="137" xfId="0" applyNumberFormat="1" applyFont="1" applyFill="1" applyBorder="1" applyAlignment="1">
      <alignment horizontal="right"/>
    </xf>
    <xf numFmtId="0" fontId="23" fillId="0" borderId="140" xfId="0" applyFont="1" applyBorder="1"/>
    <xf numFmtId="0" fontId="12" fillId="0" borderId="0" xfId="0" applyFont="1" applyAlignment="1">
      <alignment wrapText="1"/>
    </xf>
    <xf numFmtId="0" fontId="57" fillId="6" borderId="2" xfId="0" applyFont="1" applyFill="1" applyBorder="1" applyAlignment="1">
      <alignment vertical="center"/>
    </xf>
    <xf numFmtId="0" fontId="57" fillId="2" borderId="2" xfId="0" applyFont="1" applyFill="1" applyBorder="1" applyAlignment="1">
      <alignment vertical="center"/>
    </xf>
    <xf numFmtId="2" fontId="57" fillId="12" borderId="2" xfId="0" applyNumberFormat="1" applyFont="1" applyFill="1" applyBorder="1"/>
    <xf numFmtId="0" fontId="11" fillId="0" borderId="48" xfId="0" applyFont="1" applyBorder="1" applyAlignment="1">
      <alignment horizontal="center"/>
    </xf>
    <xf numFmtId="2" fontId="9" fillId="2" borderId="1" xfId="0" applyNumberFormat="1" applyFont="1" applyFill="1" applyBorder="1" applyAlignment="1">
      <alignment vertical="center"/>
    </xf>
    <xf numFmtId="0" fontId="0" fillId="20" borderId="0" xfId="0" applyFill="1"/>
    <xf numFmtId="1" fontId="9" fillId="21" borderId="2" xfId="0" applyNumberFormat="1" applyFont="1" applyFill="1" applyBorder="1"/>
    <xf numFmtId="1" fontId="9" fillId="0" borderId="2" xfId="0" applyNumberFormat="1" applyFont="1" applyFill="1" applyBorder="1"/>
    <xf numFmtId="2" fontId="9" fillId="0" borderId="2" xfId="0" applyNumberFormat="1" applyFont="1" applyFill="1" applyBorder="1"/>
    <xf numFmtId="3" fontId="9" fillId="0" borderId="2" xfId="0" applyNumberFormat="1" applyFont="1" applyFill="1" applyBorder="1"/>
    <xf numFmtId="1" fontId="58" fillId="0" borderId="0" xfId="0" applyNumberFormat="1" applyFont="1"/>
    <xf numFmtId="1" fontId="9" fillId="21" borderId="65" xfId="0" applyNumberFormat="1" applyFont="1" applyFill="1" applyBorder="1"/>
    <xf numFmtId="0" fontId="9" fillId="0" borderId="1" xfId="0" applyFont="1" applyBorder="1"/>
    <xf numFmtId="0" fontId="59" fillId="0" borderId="0" xfId="0" applyFont="1"/>
    <xf numFmtId="3" fontId="8" fillId="20" borderId="1" xfId="0" applyNumberFormat="1" applyFont="1" applyFill="1" applyBorder="1" applyAlignment="1">
      <alignment vertical="center"/>
    </xf>
    <xf numFmtId="0" fontId="1" fillId="20" borderId="1" xfId="0" applyFont="1" applyFill="1" applyBorder="1" applyAlignment="1">
      <alignment vertical="center"/>
    </xf>
    <xf numFmtId="0" fontId="4" fillId="5" borderId="150" xfId="0" applyFont="1" applyFill="1" applyBorder="1" applyAlignment="1">
      <alignment vertical="center" wrapText="1"/>
    </xf>
    <xf numFmtId="0" fontId="60" fillId="22" borderId="1" xfId="0" applyFont="1" applyFill="1" applyBorder="1"/>
    <xf numFmtId="0" fontId="7" fillId="22" borderId="1" xfId="0" applyFont="1" applyFill="1" applyBorder="1"/>
    <xf numFmtId="0" fontId="0" fillId="20" borderId="1" xfId="0" applyFill="1" applyBorder="1"/>
    <xf numFmtId="0" fontId="11" fillId="0" borderId="52" xfId="0" applyFont="1" applyBorder="1" applyAlignment="1">
      <alignment horizontal="center"/>
    </xf>
    <xf numFmtId="1" fontId="9" fillId="0" borderId="151" xfId="0" applyNumberFormat="1" applyFont="1" applyBorder="1"/>
    <xf numFmtId="0" fontId="9" fillId="0" borderId="126" xfId="0" applyFont="1" applyBorder="1"/>
    <xf numFmtId="0" fontId="9" fillId="0" borderId="151" xfId="0" applyFont="1" applyBorder="1"/>
    <xf numFmtId="1" fontId="9" fillId="0" borderId="75" xfId="0" applyNumberFormat="1" applyFont="1" applyBorder="1"/>
    <xf numFmtId="1" fontId="29" fillId="0" borderId="65" xfId="0" applyNumberFormat="1" applyFont="1" applyBorder="1"/>
    <xf numFmtId="0" fontId="11" fillId="0" borderId="152" xfId="0" applyFont="1" applyBorder="1" applyAlignment="1">
      <alignment horizontal="center"/>
    </xf>
    <xf numFmtId="1" fontId="9" fillId="0" borderId="153" xfId="0" applyNumberFormat="1" applyFont="1" applyBorder="1"/>
    <xf numFmtId="1" fontId="9" fillId="0" borderId="154" xfId="0" applyNumberFormat="1" applyFont="1" applyBorder="1"/>
    <xf numFmtId="3" fontId="11" fillId="0" borderId="47" xfId="0" applyNumberFormat="1" applyFont="1" applyBorder="1" applyAlignment="1">
      <alignment horizontal="center" wrapText="1"/>
    </xf>
    <xf numFmtId="0" fontId="20" fillId="0" borderId="1" xfId="0" applyFont="1" applyBorder="1" applyAlignment="1"/>
    <xf numFmtId="0" fontId="11" fillId="0" borderId="45" xfId="0" applyFont="1" applyBorder="1" applyAlignment="1">
      <alignment vertical="center"/>
    </xf>
    <xf numFmtId="0" fontId="20" fillId="0" borderId="156" xfId="0" applyFont="1" applyBorder="1" applyAlignment="1"/>
    <xf numFmtId="0" fontId="20" fillId="0" borderId="157" xfId="0" applyFont="1" applyBorder="1" applyAlignment="1"/>
    <xf numFmtId="0" fontId="9" fillId="0" borderId="158" xfId="0" applyFont="1" applyBorder="1"/>
    <xf numFmtId="0" fontId="9" fillId="0" borderId="154" xfId="0" applyFont="1" applyBorder="1"/>
    <xf numFmtId="1" fontId="9" fillId="0" borderId="1" xfId="0" applyNumberFormat="1" applyFont="1" applyBorder="1"/>
    <xf numFmtId="0" fontId="9" fillId="0" borderId="49" xfId="0" applyFont="1" applyBorder="1"/>
    <xf numFmtId="0" fontId="9" fillId="0" borderId="159" xfId="0" applyFont="1" applyBorder="1"/>
    <xf numFmtId="0" fontId="9" fillId="0" borderId="160" xfId="0" applyFont="1" applyBorder="1"/>
    <xf numFmtId="165" fontId="9" fillId="0" borderId="160" xfId="0" applyNumberFormat="1" applyFont="1" applyBorder="1"/>
    <xf numFmtId="166" fontId="9" fillId="0" borderId="160" xfId="0" applyNumberFormat="1" applyFont="1" applyBorder="1"/>
    <xf numFmtId="2" fontId="9" fillId="0" borderId="160" xfId="0" applyNumberFormat="1" applyFont="1" applyBorder="1"/>
    <xf numFmtId="9" fontId="9" fillId="0" borderId="160" xfId="0" applyNumberFormat="1" applyFont="1" applyBorder="1"/>
    <xf numFmtId="1" fontId="9" fillId="0" borderId="160" xfId="0" applyNumberFormat="1" applyFont="1" applyBorder="1"/>
    <xf numFmtId="3" fontId="33" fillId="0" borderId="161" xfId="0" applyNumberFormat="1" applyFont="1" applyBorder="1"/>
    <xf numFmtId="0" fontId="9" fillId="0" borderId="162" xfId="0" applyFont="1" applyBorder="1"/>
    <xf numFmtId="1" fontId="9" fillId="0" borderId="163" xfId="0" applyNumberFormat="1" applyFont="1" applyBorder="1"/>
    <xf numFmtId="0" fontId="9" fillId="0" borderId="165" xfId="0" applyFont="1" applyBorder="1"/>
    <xf numFmtId="0" fontId="11" fillId="0" borderId="155" xfId="0" applyFont="1" applyBorder="1" applyAlignment="1"/>
    <xf numFmtId="0" fontId="9" fillId="0" borderId="164" xfId="0" applyFont="1" applyBorder="1"/>
    <xf numFmtId="0" fontId="9" fillId="0" borderId="166" xfId="0" applyFont="1" applyBorder="1"/>
    <xf numFmtId="0" fontId="11" fillId="0" borderId="167" xfId="0" applyFont="1" applyBorder="1"/>
    <xf numFmtId="0" fontId="9" fillId="0" borderId="168" xfId="0" applyFont="1" applyBorder="1"/>
    <xf numFmtId="0" fontId="9" fillId="0" borderId="169" xfId="0" applyFont="1" applyBorder="1"/>
    <xf numFmtId="0" fontId="11" fillId="0" borderId="152" xfId="0" applyFont="1" applyBorder="1" applyAlignment="1">
      <alignment horizontal="center" wrapText="1"/>
    </xf>
    <xf numFmtId="3" fontId="9" fillId="14" borderId="32" xfId="0" applyNumberFormat="1" applyFont="1" applyFill="1" applyBorder="1" applyAlignment="1">
      <alignment vertical="center"/>
    </xf>
    <xf numFmtId="0" fontId="9" fillId="14" borderId="33" xfId="0" applyFont="1" applyFill="1" applyBorder="1" applyAlignment="1">
      <alignment vertical="center"/>
    </xf>
    <xf numFmtId="3" fontId="9" fillId="14" borderId="1" xfId="0" applyNumberFormat="1" applyFont="1" applyFill="1" applyBorder="1" applyAlignment="1">
      <alignment horizontal="center" vertical="center"/>
    </xf>
    <xf numFmtId="9" fontId="9" fillId="14" borderId="104" xfId="0" applyNumberFormat="1" applyFont="1" applyFill="1" applyBorder="1" applyAlignment="1">
      <alignment horizontal="center"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0" fontId="11" fillId="0" borderId="173" xfId="0" applyFont="1" applyBorder="1" applyAlignment="1">
      <alignment vertical="center"/>
    </xf>
    <xf numFmtId="3" fontId="9" fillId="14" borderId="34" xfId="0" applyNumberFormat="1" applyFont="1" applyFill="1" applyBorder="1" applyAlignment="1">
      <alignment vertical="center"/>
    </xf>
    <xf numFmtId="49" fontId="9" fillId="14" borderId="35" xfId="0" applyNumberFormat="1" applyFont="1" applyFill="1" applyBorder="1" applyAlignment="1">
      <alignment vertical="center"/>
    </xf>
    <xf numFmtId="1" fontId="9" fillId="20" borderId="65" xfId="0" applyNumberFormat="1" applyFont="1" applyFill="1" applyBorder="1"/>
    <xf numFmtId="1" fontId="9" fillId="0" borderId="175" xfId="0" applyNumberFormat="1" applyFont="1" applyBorder="1"/>
    <xf numFmtId="1" fontId="9" fillId="0" borderId="174" xfId="0" applyNumberFormat="1" applyFont="1" applyBorder="1"/>
    <xf numFmtId="1" fontId="9" fillId="21" borderId="151" xfId="0" applyNumberFormat="1" applyFont="1" applyFill="1" applyBorder="1"/>
    <xf numFmtId="168" fontId="9" fillId="0" borderId="0" xfId="0" applyNumberFormat="1" applyFont="1"/>
    <xf numFmtId="180" fontId="9" fillId="0" borderId="0" xfId="0" applyNumberFormat="1" applyFont="1"/>
    <xf numFmtId="166" fontId="9" fillId="0" borderId="75" xfId="0" applyNumberFormat="1" applyFont="1" applyBorder="1"/>
    <xf numFmtId="166" fontId="29" fillId="0" borderId="65" xfId="0" applyNumberFormat="1" applyFont="1" applyBorder="1"/>
    <xf numFmtId="3" fontId="11" fillId="0" borderId="47" xfId="0" applyNumberFormat="1" applyFont="1" applyBorder="1" applyAlignment="1">
      <alignment wrapText="1"/>
    </xf>
    <xf numFmtId="0" fontId="11" fillId="0" borderId="48" xfId="0" applyFont="1" applyBorder="1" applyAlignment="1">
      <alignment wrapText="1"/>
    </xf>
    <xf numFmtId="0" fontId="11" fillId="0" borderId="176" xfId="0" applyFont="1" applyBorder="1" applyAlignment="1">
      <alignment wrapText="1"/>
    </xf>
    <xf numFmtId="0" fontId="11" fillId="0" borderId="152" xfId="0" applyFont="1" applyBorder="1" applyAlignment="1">
      <alignment wrapText="1"/>
    </xf>
    <xf numFmtId="0" fontId="11" fillId="0" borderId="52" xfId="0" applyFont="1" applyBorder="1" applyAlignment="1">
      <alignment wrapText="1"/>
    </xf>
    <xf numFmtId="3" fontId="0" fillId="0" borderId="0" xfId="0" applyNumberFormat="1"/>
    <xf numFmtId="165" fontId="9" fillId="0" borderId="65" xfId="0" applyNumberFormat="1" applyFont="1" applyBorder="1" applyAlignment="1">
      <alignment horizontal="left"/>
    </xf>
    <xf numFmtId="4" fontId="9" fillId="0" borderId="65" xfId="0" applyNumberFormat="1" applyFont="1" applyBorder="1" applyAlignment="1">
      <alignment horizontal="left"/>
    </xf>
    <xf numFmtId="0" fontId="9" fillId="0" borderId="174" xfId="0" applyFont="1" applyBorder="1"/>
    <xf numFmtId="0" fontId="9" fillId="0" borderId="177" xfId="0" applyFont="1" applyBorder="1"/>
    <xf numFmtId="165" fontId="9" fillId="0" borderId="174" xfId="0" applyNumberFormat="1" applyFont="1" applyBorder="1" applyAlignment="1">
      <alignment horizontal="left"/>
    </xf>
    <xf numFmtId="4" fontId="9" fillId="0" borderId="174" xfId="0" applyNumberFormat="1" applyFont="1" applyBorder="1" applyAlignment="1">
      <alignment horizontal="left"/>
    </xf>
    <xf numFmtId="165" fontId="9" fillId="0" borderId="1" xfId="0" applyNumberFormat="1" applyFont="1" applyBorder="1" applyAlignment="1">
      <alignment horizontal="left"/>
    </xf>
    <xf numFmtId="4" fontId="9" fillId="0" borderId="1" xfId="0" applyNumberFormat="1" applyFont="1" applyBorder="1" applyAlignment="1">
      <alignment horizontal="left"/>
    </xf>
    <xf numFmtId="0" fontId="21" fillId="0" borderId="64" xfId="0" applyFont="1" applyBorder="1" applyAlignment="1">
      <alignment wrapText="1"/>
    </xf>
    <xf numFmtId="9" fontId="9" fillId="0" borderId="2" xfId="0" applyNumberFormat="1" applyFont="1" applyBorder="1" applyAlignment="1">
      <alignment wrapText="1"/>
    </xf>
    <xf numFmtId="9" fontId="9" fillId="0" borderId="65" xfId="0" applyNumberFormat="1" applyFont="1" applyBorder="1" applyAlignment="1">
      <alignment wrapText="1"/>
    </xf>
    <xf numFmtId="0" fontId="9" fillId="0" borderId="69" xfId="0" applyFont="1" applyBorder="1" applyAlignment="1">
      <alignment wrapText="1"/>
    </xf>
    <xf numFmtId="1" fontId="9" fillId="0" borderId="0" xfId="0" applyNumberFormat="1" applyFont="1" applyAlignment="1">
      <alignment wrapText="1"/>
    </xf>
    <xf numFmtId="0" fontId="9" fillId="0" borderId="58" xfId="0" applyFont="1" applyBorder="1" applyAlignment="1">
      <alignment wrapText="1"/>
    </xf>
    <xf numFmtId="0" fontId="21" fillId="0" borderId="2" xfId="0" applyFont="1" applyBorder="1" applyAlignment="1">
      <alignment wrapText="1"/>
    </xf>
    <xf numFmtId="3" fontId="11" fillId="0" borderId="2" xfId="0" applyNumberFormat="1" applyFont="1" applyBorder="1" applyAlignment="1">
      <alignment horizontal="center" wrapText="1"/>
    </xf>
    <xf numFmtId="3" fontId="11" fillId="0" borderId="2" xfId="0" applyNumberFormat="1" applyFont="1" applyBorder="1" applyAlignment="1">
      <alignment wrapText="1"/>
    </xf>
    <xf numFmtId="0" fontId="11" fillId="0" borderId="2" xfId="0" applyFont="1" applyBorder="1" applyAlignment="1">
      <alignment wrapText="1"/>
    </xf>
    <xf numFmtId="0" fontId="11" fillId="0" borderId="2" xfId="0" applyFont="1" applyBorder="1" applyAlignment="1">
      <alignment vertical="center" wrapText="1"/>
    </xf>
    <xf numFmtId="0" fontId="9" fillId="0" borderId="59" xfId="0" applyFont="1" applyBorder="1" applyAlignment="1">
      <alignment wrapText="1"/>
    </xf>
    <xf numFmtId="0" fontId="0" fillId="0" borderId="0" xfId="0" applyAlignment="1">
      <alignment wrapText="1"/>
    </xf>
    <xf numFmtId="0" fontId="9" fillId="0" borderId="1" xfId="0" applyFont="1" applyFill="1" applyBorder="1" applyAlignment="1">
      <alignment vertical="center"/>
    </xf>
    <xf numFmtId="0" fontId="4" fillId="5" borderId="174" xfId="0" applyFont="1" applyFill="1" applyBorder="1" applyAlignment="1">
      <alignment vertical="center" wrapText="1"/>
    </xf>
    <xf numFmtId="2" fontId="58" fillId="0" borderId="0" xfId="0" applyNumberFormat="1" applyFont="1"/>
    <xf numFmtId="0" fontId="58" fillId="0" borderId="0" xfId="0" applyFont="1"/>
    <xf numFmtId="3" fontId="58" fillId="0" borderId="0" xfId="0" applyNumberFormat="1" applyFont="1"/>
    <xf numFmtId="3" fontId="8" fillId="0" borderId="1" xfId="0" applyNumberFormat="1" applyFont="1" applyFill="1" applyBorder="1" applyAlignment="1">
      <alignment vertical="center"/>
    </xf>
    <xf numFmtId="0" fontId="11" fillId="0" borderId="155" xfId="0" applyFont="1" applyBorder="1" applyAlignment="1"/>
    <xf numFmtId="0" fontId="20" fillId="0" borderId="156" xfId="0" applyFont="1" applyBorder="1" applyAlignment="1"/>
    <xf numFmtId="0" fontId="26" fillId="0" borderId="1" xfId="0" applyFont="1" applyBorder="1"/>
    <xf numFmtId="2" fontId="26" fillId="0" borderId="1" xfId="0" applyNumberFormat="1" applyFont="1" applyBorder="1"/>
    <xf numFmtId="2" fontId="58" fillId="0" borderId="1" xfId="0" applyNumberFormat="1" applyFont="1" applyBorder="1"/>
    <xf numFmtId="3" fontId="58" fillId="0" borderId="1" xfId="0" applyNumberFormat="1" applyFont="1" applyBorder="1"/>
    <xf numFmtId="0" fontId="58" fillId="0" borderId="1" xfId="0" applyFont="1" applyBorder="1"/>
    <xf numFmtId="2" fontId="9" fillId="0" borderId="1" xfId="0" applyNumberFormat="1" applyFont="1" applyBorder="1"/>
    <xf numFmtId="0" fontId="9" fillId="0" borderId="1" xfId="0" applyFont="1" applyBorder="1" applyAlignment="1">
      <alignment wrapText="1"/>
    </xf>
    <xf numFmtId="0" fontId="0" fillId="0" borderId="1" xfId="0" applyBorder="1"/>
    <xf numFmtId="0" fontId="0" fillId="0" borderId="1" xfId="0" applyBorder="1" applyAlignment="1">
      <alignment wrapText="1"/>
    </xf>
    <xf numFmtId="0" fontId="11" fillId="0" borderId="1" xfId="0" applyFont="1" applyBorder="1"/>
    <xf numFmtId="0" fontId="11" fillId="0" borderId="1" xfId="0" applyFont="1" applyBorder="1" applyAlignment="1">
      <alignment vertical="center"/>
    </xf>
    <xf numFmtId="0" fontId="28" fillId="0" borderId="1" xfId="0" applyFont="1" applyBorder="1"/>
    <xf numFmtId="1" fontId="11" fillId="0" borderId="1" xfId="0" applyNumberFormat="1" applyFont="1" applyBorder="1"/>
    <xf numFmtId="3" fontId="28" fillId="0" borderId="1" xfId="0" applyNumberFormat="1" applyFont="1" applyBorder="1"/>
    <xf numFmtId="1" fontId="29" fillId="0" borderId="1" xfId="0" applyNumberFormat="1" applyFont="1" applyBorder="1"/>
    <xf numFmtId="165" fontId="30" fillId="0" borderId="1" xfId="0" applyNumberFormat="1" applyFont="1" applyBorder="1"/>
    <xf numFmtId="166" fontId="11" fillId="0" borderId="1" xfId="0" applyNumberFormat="1" applyFont="1" applyBorder="1"/>
    <xf numFmtId="165" fontId="28" fillId="0" borderId="1" xfId="0" applyNumberFormat="1" applyFont="1" applyBorder="1"/>
    <xf numFmtId="3" fontId="31" fillId="0" borderId="1" xfId="0" applyNumberFormat="1" applyFont="1" applyBorder="1"/>
    <xf numFmtId="0" fontId="21" fillId="0" borderId="178" xfId="0" applyFont="1" applyBorder="1"/>
    <xf numFmtId="0" fontId="21" fillId="0" borderId="179" xfId="0" applyFont="1" applyBorder="1"/>
    <xf numFmtId="3" fontId="11" fillId="0" borderId="179" xfId="0" applyNumberFormat="1" applyFont="1" applyBorder="1" applyAlignment="1">
      <alignment horizontal="center" wrapText="1"/>
    </xf>
    <xf numFmtId="3" fontId="11" fillId="0" borderId="179" xfId="0" applyNumberFormat="1" applyFont="1" applyBorder="1" applyAlignment="1">
      <alignment horizontal="center"/>
    </xf>
    <xf numFmtId="0" fontId="11" fillId="0" borderId="180" xfId="0" applyFont="1" applyBorder="1" applyAlignment="1">
      <alignment horizontal="center"/>
    </xf>
    <xf numFmtId="0" fontId="11" fillId="0" borderId="181" xfId="0" applyFont="1" applyBorder="1" applyAlignment="1">
      <alignment horizontal="center" wrapText="1"/>
    </xf>
    <xf numFmtId="0" fontId="11" fillId="0" borderId="181" xfId="0" applyFont="1" applyBorder="1" applyAlignment="1">
      <alignment horizontal="center"/>
    </xf>
    <xf numFmtId="0" fontId="11" fillId="0" borderId="182" xfId="0" applyFont="1" applyBorder="1" applyAlignment="1">
      <alignment horizontal="center"/>
    </xf>
    <xf numFmtId="0" fontId="11" fillId="0" borderId="183" xfId="0" applyFont="1" applyBorder="1"/>
    <xf numFmtId="1" fontId="11" fillId="0" borderId="184" xfId="0" applyNumberFormat="1" applyFont="1" applyBorder="1"/>
    <xf numFmtId="0" fontId="9" fillId="0" borderId="185" xfId="0" applyFont="1" applyBorder="1"/>
    <xf numFmtId="1" fontId="9" fillId="0" borderId="186" xfId="0" applyNumberFormat="1" applyFont="1" applyBorder="1"/>
    <xf numFmtId="1" fontId="9" fillId="21" borderId="187" xfId="0" applyNumberFormat="1" applyFont="1" applyFill="1" applyBorder="1"/>
    <xf numFmtId="0" fontId="29" fillId="0" borderId="159" xfId="0" applyFont="1" applyBorder="1"/>
    <xf numFmtId="1" fontId="29" fillId="0" borderId="160" xfId="0" applyNumberFormat="1" applyFont="1" applyBorder="1"/>
    <xf numFmtId="1" fontId="9" fillId="0" borderId="187" xfId="0" applyNumberFormat="1" applyFont="1" applyBorder="1"/>
    <xf numFmtId="1" fontId="9" fillId="0" borderId="188" xfId="0" applyNumberFormat="1" applyFont="1" applyBorder="1"/>
    <xf numFmtId="0" fontId="11" fillId="0" borderId="159" xfId="0" applyFont="1" applyBorder="1"/>
    <xf numFmtId="166" fontId="11" fillId="0" borderId="160" xfId="0" applyNumberFormat="1" applyFont="1" applyBorder="1"/>
    <xf numFmtId="0" fontId="11" fillId="0" borderId="161" xfId="0" applyFont="1" applyBorder="1"/>
    <xf numFmtId="0" fontId="11" fillId="0" borderId="162" xfId="0" applyFont="1" applyBorder="1"/>
    <xf numFmtId="0" fontId="9" fillId="0" borderId="147" xfId="0" applyFont="1" applyBorder="1"/>
    <xf numFmtId="165" fontId="11" fillId="0" borderId="2" xfId="0" applyNumberFormat="1" applyFont="1" applyBorder="1"/>
    <xf numFmtId="4" fontId="11" fillId="0" borderId="162" xfId="0" applyNumberFormat="1" applyFont="1" applyBorder="1"/>
    <xf numFmtId="9" fontId="9" fillId="0" borderId="147" xfId="0" applyNumberFormat="1" applyFont="1" applyBorder="1" applyAlignment="1">
      <alignment horizontal="left"/>
    </xf>
    <xf numFmtId="2" fontId="9" fillId="0" borderId="174" xfId="0" applyNumberFormat="1" applyFont="1" applyBorder="1" applyAlignment="1">
      <alignment horizontal="left"/>
    </xf>
    <xf numFmtId="165" fontId="9" fillId="0" borderId="174" xfId="0" applyNumberFormat="1" applyFont="1" applyBorder="1"/>
    <xf numFmtId="4" fontId="9" fillId="0" borderId="174" xfId="0" applyNumberFormat="1" applyFont="1" applyBorder="1"/>
    <xf numFmtId="0" fontId="1" fillId="0" borderId="2" xfId="0" applyFont="1" applyFill="1" applyBorder="1" applyAlignment="1">
      <alignment vertical="center"/>
    </xf>
    <xf numFmtId="0" fontId="31" fillId="0" borderId="0" xfId="0" applyFont="1"/>
    <xf numFmtId="0" fontId="61" fillId="0" borderId="0" xfId="0" applyFont="1"/>
    <xf numFmtId="0" fontId="61" fillId="0" borderId="2" xfId="0" applyFont="1" applyBorder="1"/>
    <xf numFmtId="3" fontId="61" fillId="0" borderId="2" xfId="0" applyNumberFormat="1" applyFont="1" applyBorder="1"/>
    <xf numFmtId="0" fontId="62" fillId="0" borderId="0" xfId="0" applyFont="1"/>
    <xf numFmtId="9" fontId="61" fillId="0" borderId="2" xfId="0" applyNumberFormat="1" applyFont="1" applyBorder="1" applyAlignment="1">
      <alignment horizontal="left"/>
    </xf>
    <xf numFmtId="2" fontId="61" fillId="0" borderId="2" xfId="0" applyNumberFormat="1" applyFont="1" applyBorder="1" applyAlignment="1">
      <alignment horizontal="left"/>
    </xf>
    <xf numFmtId="0" fontId="61" fillId="0" borderId="1" xfId="0" applyFont="1" applyBorder="1"/>
    <xf numFmtId="1" fontId="58" fillId="0" borderId="0" xfId="0" applyNumberFormat="1" applyFont="1" applyFill="1"/>
    <xf numFmtId="2" fontId="58" fillId="0" borderId="0" xfId="0" applyNumberFormat="1" applyFont="1" applyFill="1"/>
    <xf numFmtId="169" fontId="58" fillId="0" borderId="0" xfId="0" applyNumberFormat="1" applyFont="1" applyFill="1"/>
    <xf numFmtId="180" fontId="58" fillId="0" borderId="0" xfId="0" applyNumberFormat="1" applyFont="1" applyFill="1"/>
    <xf numFmtId="0" fontId="58" fillId="0" borderId="0" xfId="0" applyFont="1" applyFill="1"/>
    <xf numFmtId="1" fontId="9" fillId="0" borderId="0" xfId="0" applyNumberFormat="1" applyFont="1" applyFill="1"/>
    <xf numFmtId="0" fontId="9" fillId="0" borderId="1" xfId="0" applyFont="1" applyBorder="1" applyAlignment="1">
      <alignment horizontal="right"/>
    </xf>
    <xf numFmtId="3" fontId="1" fillId="3" borderId="2" xfId="0" applyNumberFormat="1" applyFont="1" applyFill="1" applyBorder="1" applyAlignment="1" applyProtection="1">
      <alignment horizontal="left" vertical="center"/>
      <protection locked="0"/>
    </xf>
    <xf numFmtId="1" fontId="1" fillId="3" borderId="2" xfId="0" applyNumberFormat="1" applyFont="1" applyFill="1" applyBorder="1" applyAlignment="1" applyProtection="1">
      <alignment horizontal="left" vertical="center"/>
      <protection locked="0"/>
    </xf>
    <xf numFmtId="2" fontId="1" fillId="3" borderId="2" xfId="0" applyNumberFormat="1" applyFont="1" applyFill="1" applyBorder="1" applyAlignment="1" applyProtection="1">
      <alignment horizontal="left" vertical="center"/>
      <protection locked="0"/>
    </xf>
    <xf numFmtId="164" fontId="1" fillId="3" borderId="2" xfId="0" applyNumberFormat="1" applyFont="1" applyFill="1" applyBorder="1" applyAlignment="1" applyProtection="1">
      <alignment horizontal="left" vertical="center"/>
      <protection locked="0"/>
    </xf>
    <xf numFmtId="165" fontId="7" fillId="3" borderId="2" xfId="0" applyNumberFormat="1" applyFont="1" applyFill="1" applyBorder="1" applyAlignment="1" applyProtection="1">
      <alignment horizontal="left" vertical="center"/>
      <protection locked="0"/>
    </xf>
    <xf numFmtId="166" fontId="7" fillId="3" borderId="2" xfId="0" applyNumberFormat="1" applyFont="1" applyFill="1" applyBorder="1" applyAlignment="1" applyProtection="1">
      <alignment horizontal="left" vertical="center"/>
      <protection locked="0"/>
    </xf>
    <xf numFmtId="3" fontId="7" fillId="7" borderId="2" xfId="0" applyNumberFormat="1" applyFont="1" applyFill="1" applyBorder="1" applyAlignment="1" applyProtection="1">
      <alignment horizontal="left" vertical="center"/>
      <protection locked="0"/>
    </xf>
    <xf numFmtId="3" fontId="4" fillId="5" borderId="2" xfId="0" applyNumberFormat="1" applyFont="1" applyFill="1" applyBorder="1" applyAlignment="1" applyProtection="1">
      <alignment horizontal="left" vertical="center" wrapText="1"/>
      <protection locked="0"/>
    </xf>
    <xf numFmtId="3" fontId="7" fillId="7" borderId="65" xfId="0" applyNumberFormat="1" applyFont="1" applyFill="1" applyBorder="1" applyAlignment="1" applyProtection="1">
      <alignment horizontal="left" vertical="center"/>
      <protection locked="0"/>
    </xf>
    <xf numFmtId="3" fontId="7" fillId="7" borderId="174" xfId="0" applyNumberFormat="1" applyFont="1" applyFill="1" applyBorder="1" applyAlignment="1" applyProtection="1">
      <alignment horizontal="left" vertical="center"/>
      <protection locked="0"/>
    </xf>
    <xf numFmtId="4" fontId="7" fillId="7" borderId="2" xfId="0" applyNumberFormat="1" applyFont="1" applyFill="1" applyBorder="1" applyAlignment="1" applyProtection="1">
      <alignment horizontal="left" vertical="center"/>
      <protection locked="0"/>
    </xf>
    <xf numFmtId="4" fontId="7" fillId="7" borderId="65" xfId="0" applyNumberFormat="1" applyFont="1" applyFill="1" applyBorder="1" applyAlignment="1" applyProtection="1">
      <alignment horizontal="left" vertical="center"/>
      <protection locked="0"/>
    </xf>
    <xf numFmtId="4" fontId="7" fillId="7" borderId="174" xfId="0" applyNumberFormat="1" applyFont="1" applyFill="1" applyBorder="1" applyAlignment="1" applyProtection="1">
      <alignment horizontal="left" vertical="center"/>
      <protection locked="0"/>
    </xf>
    <xf numFmtId="165" fontId="7" fillId="7" borderId="2" xfId="0" applyNumberFormat="1" applyFont="1" applyFill="1" applyBorder="1" applyAlignment="1" applyProtection="1">
      <alignment horizontal="left" vertical="center"/>
      <protection locked="0"/>
    </xf>
    <xf numFmtId="165" fontId="7" fillId="7" borderId="65" xfId="0" applyNumberFormat="1" applyFont="1" applyFill="1" applyBorder="1" applyAlignment="1" applyProtection="1">
      <alignment horizontal="left" vertical="center"/>
      <protection locked="0"/>
    </xf>
    <xf numFmtId="165" fontId="7" fillId="7" borderId="174" xfId="0" applyNumberFormat="1" applyFont="1" applyFill="1" applyBorder="1" applyAlignment="1" applyProtection="1">
      <alignment horizontal="left" vertical="center"/>
      <protection locked="0"/>
    </xf>
    <xf numFmtId="2" fontId="7" fillId="7" borderId="2" xfId="0" applyNumberFormat="1" applyFont="1" applyFill="1" applyBorder="1" applyAlignment="1" applyProtection="1">
      <alignment horizontal="left" vertical="center"/>
      <protection locked="0"/>
    </xf>
    <xf numFmtId="9" fontId="1" fillId="3" borderId="2" xfId="0" applyNumberFormat="1" applyFont="1" applyFill="1" applyBorder="1" applyAlignment="1" applyProtection="1">
      <alignment horizontal="left" vertical="center"/>
      <protection locked="0"/>
    </xf>
    <xf numFmtId="0" fontId="1" fillId="3" borderId="3" xfId="0" applyFont="1" applyFill="1" applyBorder="1" applyAlignment="1" applyProtection="1">
      <alignment horizontal="left"/>
      <protection locked="0"/>
    </xf>
    <xf numFmtId="164" fontId="1" fillId="3" borderId="3" xfId="0" applyNumberFormat="1"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1" xfId="0" applyFont="1" applyFill="1" applyBorder="1" applyAlignment="1" applyProtection="1">
      <alignment horizontal="left"/>
      <protection locked="0"/>
    </xf>
    <xf numFmtId="164" fontId="1" fillId="3" borderId="6" xfId="0" applyNumberFormat="1" applyFont="1" applyFill="1" applyBorder="1" applyAlignment="1" applyProtection="1">
      <alignment horizontal="left"/>
      <protection locked="0"/>
    </xf>
    <xf numFmtId="0" fontId="1" fillId="3" borderId="7" xfId="0" applyFont="1" applyFill="1" applyBorder="1" applyAlignment="1" applyProtection="1">
      <alignment horizontal="left"/>
      <protection locked="0"/>
    </xf>
    <xf numFmtId="0" fontId="8" fillId="3" borderId="3" xfId="0" applyFont="1" applyFill="1" applyBorder="1" applyAlignment="1" applyProtection="1">
      <alignment horizontal="left"/>
      <protection locked="0"/>
    </xf>
    <xf numFmtId="0" fontId="7" fillId="9" borderId="149" xfId="0" applyFont="1" applyFill="1" applyBorder="1" applyAlignment="1" applyProtection="1">
      <alignment horizontal="left"/>
      <protection locked="0"/>
    </xf>
    <xf numFmtId="0" fontId="7" fillId="9" borderId="8" xfId="0" applyFont="1" applyFill="1" applyBorder="1" applyAlignment="1" applyProtection="1">
      <alignment horizontal="left"/>
      <protection locked="0"/>
    </xf>
    <xf numFmtId="0" fontId="1" fillId="9" borderId="149" xfId="0" applyFont="1" applyFill="1" applyBorder="1" applyProtection="1">
      <protection locked="0"/>
    </xf>
    <xf numFmtId="0" fontId="0" fillId="19" borderId="1" xfId="0" applyFill="1" applyBorder="1" applyProtection="1">
      <protection locked="0"/>
    </xf>
    <xf numFmtId="0" fontId="7" fillId="9" borderId="149" xfId="0" applyFont="1" applyFill="1" applyBorder="1" applyProtection="1">
      <protection locked="0"/>
    </xf>
    <xf numFmtId="0" fontId="7" fillId="9" borderId="8" xfId="0" applyFont="1" applyFill="1" applyBorder="1" applyProtection="1">
      <protection locked="0"/>
    </xf>
    <xf numFmtId="0" fontId="1" fillId="9" borderId="8" xfId="0" applyFont="1" applyFill="1" applyBorder="1" applyProtection="1">
      <protection locked="0"/>
    </xf>
    <xf numFmtId="0" fontId="1" fillId="9" borderId="8" xfId="0" applyFont="1" applyFill="1" applyBorder="1" applyAlignment="1" applyProtection="1">
      <alignment horizontal="left"/>
      <protection locked="0"/>
    </xf>
    <xf numFmtId="0" fontId="7" fillId="9" borderId="9" xfId="0" applyFont="1" applyFill="1" applyBorder="1" applyProtection="1">
      <protection locked="0"/>
    </xf>
    <xf numFmtId="0" fontId="7" fillId="9" borderId="9" xfId="0" applyFont="1" applyFill="1" applyBorder="1" applyAlignment="1" applyProtection="1">
      <alignment horizontal="left"/>
      <protection locked="0"/>
    </xf>
    <xf numFmtId="1" fontId="1" fillId="9" borderId="8" xfId="0" applyNumberFormat="1" applyFont="1" applyFill="1" applyBorder="1" applyAlignment="1" applyProtection="1">
      <alignment horizontal="left"/>
      <protection locked="0"/>
    </xf>
    <xf numFmtId="1" fontId="1" fillId="9" borderId="8" xfId="0" applyNumberFormat="1" applyFont="1" applyFill="1" applyBorder="1" applyProtection="1">
      <protection locked="0"/>
    </xf>
    <xf numFmtId="0" fontId="1" fillId="9" borderId="9" xfId="0" applyFont="1" applyFill="1" applyBorder="1" applyProtection="1">
      <protection locked="0"/>
    </xf>
    <xf numFmtId="0" fontId="57" fillId="9" borderId="8" xfId="0" applyFont="1" applyFill="1" applyBorder="1" applyProtection="1">
      <protection locked="0"/>
    </xf>
    <xf numFmtId="0" fontId="57" fillId="9" borderId="9" xfId="0" applyFont="1" applyFill="1" applyBorder="1" applyProtection="1">
      <protection locked="0"/>
    </xf>
    <xf numFmtId="0" fontId="1" fillId="2" borderId="1" xfId="0" applyFont="1" applyFill="1" applyBorder="1" applyAlignment="1">
      <alignment horizontal="left" vertical="center" wrapText="1"/>
    </xf>
    <xf numFmtId="2" fontId="9" fillId="15" borderId="18" xfId="0" applyNumberFormat="1" applyFont="1" applyFill="1" applyBorder="1" applyAlignment="1">
      <alignment vertical="center"/>
    </xf>
    <xf numFmtId="0" fontId="20" fillId="0" borderId="40" xfId="0" applyFont="1" applyBorder="1" applyAlignment="1"/>
    <xf numFmtId="49" fontId="9" fillId="14" borderId="18" xfId="0" applyNumberFormat="1" applyFont="1" applyFill="1" applyBorder="1" applyAlignment="1">
      <alignment vertical="center"/>
    </xf>
    <xf numFmtId="0" fontId="20" fillId="0" borderId="23" xfId="0" applyFont="1" applyBorder="1" applyAlignment="1"/>
    <xf numFmtId="0" fontId="20" fillId="0" borderId="24" xfId="0" applyFont="1" applyBorder="1" applyAlignment="1"/>
    <xf numFmtId="0" fontId="11" fillId="13" borderId="128" xfId="0" applyFont="1" applyFill="1" applyBorder="1" applyAlignment="1">
      <alignment horizontal="center" vertical="center"/>
    </xf>
    <xf numFmtId="0" fontId="20" fillId="0" borderId="36" xfId="0" applyFont="1" applyBorder="1" applyAlignment="1"/>
    <xf numFmtId="0" fontId="20" fillId="0" borderId="37" xfId="0" applyFont="1" applyBorder="1" applyAlignment="1"/>
    <xf numFmtId="3" fontId="9" fillId="15" borderId="18" xfId="0" applyNumberFormat="1" applyFont="1" applyFill="1" applyBorder="1" applyAlignment="1">
      <alignment horizontal="left" vertical="center"/>
    </xf>
    <xf numFmtId="0" fontId="11" fillId="13" borderId="10" xfId="0" applyFont="1" applyFill="1" applyBorder="1" applyAlignment="1">
      <alignment vertical="center"/>
    </xf>
    <xf numFmtId="0" fontId="20" fillId="0" borderId="11" xfId="0" applyFont="1" applyBorder="1" applyAlignment="1"/>
    <xf numFmtId="0" fontId="20" fillId="0" borderId="12" xfId="0" applyFont="1" applyBorder="1" applyAlignment="1"/>
    <xf numFmtId="3" fontId="9" fillId="14" borderId="15" xfId="0" applyNumberFormat="1" applyFont="1" applyFill="1" applyBorder="1" applyAlignment="1">
      <alignment horizontal="left" vertical="center"/>
    </xf>
    <xf numFmtId="0" fontId="20" fillId="0" borderId="16" xfId="0" applyFont="1" applyBorder="1" applyAlignment="1"/>
    <xf numFmtId="0" fontId="20" fillId="0" borderId="17" xfId="0" applyFont="1" applyBorder="1" applyAlignment="1"/>
    <xf numFmtId="49" fontId="9" fillId="13" borderId="134" xfId="0" applyNumberFormat="1" applyFont="1" applyFill="1" applyBorder="1" applyAlignment="1">
      <alignment vertical="center"/>
    </xf>
    <xf numFmtId="0" fontId="20" fillId="0" borderId="21" xfId="0" applyFont="1" applyBorder="1" applyAlignment="1"/>
    <xf numFmtId="0" fontId="20" fillId="0" borderId="22" xfId="0" applyFont="1" applyBorder="1" applyAlignment="1"/>
    <xf numFmtId="0" fontId="11" fillId="0" borderId="43" xfId="0" applyFont="1" applyBorder="1" applyAlignment="1">
      <alignment horizontal="left"/>
    </xf>
    <xf numFmtId="0" fontId="20" fillId="0" borderId="44" xfId="0" applyFont="1" applyBorder="1" applyAlignment="1"/>
    <xf numFmtId="0" fontId="20" fillId="0" borderId="45" xfId="0" applyFont="1" applyBorder="1" applyAlignment="1"/>
    <xf numFmtId="0" fontId="11" fillId="0" borderId="43" xfId="0" applyFont="1" applyBorder="1" applyAlignment="1"/>
    <xf numFmtId="0" fontId="11" fillId="0" borderId="155" xfId="0" applyFont="1" applyBorder="1" applyAlignment="1"/>
    <xf numFmtId="0" fontId="20" fillId="0" borderId="156" xfId="0" applyFont="1" applyBorder="1" applyAlignment="1"/>
    <xf numFmtId="0" fontId="11" fillId="0" borderId="155" xfId="0" applyFont="1" applyBorder="1" applyAlignment="1">
      <alignment horizontal="left"/>
    </xf>
    <xf numFmtId="0" fontId="11" fillId="0" borderId="156" xfId="0" applyFont="1" applyBorder="1" applyAlignment="1">
      <alignment horizontal="left"/>
    </xf>
    <xf numFmtId="0" fontId="11" fillId="0" borderId="157" xfId="0" applyFont="1" applyBorder="1" applyAlignment="1">
      <alignment horizontal="left"/>
    </xf>
    <xf numFmtId="0" fontId="9" fillId="0" borderId="115" xfId="0" applyFont="1" applyBorder="1" applyAlignment="1">
      <alignment horizontal="left" vertical="center"/>
    </xf>
    <xf numFmtId="0" fontId="20" fillId="0" borderId="116" xfId="0" applyFont="1" applyBorder="1" applyAlignment="1"/>
    <xf numFmtId="0" fontId="20" fillId="0" borderId="117" xfId="0" applyFont="1" applyBorder="1" applyAlignment="1"/>
    <xf numFmtId="0" fontId="9" fillId="0" borderId="118" xfId="0" applyFont="1" applyBorder="1" applyAlignment="1">
      <alignment horizontal="left" vertical="center"/>
    </xf>
    <xf numFmtId="0" fontId="20" fillId="0" borderId="119" xfId="0" applyFont="1" applyBorder="1" applyAlignment="1"/>
    <xf numFmtId="0" fontId="20" fillId="0" borderId="120" xfId="0" applyFont="1" applyBorder="1" applyAlignment="1"/>
    <xf numFmtId="0" fontId="11" fillId="0" borderId="121" xfId="0" applyFont="1" applyBorder="1" applyAlignment="1">
      <alignment horizontal="left" vertical="center"/>
    </xf>
    <xf numFmtId="0" fontId="20" fillId="0" borderId="122" xfId="0" applyFont="1" applyBorder="1" applyAlignment="1"/>
    <xf numFmtId="0" fontId="20" fillId="0" borderId="123" xfId="0" applyFont="1" applyBorder="1" applyAlignment="1"/>
    <xf numFmtId="0" fontId="22" fillId="0" borderId="124" xfId="0" applyFont="1" applyBorder="1" applyAlignment="1">
      <alignment vertical="center"/>
    </xf>
    <xf numFmtId="0" fontId="20" fillId="0" borderId="125" xfId="0" applyFont="1" applyBorder="1" applyAlignment="1"/>
    <xf numFmtId="0" fontId="34" fillId="17" borderId="72" xfId="0" applyFont="1" applyFill="1" applyBorder="1" applyAlignment="1">
      <alignment vertical="center"/>
    </xf>
    <xf numFmtId="0" fontId="20" fillId="0" borderId="91" xfId="0" applyFont="1" applyBorder="1" applyAlignment="1"/>
    <xf numFmtId="0" fontId="11" fillId="0" borderId="95" xfId="0" applyFont="1" applyBorder="1" applyAlignment="1">
      <alignment horizontal="center" vertical="center"/>
    </xf>
    <xf numFmtId="0" fontId="20" fillId="0" borderId="98" xfId="0" applyFont="1" applyBorder="1" applyAlignment="1"/>
    <xf numFmtId="0" fontId="11" fillId="0" borderId="96" xfId="0" applyFont="1" applyBorder="1" applyAlignment="1">
      <alignment horizontal="center" vertical="center" wrapText="1"/>
    </xf>
    <xf numFmtId="0" fontId="20" fillId="0" borderId="99" xfId="0" applyFont="1" applyBorder="1" applyAlignment="1"/>
    <xf numFmtId="0" fontId="20" fillId="0" borderId="101" xfId="0" applyFont="1" applyBorder="1" applyAlignment="1"/>
    <xf numFmtId="0" fontId="11" fillId="0" borderId="97" xfId="0" applyFont="1" applyBorder="1" applyAlignment="1">
      <alignment horizontal="center" vertical="center" wrapText="1"/>
    </xf>
    <xf numFmtId="0" fontId="20" fillId="0" borderId="100" xfId="0" applyFont="1" applyBorder="1" applyAlignment="1"/>
    <xf numFmtId="0" fontId="20" fillId="0" borderId="102" xfId="0" applyFont="1" applyBorder="1" applyAlignment="1"/>
    <xf numFmtId="0" fontId="9" fillId="0" borderId="112" xfId="0" applyFont="1" applyBorder="1" applyAlignment="1">
      <alignment horizontal="left" vertical="center"/>
    </xf>
    <xf numFmtId="0" fontId="20" fillId="0" borderId="113" xfId="0" applyFont="1" applyBorder="1" applyAlignment="1"/>
    <xf numFmtId="0" fontId="20" fillId="0" borderId="114" xfId="0" applyFont="1" applyBorder="1" applyAlignment="1"/>
    <xf numFmtId="0" fontId="35" fillId="13" borderId="18" xfId="0" applyFont="1" applyFill="1" applyBorder="1" applyAlignment="1"/>
    <xf numFmtId="0" fontId="9" fillId="14" borderId="18" xfId="0" applyFont="1" applyFill="1" applyBorder="1" applyAlignment="1">
      <alignment horizontal="left"/>
    </xf>
    <xf numFmtId="0" fontId="11" fillId="13" borderId="18" xfId="0" applyFont="1" applyFill="1" applyBorder="1" applyAlignment="1"/>
    <xf numFmtId="0" fontId="9" fillId="13" borderId="137" xfId="0" applyFont="1" applyFill="1" applyBorder="1" applyAlignment="1"/>
    <xf numFmtId="0" fontId="20" fillId="0" borderId="138" xfId="0" applyFont="1" applyBorder="1" applyAlignment="1"/>
    <xf numFmtId="0" fontId="20" fillId="0" borderId="139" xfId="0" applyFont="1" applyBorder="1" applyAlignment="1"/>
    <xf numFmtId="0" fontId="36" fillId="13" borderId="136" xfId="0" applyFont="1" applyFill="1" applyBorder="1" applyAlignment="1"/>
    <xf numFmtId="0" fontId="9" fillId="13" borderId="18" xfId="0" applyFont="1" applyFill="1" applyBorder="1" applyAlignme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4.xml.rels><?xml version="1.0" encoding="UTF-8" standalone="yes"?>
<Relationships xmlns="http://schemas.openxmlformats.org/package/2006/relationships"><Relationship Id="rId1" Type="http://customschemas.google.com/relationships/workbookmetadata" Target="commentsmeta2"/></Relationships>
</file>

<file path=xl/_rels/comments5.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c:style val="2"/>
  <c:chart>
    <c:autoTitleDeleted val="1"/>
    <c:plotArea>
      <c:layout/>
      <c:pieChart>
        <c:varyColors val="1"/>
        <c:ser>
          <c:idx val="0"/>
          <c:order val="0"/>
          <c:dPt>
            <c:idx val="0"/>
            <c:bubble3D val="0"/>
            <c:spPr>
              <a:solidFill>
                <a:srgbClr val="4472C4"/>
              </a:solidFill>
            </c:spPr>
            <c:extLst>
              <c:ext xmlns:c16="http://schemas.microsoft.com/office/drawing/2014/chart" uri="{C3380CC4-5D6E-409C-BE32-E72D297353CC}">
                <c16:uniqueId val="{00000001-74AB-4BDF-8F45-8FDA352BEEDA}"/>
              </c:ext>
            </c:extLst>
          </c:dPt>
          <c:dPt>
            <c:idx val="1"/>
            <c:bubble3D val="0"/>
            <c:spPr>
              <a:solidFill>
                <a:srgbClr val="ED7D31"/>
              </a:solidFill>
            </c:spPr>
            <c:extLst>
              <c:ext xmlns:c16="http://schemas.microsoft.com/office/drawing/2014/chart" uri="{C3380CC4-5D6E-409C-BE32-E72D297353CC}">
                <c16:uniqueId val="{00000003-74AB-4BDF-8F45-8FDA352BEEDA}"/>
              </c:ext>
            </c:extLst>
          </c:dPt>
          <c:dPt>
            <c:idx val="2"/>
            <c:bubble3D val="0"/>
            <c:spPr>
              <a:solidFill>
                <a:srgbClr val="A5A5A5"/>
              </a:solidFill>
            </c:spPr>
            <c:extLst>
              <c:ext xmlns:c16="http://schemas.microsoft.com/office/drawing/2014/chart" uri="{C3380CC4-5D6E-409C-BE32-E72D297353CC}">
                <c16:uniqueId val="{00000005-74AB-4BDF-8F45-8FDA352BEEDA}"/>
              </c:ext>
            </c:extLst>
          </c:dPt>
          <c:dPt>
            <c:idx val="3"/>
            <c:bubble3D val="0"/>
            <c:spPr>
              <a:solidFill>
                <a:srgbClr val="FFC000"/>
              </a:solidFill>
            </c:spPr>
            <c:extLst>
              <c:ext xmlns:c16="http://schemas.microsoft.com/office/drawing/2014/chart" uri="{C3380CC4-5D6E-409C-BE32-E72D297353CC}">
                <c16:uniqueId val="{00000007-74AB-4BDF-8F45-8FDA352BEEDA}"/>
              </c:ext>
            </c:extLst>
          </c:dPt>
          <c:dPt>
            <c:idx val="4"/>
            <c:bubble3D val="0"/>
            <c:spPr>
              <a:solidFill>
                <a:srgbClr val="5B9BD5"/>
              </a:solidFill>
            </c:spPr>
            <c:extLst>
              <c:ext xmlns:c16="http://schemas.microsoft.com/office/drawing/2014/chart" uri="{C3380CC4-5D6E-409C-BE32-E72D297353CC}">
                <c16:uniqueId val="{00000009-74AB-4BDF-8F45-8FDA352BEEDA}"/>
              </c:ext>
            </c:extLst>
          </c:dPt>
          <c:dPt>
            <c:idx val="5"/>
            <c:bubble3D val="0"/>
            <c:spPr>
              <a:solidFill>
                <a:srgbClr val="70AD47"/>
              </a:solidFill>
            </c:spPr>
            <c:extLst>
              <c:ext xmlns:c16="http://schemas.microsoft.com/office/drawing/2014/chart" uri="{C3380CC4-5D6E-409C-BE32-E72D297353CC}">
                <c16:uniqueId val="{0000000B-74AB-4BDF-8F45-8FDA352BEEDA}"/>
              </c:ext>
            </c:extLst>
          </c:dPt>
          <c:dPt>
            <c:idx val="6"/>
            <c:bubble3D val="0"/>
            <c:spPr>
              <a:solidFill>
                <a:srgbClr val="7C9CD6"/>
              </a:solidFill>
            </c:spPr>
            <c:extLst>
              <c:ext xmlns:c16="http://schemas.microsoft.com/office/drawing/2014/chart" uri="{C3380CC4-5D6E-409C-BE32-E72D297353CC}">
                <c16:uniqueId val="{0000000D-74AB-4BDF-8F45-8FDA352BEEDA}"/>
              </c:ext>
            </c:extLst>
          </c:dPt>
          <c:dPt>
            <c:idx val="7"/>
            <c:bubble3D val="0"/>
            <c:spPr>
              <a:solidFill>
                <a:srgbClr val="F2A46F"/>
              </a:solidFill>
            </c:spPr>
            <c:extLst>
              <c:ext xmlns:c16="http://schemas.microsoft.com/office/drawing/2014/chart" uri="{C3380CC4-5D6E-409C-BE32-E72D297353CC}">
                <c16:uniqueId val="{0000000F-74AB-4BDF-8F45-8FDA352BEEDA}"/>
              </c:ext>
            </c:extLst>
          </c:dPt>
          <c:dPt>
            <c:idx val="8"/>
            <c:bubble3D val="0"/>
            <c:spPr>
              <a:solidFill>
                <a:srgbClr val="C0C0C0"/>
              </a:solidFill>
            </c:spPr>
            <c:extLst>
              <c:ext xmlns:c16="http://schemas.microsoft.com/office/drawing/2014/chart" uri="{C3380CC4-5D6E-409C-BE32-E72D297353CC}">
                <c16:uniqueId val="{00000011-74AB-4BDF-8F45-8FDA352BEEDA}"/>
              </c:ext>
            </c:extLst>
          </c:dPt>
          <c:dPt>
            <c:idx val="9"/>
            <c:bubble3D val="0"/>
            <c:spPr>
              <a:solidFill>
                <a:srgbClr val="FFD34D"/>
              </a:solidFill>
            </c:spPr>
            <c:extLst>
              <c:ext xmlns:c16="http://schemas.microsoft.com/office/drawing/2014/chart" uri="{C3380CC4-5D6E-409C-BE32-E72D297353CC}">
                <c16:uniqueId val="{00000013-74AB-4BDF-8F45-8FDA352BEEDA}"/>
              </c:ext>
            </c:extLst>
          </c:dPt>
          <c:dPt>
            <c:idx val="10"/>
            <c:bubble3D val="0"/>
            <c:spPr>
              <a:solidFill>
                <a:srgbClr val="8CB9E2"/>
              </a:solidFill>
            </c:spPr>
            <c:extLst>
              <c:ext xmlns:c16="http://schemas.microsoft.com/office/drawing/2014/chart" uri="{C3380CC4-5D6E-409C-BE32-E72D297353CC}">
                <c16:uniqueId val="{00000015-74AB-4BDF-8F45-8FDA352BEED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Energiebalans!$D$13:$D$23</c:f>
              <c:strCache>
                <c:ptCount val="11"/>
                <c:pt idx="0">
                  <c:v>Opwarmen mineralen witte trommel</c:v>
                </c:pt>
                <c:pt idx="1">
                  <c:v>Opwarmen AG paralleltrommel</c:v>
                </c:pt>
                <c:pt idx="2">
                  <c:v>Verdampen vocht mineralen witte trommel</c:v>
                </c:pt>
                <c:pt idx="3">
                  <c:v>Verdampen vocht AG paralleltrommel</c:v>
                </c:pt>
                <c:pt idx="4">
                  <c:v>Opwarmen verbrandingslucht, overmaat en leklucht </c:v>
                </c:pt>
                <c:pt idx="5">
                  <c:v>Straling witte trommel en paralleltrommel</c:v>
                </c:pt>
                <c:pt idx="6">
                  <c:v>Afgas parallel trommel (overdracht op witte trommel)</c:v>
                </c:pt>
                <c:pt idx="7">
                  <c:v>Bitumenverwarming</c:v>
                </c:pt>
                <c:pt idx="8">
                  <c:v>Receptwisselingen</c:v>
                </c:pt>
                <c:pt idx="9">
                  <c:v>Starts en stops</c:v>
                </c:pt>
                <c:pt idx="10">
                  <c:v>Elektriciteit (overig)</c:v>
                </c:pt>
              </c:strCache>
            </c:strRef>
          </c:cat>
          <c:val>
            <c:numRef>
              <c:f>Energiebalans!$G$13:$G$23</c:f>
              <c:numCache>
                <c:formatCode>#,##0.000</c:formatCode>
                <c:ptCount val="11"/>
                <c:pt idx="0">
                  <c:v>17.262748523638688</c:v>
                </c:pt>
                <c:pt idx="1">
                  <c:v>10.816034435560272</c:v>
                </c:pt>
                <c:pt idx="2">
                  <c:v>13.235227885468253</c:v>
                </c:pt>
                <c:pt idx="3">
                  <c:v>6.8427445331557886</c:v>
                </c:pt>
                <c:pt idx="4">
                  <c:v>7.9239225833148117</c:v>
                </c:pt>
                <c:pt idx="5">
                  <c:v>0.61199538415841592</c:v>
                </c:pt>
                <c:pt idx="6">
                  <c:v>0</c:v>
                </c:pt>
                <c:pt idx="7">
                  <c:v>1.44</c:v>
                </c:pt>
                <c:pt idx="8">
                  <c:v>3.3383872530676713</c:v>
                </c:pt>
                <c:pt idx="9">
                  <c:v>1.7804732016360909</c:v>
                </c:pt>
                <c:pt idx="10">
                  <c:v>2.3330322000000008</c:v>
                </c:pt>
              </c:numCache>
            </c:numRef>
          </c:val>
          <c:extLst>
            <c:ext xmlns:c16="http://schemas.microsoft.com/office/drawing/2014/chart" uri="{C3380CC4-5D6E-409C-BE32-E72D297353CC}">
              <c16:uniqueId val="{00000016-74AB-4BDF-8F45-8FDA352BEED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861757820812938"/>
          <c:y val="9.1552253151454668E-2"/>
        </c:manualLayout>
      </c:layout>
      <c:overlay val="0"/>
      <c:txPr>
        <a:bodyPr/>
        <a:lstStyle/>
        <a:p>
          <a:pPr lvl="0">
            <a:defRPr sz="600" b="0" i="0">
              <a:solidFill>
                <a:srgbClr val="000000"/>
              </a:solidFill>
              <a:latin typeface="Calibri"/>
            </a:defRPr>
          </a:pPr>
          <a:endParaRPr lang="nl-NL"/>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9525</xdr:colOff>
      <xdr:row>24</xdr:row>
      <xdr:rowOff>28575</xdr:rowOff>
    </xdr:from>
    <xdr:ext cx="3990975" cy="2343150"/>
    <xdr:graphicFrame macro="">
      <xdr:nvGraphicFramePr>
        <xdr:cNvPr id="457962562" name="Chart 1">
          <a:extLst>
            <a:ext uri="{FF2B5EF4-FFF2-40B4-BE49-F238E27FC236}">
              <a16:creationId xmlns:a16="http://schemas.microsoft.com/office/drawing/2014/main" id="{00000000-0008-0000-0A00-000042F44B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0"/>
  <sheetViews>
    <sheetView tabSelected="1" zoomScaleNormal="100" workbookViewId="0">
      <selection activeCell="B2" sqref="B2"/>
    </sheetView>
  </sheetViews>
  <sheetFormatPr defaultColWidth="16.7109375" defaultRowHeight="15" customHeight="1"/>
  <cols>
    <col min="1" max="1" width="3.7109375" customWidth="1"/>
    <col min="2" max="2" width="91.42578125" customWidth="1"/>
    <col min="3" max="5" width="61.42578125" customWidth="1"/>
    <col min="6" max="6" width="11.7109375" customWidth="1"/>
    <col min="7" max="7" width="35" customWidth="1"/>
    <col min="8" max="8" width="35.28515625" customWidth="1"/>
    <col min="9" max="25" width="11.7109375" customWidth="1"/>
    <col min="26" max="26" width="19.42578125" customWidth="1"/>
  </cols>
  <sheetData>
    <row r="1" spans="1:26" ht="9.75" customHeight="1">
      <c r="A1" s="1"/>
      <c r="B1" s="1"/>
      <c r="C1" s="1"/>
      <c r="D1" s="1"/>
      <c r="E1" s="1"/>
      <c r="F1" s="1"/>
      <c r="G1" s="1"/>
      <c r="H1" s="1"/>
      <c r="I1" s="1"/>
      <c r="J1" s="1"/>
      <c r="K1" s="1"/>
      <c r="L1" s="1"/>
      <c r="M1" s="1"/>
      <c r="N1" s="1"/>
      <c r="O1" s="1"/>
      <c r="P1" s="1"/>
      <c r="Q1" s="1"/>
      <c r="R1" s="1"/>
      <c r="S1" s="1"/>
      <c r="T1" s="1"/>
      <c r="U1" s="1"/>
      <c r="V1" s="1"/>
      <c r="W1" s="1"/>
      <c r="X1" s="1"/>
      <c r="Y1" s="1"/>
      <c r="Z1" s="1"/>
    </row>
    <row r="2" spans="1:26" ht="60" customHeight="1">
      <c r="A2" s="2"/>
      <c r="B2" s="3" t="s">
        <v>1464</v>
      </c>
      <c r="C2" s="2"/>
      <c r="D2" s="2"/>
      <c r="E2" s="2"/>
      <c r="F2" s="2"/>
      <c r="G2" s="2"/>
      <c r="H2" s="2"/>
      <c r="I2" s="2"/>
      <c r="J2" s="2"/>
      <c r="K2" s="2"/>
      <c r="L2" s="2"/>
      <c r="M2" s="2"/>
      <c r="N2" s="2"/>
      <c r="O2" s="2"/>
      <c r="P2" s="2"/>
      <c r="Q2" s="2"/>
      <c r="R2" s="2"/>
      <c r="S2" s="2"/>
      <c r="T2" s="2"/>
      <c r="U2" s="2"/>
      <c r="V2" s="2"/>
      <c r="W2" s="2"/>
      <c r="X2" s="2"/>
      <c r="Y2" s="2"/>
      <c r="Z2" s="2"/>
    </row>
    <row r="3" spans="1:26" ht="18" customHeight="1">
      <c r="A3" s="1"/>
      <c r="B3" s="4" t="s">
        <v>0</v>
      </c>
      <c r="C3" s="1"/>
      <c r="D3" s="1"/>
      <c r="E3" s="1"/>
      <c r="F3" s="1"/>
      <c r="G3" s="1"/>
      <c r="H3" s="1"/>
      <c r="I3" s="1"/>
      <c r="J3" s="1"/>
      <c r="K3" s="1"/>
      <c r="L3" s="1"/>
      <c r="M3" s="1"/>
      <c r="N3" s="1"/>
      <c r="O3" s="1"/>
      <c r="P3" s="1"/>
      <c r="Q3" s="1"/>
      <c r="R3" s="1"/>
      <c r="S3" s="1"/>
      <c r="T3" s="1"/>
      <c r="U3" s="1"/>
      <c r="V3" s="1"/>
      <c r="W3" s="1"/>
      <c r="X3" s="1"/>
      <c r="Y3" s="1"/>
      <c r="Z3" s="1"/>
    </row>
    <row r="4" spans="1:26" ht="15" customHeight="1">
      <c r="A4" s="1"/>
      <c r="B4" s="1" t="s">
        <v>1</v>
      </c>
      <c r="C4" s="1"/>
      <c r="D4" s="1"/>
      <c r="E4" s="1"/>
      <c r="F4" s="1"/>
      <c r="G4" s="1"/>
      <c r="H4" s="1"/>
      <c r="I4" s="1"/>
      <c r="J4" s="1"/>
      <c r="K4" s="1"/>
      <c r="L4" s="1"/>
      <c r="M4" s="1"/>
      <c r="N4" s="1"/>
      <c r="O4" s="1"/>
      <c r="P4" s="1"/>
      <c r="Q4" s="1"/>
      <c r="R4" s="1"/>
      <c r="S4" s="1"/>
      <c r="T4" s="1"/>
      <c r="U4" s="1"/>
      <c r="V4" s="1"/>
      <c r="W4" s="1"/>
      <c r="X4" s="1"/>
      <c r="Y4" s="1"/>
      <c r="Z4" s="1"/>
    </row>
    <row r="5" spans="1:26" ht="15" customHeight="1">
      <c r="A5" s="1"/>
      <c r="B5" s="5" t="s">
        <v>2</v>
      </c>
      <c r="C5" s="5"/>
      <c r="D5" s="5"/>
      <c r="E5" s="5"/>
      <c r="F5" s="1"/>
      <c r="G5" s="1"/>
      <c r="H5" s="1"/>
      <c r="I5" s="1"/>
      <c r="J5" s="1"/>
      <c r="K5" s="1"/>
      <c r="L5" s="1"/>
      <c r="M5" s="1"/>
      <c r="N5" s="1"/>
      <c r="O5" s="1"/>
      <c r="P5" s="1"/>
      <c r="Q5" s="1"/>
      <c r="R5" s="1"/>
      <c r="S5" s="1"/>
      <c r="T5" s="1"/>
      <c r="U5" s="1"/>
      <c r="V5" s="1"/>
      <c r="W5" s="1"/>
      <c r="X5" s="6"/>
      <c r="Y5" s="6"/>
      <c r="Z5" s="6"/>
    </row>
    <row r="6" spans="1:26" ht="15" customHeight="1">
      <c r="A6" s="1"/>
      <c r="B6" s="7" t="s">
        <v>3</v>
      </c>
      <c r="C6" s="7"/>
      <c r="D6" s="7"/>
      <c r="E6" s="7"/>
      <c r="F6" s="1"/>
      <c r="G6" s="1"/>
      <c r="H6" s="1"/>
      <c r="I6" s="1"/>
      <c r="J6" s="1"/>
      <c r="K6" s="1"/>
      <c r="L6" s="1"/>
      <c r="M6" s="1"/>
      <c r="N6" s="1"/>
      <c r="O6" s="1"/>
      <c r="P6" s="1"/>
      <c r="Q6" s="1"/>
      <c r="R6" s="1"/>
      <c r="S6" s="1"/>
      <c r="T6" s="1"/>
      <c r="U6" s="1"/>
      <c r="V6" s="1"/>
      <c r="W6" s="1"/>
      <c r="X6" s="6"/>
      <c r="Y6" s="6"/>
      <c r="Z6" s="6"/>
    </row>
    <row r="7" spans="1:26" ht="15" customHeight="1">
      <c r="A7" s="1"/>
      <c r="B7" s="1"/>
      <c r="C7" s="1"/>
      <c r="D7" s="1"/>
      <c r="E7" s="1"/>
      <c r="F7" s="1"/>
      <c r="G7" s="1"/>
      <c r="H7" s="1"/>
      <c r="I7" s="1"/>
      <c r="J7" s="1"/>
      <c r="K7" s="1"/>
      <c r="L7" s="1"/>
      <c r="M7" s="1"/>
      <c r="N7" s="1"/>
      <c r="O7" s="1"/>
      <c r="P7" s="1"/>
      <c r="Q7" s="1"/>
      <c r="R7" s="1"/>
      <c r="S7" s="1"/>
      <c r="T7" s="1"/>
      <c r="U7" s="1"/>
      <c r="V7" s="1"/>
      <c r="W7" s="1"/>
      <c r="X7" s="1"/>
      <c r="Y7" s="1"/>
      <c r="Z7" s="1"/>
    </row>
    <row r="8" spans="1:26" ht="16.5" customHeight="1">
      <c r="A8" s="1"/>
      <c r="B8" s="1" t="s">
        <v>1466</v>
      </c>
      <c r="C8" s="1"/>
      <c r="D8" s="1"/>
      <c r="E8" s="1"/>
      <c r="F8" s="1"/>
      <c r="G8" s="1"/>
      <c r="H8" s="1"/>
      <c r="I8" s="1"/>
      <c r="J8" s="1"/>
      <c r="K8" s="1"/>
      <c r="L8" s="1"/>
      <c r="M8" s="1"/>
      <c r="N8" s="1"/>
      <c r="O8" s="1"/>
      <c r="P8" s="1"/>
      <c r="Q8" s="1"/>
      <c r="R8" s="1"/>
      <c r="S8" s="1"/>
      <c r="T8" s="1"/>
      <c r="U8" s="1"/>
      <c r="V8" s="1"/>
      <c r="W8" s="1"/>
      <c r="X8" s="1"/>
      <c r="Y8" s="1"/>
      <c r="Z8" s="1"/>
    </row>
    <row r="9" spans="1:26" ht="16.5" customHeight="1">
      <c r="A9" s="1"/>
      <c r="B9" s="1" t="s">
        <v>1467</v>
      </c>
      <c r="C9" s="1"/>
      <c r="D9" s="1"/>
      <c r="E9" s="1"/>
      <c r="F9" s="1"/>
      <c r="G9" s="1"/>
      <c r="H9" s="1"/>
      <c r="I9" s="1"/>
      <c r="J9" s="1"/>
      <c r="K9" s="1"/>
      <c r="L9" s="1"/>
      <c r="M9" s="1"/>
      <c r="N9" s="1"/>
      <c r="O9" s="1"/>
      <c r="P9" s="1"/>
      <c r="Q9" s="1"/>
      <c r="R9" s="1"/>
      <c r="S9" s="1"/>
      <c r="T9" s="1"/>
      <c r="U9" s="1"/>
      <c r="V9" s="1"/>
      <c r="W9" s="1"/>
      <c r="X9" s="1"/>
      <c r="Y9" s="1"/>
      <c r="Z9" s="1"/>
    </row>
    <row r="10" spans="1:26" ht="16.5" customHeight="1">
      <c r="A10" s="1"/>
      <c r="B10" s="1" t="s">
        <v>1468</v>
      </c>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1" t="s">
        <v>1474</v>
      </c>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1" t="s">
        <v>1469</v>
      </c>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 t="s">
        <v>1473</v>
      </c>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t="s">
        <v>1472</v>
      </c>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t="s">
        <v>1470</v>
      </c>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731" t="s">
        <v>1471</v>
      </c>
      <c r="C16" s="731"/>
      <c r="D16" s="73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731"/>
      <c r="C17" s="731"/>
      <c r="D17" s="731"/>
      <c r="E17" s="1"/>
      <c r="F17" s="1"/>
      <c r="G17" s="1"/>
      <c r="H17" s="1"/>
      <c r="I17" s="1"/>
      <c r="J17" s="1"/>
      <c r="K17" s="1"/>
      <c r="L17" s="1"/>
      <c r="M17" s="1"/>
      <c r="N17" s="1"/>
      <c r="O17" s="1"/>
      <c r="P17" s="1"/>
      <c r="Q17" s="1"/>
      <c r="R17" s="1"/>
      <c r="S17" s="1"/>
      <c r="T17" s="1"/>
      <c r="U17" s="1"/>
      <c r="V17" s="1"/>
      <c r="W17" s="1"/>
      <c r="X17" s="1"/>
      <c r="Y17" s="1"/>
      <c r="Z17" s="1"/>
    </row>
    <row r="18" spans="1:26" ht="18"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c r="A19" s="1"/>
      <c r="B19" s="4" t="s">
        <v>4</v>
      </c>
      <c r="C19" s="1"/>
      <c r="D19" s="1"/>
      <c r="E19" s="1"/>
      <c r="F19" s="1"/>
      <c r="G19" s="1"/>
      <c r="H19" s="1"/>
      <c r="I19" s="1"/>
      <c r="J19" s="1"/>
      <c r="K19" s="1"/>
      <c r="L19" s="1"/>
      <c r="M19" s="1"/>
      <c r="N19" s="1"/>
      <c r="O19" s="1"/>
      <c r="P19" s="1"/>
      <c r="Q19" s="1"/>
      <c r="R19" s="1"/>
      <c r="S19" s="1"/>
      <c r="T19" s="1"/>
      <c r="U19" s="1"/>
      <c r="V19" s="1"/>
      <c r="W19" s="1"/>
      <c r="X19" s="1"/>
      <c r="Y19" s="1"/>
      <c r="Z19" s="1"/>
    </row>
    <row r="20" spans="1:26" ht="18" customHeight="1">
      <c r="A20" s="1"/>
      <c r="B20" s="1" t="s">
        <v>5</v>
      </c>
      <c r="C20" s="1"/>
      <c r="D20" s="1"/>
      <c r="E20" s="1"/>
      <c r="F20" s="1"/>
      <c r="G20" s="1"/>
      <c r="H20" s="1"/>
      <c r="I20" s="1"/>
      <c r="J20" s="1"/>
      <c r="K20" s="1"/>
      <c r="L20" s="1"/>
      <c r="M20" s="1"/>
      <c r="N20" s="1"/>
      <c r="O20" s="1"/>
      <c r="P20" s="1"/>
      <c r="Q20" s="1"/>
      <c r="R20" s="1"/>
      <c r="S20" s="1"/>
      <c r="T20" s="1"/>
      <c r="U20" s="1"/>
      <c r="V20" s="1"/>
      <c r="W20" s="1"/>
      <c r="X20" s="1"/>
      <c r="Y20" s="1"/>
      <c r="Z20" s="1"/>
    </row>
    <row r="21" spans="1:26" ht="18" customHeight="1">
      <c r="A21" s="1"/>
      <c r="B21" s="8" t="s">
        <v>6</v>
      </c>
      <c r="C21" s="8" t="s">
        <v>7</v>
      </c>
      <c r="D21" s="8" t="s">
        <v>46</v>
      </c>
      <c r="E21" s="1"/>
      <c r="F21" s="1"/>
      <c r="G21" s="1"/>
      <c r="H21" s="1"/>
      <c r="I21" s="1"/>
      <c r="J21" s="1"/>
      <c r="K21" s="1"/>
      <c r="L21" s="1"/>
      <c r="M21" s="1"/>
      <c r="N21" s="1"/>
      <c r="O21" s="1"/>
      <c r="P21" s="1"/>
      <c r="Q21" s="1"/>
      <c r="R21" s="1"/>
      <c r="S21" s="1"/>
      <c r="T21" s="1"/>
      <c r="U21" s="1"/>
      <c r="V21" s="1"/>
      <c r="W21" s="1"/>
      <c r="X21" s="6"/>
      <c r="Y21" s="6"/>
      <c r="Z21" s="6"/>
    </row>
    <row r="22" spans="1:26" ht="18" customHeight="1">
      <c r="A22" s="1"/>
      <c r="B22" s="674" t="s">
        <v>1475</v>
      </c>
      <c r="C22" s="690">
        <f>1776193.5*34.8</f>
        <v>61811533.799999997</v>
      </c>
      <c r="D22" s="690" t="s">
        <v>1431</v>
      </c>
      <c r="E22" s="1"/>
      <c r="F22" s="1"/>
      <c r="G22" s="1"/>
      <c r="H22" s="1"/>
      <c r="I22" s="1"/>
      <c r="J22" s="1"/>
      <c r="K22" s="1"/>
      <c r="L22" s="1"/>
      <c r="M22" s="1"/>
      <c r="N22" s="1"/>
      <c r="O22" s="1"/>
      <c r="P22" s="1"/>
      <c r="Q22" s="1"/>
      <c r="R22" s="1"/>
      <c r="S22" s="1"/>
      <c r="T22" s="1"/>
      <c r="U22" s="1"/>
      <c r="V22" s="1"/>
      <c r="W22" s="1"/>
      <c r="X22" s="6"/>
      <c r="Y22" s="6"/>
      <c r="Z22" s="6"/>
    </row>
    <row r="23" spans="1:26" ht="18" customHeight="1">
      <c r="A23" s="1"/>
      <c r="B23" s="11" t="s">
        <v>1476</v>
      </c>
      <c r="C23" s="690">
        <v>864000</v>
      </c>
      <c r="D23" s="690" t="s">
        <v>1434</v>
      </c>
      <c r="E23" s="1"/>
      <c r="F23" s="1"/>
      <c r="G23" s="1"/>
      <c r="H23" s="1"/>
      <c r="I23" s="1"/>
      <c r="J23" s="1"/>
      <c r="K23" s="1"/>
      <c r="L23" s="1"/>
      <c r="M23" s="1"/>
      <c r="N23" s="1"/>
      <c r="O23" s="1"/>
      <c r="P23" s="1"/>
      <c r="Q23" s="1"/>
      <c r="R23" s="1"/>
      <c r="S23" s="1"/>
      <c r="T23" s="1"/>
      <c r="U23" s="1"/>
      <c r="V23" s="1"/>
      <c r="W23" s="1"/>
      <c r="X23" s="6"/>
      <c r="Y23" s="6"/>
      <c r="Z23" s="6"/>
    </row>
    <row r="24" spans="1:26" ht="18" customHeight="1">
      <c r="A24" s="1"/>
      <c r="B24" s="10" t="s">
        <v>1456</v>
      </c>
      <c r="C24" s="690">
        <f>1048064.5*3.6</f>
        <v>3773032.2</v>
      </c>
      <c r="D24" s="1"/>
      <c r="E24" s="1"/>
      <c r="F24" s="1"/>
      <c r="G24" s="1"/>
      <c r="H24" s="1"/>
      <c r="I24" s="1"/>
      <c r="J24" s="1"/>
      <c r="K24" s="1"/>
      <c r="L24" s="1"/>
      <c r="M24" s="1"/>
      <c r="N24" s="1"/>
      <c r="O24" s="1"/>
      <c r="P24" s="1"/>
      <c r="Q24" s="1"/>
      <c r="R24" s="1"/>
      <c r="S24" s="1"/>
      <c r="T24" s="1"/>
      <c r="U24" s="1"/>
      <c r="V24" s="1"/>
      <c r="W24" s="1"/>
      <c r="X24" s="6"/>
      <c r="Y24" s="6"/>
      <c r="Z24" s="6"/>
    </row>
    <row r="25" spans="1:26" ht="18" customHeight="1">
      <c r="A25" s="1"/>
      <c r="B25" s="1"/>
      <c r="C25" s="12"/>
      <c r="D25" s="1"/>
      <c r="E25" s="1"/>
      <c r="F25" s="1"/>
      <c r="G25" s="1"/>
      <c r="H25" s="1"/>
      <c r="I25" s="1"/>
      <c r="J25" s="1"/>
      <c r="K25" s="1"/>
      <c r="L25" s="1"/>
      <c r="M25" s="1"/>
      <c r="N25" s="1"/>
      <c r="O25" s="1"/>
      <c r="P25" s="1"/>
      <c r="Q25" s="1"/>
      <c r="R25" s="1"/>
      <c r="S25" s="1"/>
      <c r="T25" s="1"/>
      <c r="U25" s="1"/>
      <c r="V25" s="1"/>
      <c r="W25" s="1"/>
      <c r="X25" s="6"/>
      <c r="Y25" s="6"/>
      <c r="Z25" s="6"/>
    </row>
    <row r="26" spans="1:26" ht="18" customHeight="1">
      <c r="A26" s="1"/>
      <c r="B26" s="13" t="s">
        <v>8</v>
      </c>
      <c r="C26" s="12"/>
      <c r="D26" s="1"/>
      <c r="E26" s="1"/>
      <c r="F26" s="1"/>
      <c r="G26" s="1"/>
      <c r="H26" s="1"/>
      <c r="I26" s="1"/>
      <c r="J26" s="1"/>
      <c r="K26" s="1"/>
      <c r="L26" s="1"/>
      <c r="M26" s="1"/>
      <c r="N26" s="1"/>
      <c r="O26" s="1"/>
      <c r="P26" s="1"/>
      <c r="Q26" s="1"/>
      <c r="R26" s="1"/>
      <c r="S26" s="1"/>
      <c r="T26" s="1"/>
      <c r="U26" s="1"/>
      <c r="V26" s="1"/>
      <c r="W26" s="1"/>
      <c r="X26" s="1"/>
      <c r="Y26" s="1"/>
      <c r="Z26" s="1"/>
    </row>
    <row r="27" spans="1:26" ht="18" customHeight="1">
      <c r="A27" s="1"/>
      <c r="B27" s="1" t="s">
        <v>9</v>
      </c>
      <c r="C27" s="1"/>
      <c r="D27" s="1"/>
      <c r="E27" s="1"/>
      <c r="F27" s="1"/>
      <c r="G27" s="1"/>
      <c r="H27" s="1"/>
      <c r="I27" s="1"/>
      <c r="J27" s="1"/>
      <c r="K27" s="1"/>
      <c r="L27" s="1"/>
      <c r="M27" s="1"/>
      <c r="N27" s="1"/>
      <c r="O27" s="1"/>
      <c r="P27" s="1"/>
      <c r="Q27" s="1"/>
      <c r="R27" s="1"/>
      <c r="S27" s="1"/>
      <c r="T27" s="1"/>
      <c r="U27" s="1"/>
      <c r="V27" s="1"/>
      <c r="W27" s="1"/>
      <c r="X27" s="1"/>
      <c r="Y27" s="1"/>
      <c r="Z27" s="1"/>
    </row>
    <row r="28" spans="1:26" ht="18" customHeight="1">
      <c r="A28" s="1"/>
      <c r="B28" s="8" t="s">
        <v>10</v>
      </c>
      <c r="C28" s="8" t="s">
        <v>7</v>
      </c>
      <c r="D28" s="1"/>
      <c r="E28" s="1"/>
      <c r="F28" s="1"/>
      <c r="G28" s="1"/>
      <c r="H28" s="1"/>
      <c r="I28" s="1"/>
      <c r="J28" s="1"/>
      <c r="K28" s="1"/>
      <c r="L28" s="1"/>
      <c r="M28" s="1"/>
      <c r="N28" s="1"/>
      <c r="O28" s="1"/>
      <c r="P28" s="1"/>
      <c r="Q28" s="1"/>
      <c r="R28" s="1"/>
      <c r="S28" s="1"/>
      <c r="T28" s="1"/>
      <c r="U28" s="1"/>
      <c r="V28" s="1"/>
      <c r="W28" s="1"/>
      <c r="X28" s="6"/>
      <c r="Y28" s="6"/>
      <c r="Z28" s="6"/>
    </row>
    <row r="29" spans="1:26" ht="18" customHeight="1">
      <c r="A29" s="1"/>
      <c r="B29" s="14" t="s">
        <v>11</v>
      </c>
      <c r="C29" s="690" t="s">
        <v>12</v>
      </c>
      <c r="D29" s="532"/>
      <c r="E29" s="1"/>
      <c r="F29" s="1"/>
      <c r="G29" s="1"/>
      <c r="H29" s="1"/>
      <c r="I29" s="1"/>
      <c r="J29" s="1"/>
      <c r="K29" s="1"/>
      <c r="L29" s="1"/>
      <c r="M29" s="1"/>
      <c r="N29" s="1"/>
      <c r="O29" s="1"/>
      <c r="P29" s="1"/>
      <c r="Q29" s="1"/>
      <c r="R29" s="1"/>
      <c r="S29" s="1"/>
      <c r="T29" s="1"/>
      <c r="U29" s="1"/>
      <c r="V29" s="1"/>
      <c r="W29" s="1"/>
      <c r="X29" s="6"/>
      <c r="Y29" s="6"/>
      <c r="Z29" s="6"/>
    </row>
    <row r="30" spans="1:26" ht="18" customHeight="1">
      <c r="A30" s="1"/>
      <c r="B30" s="11" t="s">
        <v>1378</v>
      </c>
      <c r="C30" s="690" t="str">
        <f>D22</f>
        <v>Natural gas (MJ)</v>
      </c>
      <c r="D30" s="532"/>
      <c r="E30" s="1"/>
      <c r="F30" s="1"/>
      <c r="G30" s="1"/>
      <c r="H30" s="1"/>
      <c r="I30" s="1"/>
      <c r="J30" s="1"/>
      <c r="K30" s="1"/>
      <c r="L30" s="1"/>
      <c r="M30" s="1"/>
      <c r="N30" s="1"/>
      <c r="O30" s="1"/>
      <c r="P30" s="1"/>
      <c r="Q30" s="1"/>
      <c r="R30" s="1"/>
      <c r="S30" s="1"/>
      <c r="T30" s="1"/>
      <c r="U30" s="1"/>
      <c r="V30" s="1"/>
      <c r="W30" s="1"/>
      <c r="X30" s="6"/>
      <c r="Y30" s="6"/>
      <c r="Z30" s="6"/>
    </row>
    <row r="31" spans="1:26" ht="18" customHeight="1">
      <c r="A31" s="1"/>
      <c r="B31" s="14" t="s">
        <v>1372</v>
      </c>
      <c r="C31" s="690" t="s">
        <v>106</v>
      </c>
      <c r="D31" s="532"/>
      <c r="E31" s="1"/>
      <c r="F31" s="1"/>
      <c r="G31" s="1"/>
      <c r="H31" s="1"/>
      <c r="I31" s="1"/>
      <c r="J31" s="1"/>
      <c r="K31" s="1"/>
      <c r="L31" s="1"/>
      <c r="M31" s="1"/>
      <c r="N31" s="1"/>
      <c r="O31" s="1"/>
      <c r="P31" s="1"/>
      <c r="Q31" s="1"/>
      <c r="R31" s="1"/>
      <c r="S31" s="1"/>
      <c r="T31" s="1"/>
      <c r="U31" s="1"/>
      <c r="V31" s="1"/>
      <c r="W31" s="1"/>
      <c r="X31" s="6"/>
      <c r="Y31" s="6"/>
      <c r="Z31" s="6"/>
    </row>
    <row r="32" spans="1:26" ht="18" customHeight="1">
      <c r="A32" s="1"/>
      <c r="B32" s="11" t="s">
        <v>1421</v>
      </c>
      <c r="C32" s="691">
        <v>110</v>
      </c>
      <c r="D32" s="532"/>
      <c r="E32" s="1"/>
      <c r="F32" s="1"/>
      <c r="G32" s="1"/>
      <c r="H32" s="1"/>
      <c r="I32" s="1"/>
      <c r="J32" s="1"/>
      <c r="K32" s="1"/>
      <c r="L32" s="1"/>
      <c r="M32" s="1"/>
      <c r="N32" s="1"/>
      <c r="O32" s="1"/>
      <c r="P32" s="1"/>
      <c r="Q32" s="1"/>
      <c r="R32" s="1"/>
      <c r="S32" s="1"/>
      <c r="T32" s="1"/>
      <c r="U32" s="1"/>
      <c r="V32" s="1"/>
      <c r="W32" s="1"/>
      <c r="X32" s="6"/>
      <c r="Y32" s="6"/>
      <c r="Z32" s="6"/>
    </row>
    <row r="33" spans="1:26" ht="18" customHeight="1">
      <c r="A33" s="1"/>
      <c r="B33" s="14" t="s">
        <v>1422</v>
      </c>
      <c r="C33" s="691">
        <v>105</v>
      </c>
      <c r="D33" s="532"/>
      <c r="E33" s="1"/>
      <c r="F33" s="1"/>
      <c r="G33" s="1"/>
      <c r="H33" s="1"/>
      <c r="I33" s="1"/>
      <c r="J33" s="1"/>
      <c r="K33" s="1"/>
      <c r="L33" s="1"/>
      <c r="M33" s="1"/>
      <c r="N33" s="1"/>
      <c r="O33" s="1"/>
      <c r="P33" s="1"/>
      <c r="Q33" s="1"/>
      <c r="R33" s="1"/>
      <c r="S33" s="1"/>
      <c r="T33" s="1"/>
      <c r="U33" s="1"/>
      <c r="V33" s="1"/>
      <c r="W33" s="1"/>
      <c r="X33" s="6"/>
      <c r="Y33" s="6"/>
      <c r="Z33" s="6"/>
    </row>
    <row r="34" spans="1:26" ht="18" customHeight="1">
      <c r="A34" s="1"/>
      <c r="B34" s="11" t="s">
        <v>1439</v>
      </c>
      <c r="C34" s="691">
        <v>120</v>
      </c>
      <c r="D34" s="532"/>
      <c r="E34" s="1"/>
      <c r="F34" s="1"/>
      <c r="G34" s="1"/>
      <c r="H34" s="1"/>
      <c r="I34" s="1"/>
      <c r="J34" s="1"/>
      <c r="K34" s="1"/>
      <c r="L34" s="1"/>
      <c r="M34" s="1"/>
      <c r="N34" s="1"/>
      <c r="O34" s="1"/>
      <c r="P34" s="1"/>
      <c r="Q34" s="1"/>
      <c r="R34" s="1"/>
      <c r="S34" s="1"/>
      <c r="T34" s="1"/>
      <c r="U34" s="1"/>
      <c r="V34" s="1"/>
      <c r="W34" s="1"/>
      <c r="X34" s="6"/>
      <c r="Y34" s="6"/>
      <c r="Z34" s="6"/>
    </row>
    <row r="35" spans="1:26" ht="18" customHeight="1">
      <c r="A35" s="1"/>
      <c r="B35" s="14" t="s">
        <v>1377</v>
      </c>
      <c r="C35" s="692" t="s">
        <v>15</v>
      </c>
      <c r="D35" s="532"/>
      <c r="E35" s="1"/>
      <c r="F35" s="1"/>
      <c r="G35" s="1"/>
      <c r="H35" s="1"/>
      <c r="I35" s="1"/>
      <c r="J35" s="1"/>
      <c r="K35" s="1"/>
      <c r="L35" s="1"/>
      <c r="M35" s="1"/>
      <c r="N35" s="1"/>
      <c r="O35" s="1"/>
      <c r="P35" s="1"/>
      <c r="Q35" s="1"/>
      <c r="R35" s="1"/>
      <c r="S35" s="1"/>
      <c r="T35" s="1"/>
      <c r="U35" s="1"/>
      <c r="V35" s="1"/>
      <c r="W35" s="1"/>
      <c r="X35" s="6"/>
      <c r="Y35" s="6"/>
      <c r="Z35" s="6"/>
    </row>
    <row r="36" spans="1:26" ht="18" customHeight="1">
      <c r="A36" s="1"/>
      <c r="B36" s="11" t="s">
        <v>16</v>
      </c>
      <c r="C36" s="692" t="s">
        <v>15</v>
      </c>
      <c r="D36" s="532"/>
      <c r="E36" s="1"/>
      <c r="F36" s="1"/>
      <c r="G36" s="1"/>
      <c r="H36" s="1"/>
      <c r="I36" s="1"/>
      <c r="J36" s="1"/>
      <c r="K36" s="1"/>
      <c r="L36" s="1"/>
      <c r="M36" s="1"/>
      <c r="N36" s="1"/>
      <c r="O36" s="1"/>
      <c r="P36" s="1"/>
      <c r="Q36" s="1"/>
      <c r="R36" s="1"/>
      <c r="S36" s="1"/>
      <c r="T36" s="1"/>
      <c r="U36" s="1"/>
      <c r="V36" s="1"/>
      <c r="W36" s="1"/>
      <c r="X36" s="6"/>
      <c r="Y36" s="6"/>
      <c r="Z36" s="6"/>
    </row>
    <row r="37" spans="1:26" ht="18" customHeight="1">
      <c r="A37" s="1"/>
      <c r="B37" s="14" t="s">
        <v>1406</v>
      </c>
      <c r="C37" s="691">
        <v>10</v>
      </c>
      <c r="D37" s="532"/>
      <c r="E37" s="1"/>
      <c r="F37" s="1"/>
      <c r="G37" s="1"/>
      <c r="H37" s="1"/>
      <c r="I37" s="1"/>
      <c r="J37" s="1"/>
      <c r="K37" s="1"/>
      <c r="L37" s="1"/>
      <c r="M37" s="1"/>
      <c r="N37" s="1"/>
      <c r="O37" s="1"/>
      <c r="P37" s="1"/>
      <c r="Q37" s="1"/>
      <c r="R37" s="1"/>
      <c r="S37" s="1"/>
      <c r="T37" s="1"/>
      <c r="U37" s="1"/>
      <c r="V37" s="1"/>
      <c r="W37" s="1"/>
      <c r="X37" s="6"/>
      <c r="Y37" s="6"/>
      <c r="Z37" s="6"/>
    </row>
    <row r="38" spans="1:26" ht="18" customHeight="1">
      <c r="A38" s="1"/>
      <c r="B38" s="11" t="s">
        <v>1407</v>
      </c>
      <c r="C38" s="691">
        <v>5</v>
      </c>
      <c r="D38" s="532"/>
      <c r="E38" s="1"/>
      <c r="F38" s="1"/>
      <c r="G38" s="1"/>
      <c r="H38" s="1"/>
      <c r="I38" s="1"/>
      <c r="J38" s="1"/>
      <c r="K38" s="1"/>
      <c r="L38" s="1"/>
      <c r="M38" s="1"/>
      <c r="N38" s="1"/>
      <c r="O38" s="1"/>
      <c r="P38" s="1"/>
      <c r="Q38" s="1"/>
      <c r="R38" s="1"/>
      <c r="S38" s="1"/>
      <c r="T38" s="1"/>
      <c r="U38" s="1"/>
      <c r="V38" s="1"/>
      <c r="W38" s="1"/>
      <c r="X38" s="6"/>
      <c r="Y38" s="6"/>
      <c r="Z38" s="6"/>
    </row>
    <row r="39" spans="1:26" ht="18" customHeight="1">
      <c r="A39" s="1"/>
      <c r="B39" s="14" t="s">
        <v>1440</v>
      </c>
      <c r="C39" s="691">
        <v>0</v>
      </c>
      <c r="D39" s="532"/>
      <c r="E39" s="1"/>
      <c r="F39" s="1"/>
      <c r="G39" s="1"/>
      <c r="H39" s="1"/>
      <c r="I39" s="1"/>
      <c r="J39" s="1"/>
      <c r="K39" s="1"/>
      <c r="L39" s="1"/>
      <c r="M39" s="1"/>
      <c r="N39" s="1"/>
      <c r="O39" s="1"/>
      <c r="P39" s="1"/>
      <c r="Q39" s="1"/>
      <c r="R39" s="1"/>
      <c r="S39" s="1"/>
      <c r="T39" s="1"/>
      <c r="U39" s="1"/>
      <c r="V39" s="1"/>
      <c r="W39" s="1"/>
      <c r="X39" s="6"/>
      <c r="Y39" s="6"/>
      <c r="Z39" s="6"/>
    </row>
    <row r="40" spans="1:26" ht="18" customHeight="1">
      <c r="A40" s="1"/>
      <c r="B40" s="11" t="s">
        <v>1379</v>
      </c>
      <c r="C40" s="691">
        <v>400</v>
      </c>
      <c r="D40" s="533"/>
      <c r="E40" s="1"/>
      <c r="F40" s="1"/>
      <c r="G40" s="1"/>
      <c r="H40" s="1"/>
      <c r="I40" s="1"/>
      <c r="J40" s="1"/>
      <c r="K40" s="1"/>
      <c r="L40" s="1"/>
      <c r="M40" s="1"/>
      <c r="N40" s="1"/>
      <c r="O40" s="1"/>
      <c r="P40" s="1"/>
      <c r="Q40" s="1"/>
      <c r="R40" s="1"/>
      <c r="S40" s="1"/>
      <c r="T40" s="1"/>
      <c r="U40" s="1"/>
      <c r="V40" s="1"/>
      <c r="W40" s="1"/>
      <c r="X40" s="6"/>
      <c r="Y40" s="6"/>
      <c r="Z40" s="6"/>
    </row>
    <row r="41" spans="1:26" ht="18" customHeight="1">
      <c r="A41" s="1"/>
      <c r="B41" s="14" t="s">
        <v>1437</v>
      </c>
      <c r="C41" s="691">
        <v>2000</v>
      </c>
      <c r="D41" s="533"/>
      <c r="E41" s="1"/>
      <c r="F41" s="1"/>
      <c r="G41" s="1"/>
      <c r="H41" s="1"/>
      <c r="I41" s="1"/>
      <c r="J41" s="1"/>
      <c r="K41" s="1"/>
      <c r="L41" s="1"/>
      <c r="M41" s="1"/>
      <c r="N41" s="1"/>
      <c r="O41" s="1"/>
      <c r="P41" s="1"/>
      <c r="Q41" s="1"/>
      <c r="R41" s="1"/>
      <c r="S41" s="1"/>
      <c r="T41" s="1"/>
      <c r="U41" s="1"/>
      <c r="V41" s="1"/>
      <c r="W41" s="1"/>
      <c r="X41" s="6"/>
      <c r="Y41" s="6"/>
      <c r="Z41" s="6"/>
    </row>
    <row r="42" spans="1:26" ht="18" customHeight="1">
      <c r="A42" s="1"/>
      <c r="B42" s="11" t="s">
        <v>1380</v>
      </c>
      <c r="C42" s="691">
        <v>1500</v>
      </c>
      <c r="D42" s="533"/>
      <c r="E42" s="1"/>
      <c r="F42" s="1"/>
      <c r="G42" s="1"/>
      <c r="H42" s="1"/>
      <c r="I42" s="1"/>
      <c r="J42" s="1"/>
      <c r="K42" s="1"/>
      <c r="L42" s="1"/>
      <c r="M42" s="1"/>
      <c r="N42" s="1"/>
      <c r="O42" s="1"/>
      <c r="P42" s="1"/>
      <c r="Q42" s="1"/>
      <c r="R42" s="1"/>
      <c r="S42" s="1"/>
      <c r="T42" s="1"/>
      <c r="U42" s="1"/>
      <c r="V42" s="1"/>
      <c r="W42" s="1"/>
      <c r="X42" s="6"/>
      <c r="Y42" s="6"/>
      <c r="Z42" s="6"/>
    </row>
    <row r="43" spans="1:26" ht="18" customHeight="1">
      <c r="A43" s="1"/>
      <c r="B43" s="14" t="s">
        <v>17</v>
      </c>
      <c r="C43" s="692" t="s">
        <v>18</v>
      </c>
      <c r="D43" s="532"/>
      <c r="E43" s="1"/>
      <c r="F43" s="1"/>
      <c r="G43" s="1"/>
      <c r="H43" s="1"/>
      <c r="I43" s="1"/>
      <c r="J43" s="1"/>
      <c r="K43" s="1"/>
      <c r="L43" s="1"/>
      <c r="M43" s="1"/>
      <c r="N43" s="1"/>
      <c r="O43" s="1"/>
      <c r="P43" s="1"/>
      <c r="Q43" s="1"/>
      <c r="R43" s="1"/>
      <c r="S43" s="1"/>
      <c r="T43" s="1"/>
      <c r="U43" s="1"/>
      <c r="V43" s="1"/>
      <c r="W43" s="1"/>
      <c r="X43" s="6"/>
      <c r="Y43" s="6"/>
      <c r="Z43" s="6"/>
    </row>
    <row r="44" spans="1:26" ht="18" customHeight="1">
      <c r="A44" s="1"/>
      <c r="B44" s="11" t="s">
        <v>19</v>
      </c>
      <c r="C44" s="692" t="s">
        <v>20</v>
      </c>
      <c r="D44" s="532"/>
      <c r="E44" s="1"/>
      <c r="F44" s="1"/>
      <c r="G44" s="1"/>
      <c r="H44" s="1"/>
      <c r="I44" s="1"/>
      <c r="J44" s="1"/>
      <c r="K44" s="1"/>
      <c r="L44" s="1"/>
      <c r="M44" s="1"/>
      <c r="N44" s="1"/>
      <c r="O44" s="1"/>
      <c r="P44" s="1"/>
      <c r="Q44" s="1"/>
      <c r="R44" s="1"/>
      <c r="S44" s="1"/>
      <c r="T44" s="1"/>
      <c r="U44" s="1"/>
      <c r="V44" s="1"/>
      <c r="W44" s="1"/>
      <c r="X44" s="6"/>
      <c r="Y44" s="6"/>
      <c r="Z44" s="6"/>
    </row>
    <row r="45" spans="1:26" ht="18" customHeight="1">
      <c r="A45" s="1"/>
      <c r="B45" s="14" t="s">
        <v>21</v>
      </c>
      <c r="C45" s="692" t="s">
        <v>22</v>
      </c>
      <c r="D45" s="532"/>
      <c r="E45" s="1"/>
      <c r="F45" s="1"/>
      <c r="G45" s="1"/>
      <c r="H45" s="1"/>
      <c r="I45" s="1"/>
      <c r="J45" s="1"/>
      <c r="K45" s="1"/>
      <c r="L45" s="1"/>
      <c r="M45" s="1"/>
      <c r="N45" s="1"/>
      <c r="O45" s="1"/>
      <c r="P45" s="1"/>
      <c r="Q45" s="1"/>
      <c r="R45" s="1"/>
      <c r="S45" s="1"/>
      <c r="T45" s="1"/>
      <c r="U45" s="1"/>
      <c r="V45" s="1"/>
      <c r="W45" s="1"/>
      <c r="X45" s="6"/>
      <c r="Y45" s="6"/>
      <c r="Z45" s="6"/>
    </row>
    <row r="46" spans="1:26" ht="18" customHeight="1">
      <c r="A46" s="1"/>
      <c r="B46" s="11" t="s">
        <v>23</v>
      </c>
      <c r="C46" s="692" t="s">
        <v>24</v>
      </c>
      <c r="D46" s="532"/>
      <c r="E46" s="1"/>
      <c r="F46" s="1"/>
      <c r="G46" s="1"/>
      <c r="H46" s="1"/>
      <c r="I46" s="1"/>
      <c r="J46" s="1"/>
      <c r="K46" s="1"/>
      <c r="L46" s="1"/>
      <c r="M46" s="1"/>
      <c r="N46" s="1"/>
      <c r="O46" s="1"/>
      <c r="P46" s="1"/>
      <c r="Q46" s="1"/>
      <c r="R46" s="1"/>
      <c r="S46" s="1"/>
      <c r="T46" s="1"/>
      <c r="U46" s="1"/>
      <c r="V46" s="1"/>
      <c r="W46" s="1"/>
      <c r="X46" s="6"/>
      <c r="Y46" s="6"/>
      <c r="Z46" s="6"/>
    </row>
    <row r="47" spans="1:26" ht="18" customHeight="1">
      <c r="A47" s="1"/>
      <c r="B47" s="14" t="s">
        <v>25</v>
      </c>
      <c r="C47" s="692" t="s">
        <v>26</v>
      </c>
      <c r="D47" s="532"/>
      <c r="E47" s="1"/>
      <c r="F47" s="1"/>
      <c r="G47" s="1"/>
      <c r="H47" s="1"/>
      <c r="I47" s="1"/>
      <c r="J47" s="1"/>
      <c r="K47" s="1"/>
      <c r="L47" s="1"/>
      <c r="M47" s="1"/>
      <c r="N47" s="1"/>
      <c r="O47" s="1"/>
      <c r="P47" s="1"/>
      <c r="Q47" s="1"/>
      <c r="R47" s="1"/>
      <c r="S47" s="1"/>
      <c r="T47" s="1"/>
      <c r="U47" s="1"/>
      <c r="V47" s="1"/>
      <c r="W47" s="1"/>
      <c r="X47" s="6"/>
      <c r="Y47" s="6"/>
      <c r="Z47" s="6"/>
    </row>
    <row r="48" spans="1:26" ht="18" customHeight="1">
      <c r="A48" s="1"/>
      <c r="B48" s="518" t="s">
        <v>27</v>
      </c>
      <c r="C48" s="692" t="s">
        <v>28</v>
      </c>
      <c r="D48" s="624"/>
      <c r="E48" s="1"/>
      <c r="F48" s="1"/>
      <c r="G48" s="1"/>
      <c r="H48" s="1"/>
      <c r="I48" s="1"/>
      <c r="J48" s="1"/>
      <c r="K48" s="1"/>
      <c r="L48" s="1"/>
      <c r="M48" s="1"/>
      <c r="N48" s="1"/>
      <c r="O48" s="1"/>
      <c r="P48" s="1"/>
      <c r="Q48" s="1"/>
      <c r="R48" s="1"/>
      <c r="S48" s="1"/>
      <c r="T48" s="1"/>
      <c r="U48" s="1"/>
      <c r="V48" s="1"/>
      <c r="W48" s="1"/>
      <c r="X48" s="6"/>
      <c r="Y48" s="6"/>
      <c r="Z48" s="6"/>
    </row>
    <row r="49" spans="1:26" ht="18" customHeight="1">
      <c r="A49" s="1"/>
      <c r="B49" s="519" t="s">
        <v>1465</v>
      </c>
      <c r="C49" s="692"/>
      <c r="D49" s="533"/>
      <c r="E49" s="1"/>
      <c r="F49" s="1"/>
      <c r="G49" s="1"/>
      <c r="H49" s="1"/>
      <c r="I49" s="1"/>
      <c r="J49" s="1"/>
      <c r="K49" s="1"/>
      <c r="L49" s="1"/>
      <c r="M49" s="1"/>
      <c r="N49" s="1"/>
      <c r="O49" s="1"/>
      <c r="P49" s="1"/>
      <c r="Q49" s="1"/>
      <c r="R49" s="1"/>
      <c r="S49" s="1"/>
      <c r="T49" s="1"/>
      <c r="U49" s="1"/>
      <c r="V49" s="1"/>
      <c r="W49" s="1"/>
      <c r="X49" s="1"/>
      <c r="Y49" s="1"/>
      <c r="Z49" s="6"/>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4" t="s">
        <v>29</v>
      </c>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t="s">
        <v>30</v>
      </c>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5" t="s">
        <v>31</v>
      </c>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8" t="s">
        <v>32</v>
      </c>
      <c r="C54" s="8" t="s">
        <v>33</v>
      </c>
      <c r="D54" s="1"/>
      <c r="E54" s="1"/>
      <c r="F54" s="1"/>
      <c r="G54" s="1"/>
      <c r="H54" s="1"/>
      <c r="I54" s="1"/>
      <c r="J54" s="1"/>
      <c r="K54" s="1"/>
      <c r="L54" s="1"/>
      <c r="M54" s="1"/>
      <c r="N54" s="1"/>
      <c r="O54" s="1"/>
      <c r="P54" s="1"/>
      <c r="Q54" s="1"/>
      <c r="R54" s="1"/>
      <c r="S54" s="1"/>
      <c r="T54" s="1"/>
      <c r="U54" s="1"/>
      <c r="V54" s="1"/>
      <c r="W54" s="1"/>
      <c r="X54" s="1"/>
      <c r="Y54" s="1"/>
      <c r="Z54" s="6"/>
    </row>
    <row r="55" spans="1:26" ht="18" customHeight="1">
      <c r="A55" s="1"/>
      <c r="B55" s="14" t="s">
        <v>34</v>
      </c>
      <c r="C55" s="693">
        <v>0.03</v>
      </c>
      <c r="D55" s="1"/>
      <c r="E55" s="1"/>
      <c r="F55" s="1"/>
      <c r="G55" s="1"/>
      <c r="H55" s="1"/>
      <c r="I55" s="1"/>
      <c r="J55" s="1"/>
      <c r="K55" s="1"/>
      <c r="L55" s="1"/>
      <c r="M55" s="1"/>
      <c r="N55" s="1"/>
      <c r="O55" s="1"/>
      <c r="P55" s="1"/>
      <c r="Q55" s="1"/>
      <c r="R55" s="1"/>
      <c r="S55" s="1"/>
      <c r="T55" s="1"/>
      <c r="U55" s="1"/>
      <c r="V55" s="1"/>
      <c r="W55" s="1"/>
      <c r="X55" s="1"/>
      <c r="Y55" s="1"/>
      <c r="Z55" s="6"/>
    </row>
    <row r="56" spans="1:26" ht="18" customHeight="1">
      <c r="A56" s="1"/>
      <c r="B56" s="11" t="s">
        <v>35</v>
      </c>
      <c r="C56" s="693">
        <v>0.06</v>
      </c>
      <c r="D56" s="1"/>
      <c r="E56" s="1"/>
      <c r="F56" s="1"/>
      <c r="G56" s="1"/>
      <c r="H56" s="1"/>
      <c r="I56" s="1"/>
      <c r="J56" s="1"/>
      <c r="K56" s="1"/>
      <c r="L56" s="1"/>
      <c r="M56" s="1"/>
      <c r="N56" s="1"/>
      <c r="O56" s="1"/>
      <c r="P56" s="1"/>
      <c r="Q56" s="1"/>
      <c r="R56" s="1"/>
      <c r="S56" s="1"/>
      <c r="T56" s="1"/>
      <c r="U56" s="1"/>
      <c r="V56" s="1"/>
      <c r="W56" s="1"/>
      <c r="X56" s="1"/>
      <c r="Y56" s="1"/>
      <c r="Z56" s="6"/>
    </row>
    <row r="57" spans="1:26" ht="18" customHeight="1">
      <c r="A57" s="1"/>
      <c r="B57" s="14" t="s">
        <v>36</v>
      </c>
      <c r="C57" s="693">
        <v>4.4999999999999998E-2</v>
      </c>
      <c r="D57" s="1"/>
      <c r="E57" s="1"/>
      <c r="F57" s="1"/>
      <c r="G57" s="1"/>
      <c r="H57" s="1"/>
      <c r="I57" s="1"/>
      <c r="J57" s="1"/>
      <c r="K57" s="1"/>
      <c r="L57" s="1"/>
      <c r="M57" s="1"/>
      <c r="N57" s="1"/>
      <c r="O57" s="1"/>
      <c r="P57" s="1"/>
      <c r="Q57" s="1"/>
      <c r="R57" s="1"/>
      <c r="S57" s="1"/>
      <c r="T57" s="1"/>
      <c r="U57" s="1"/>
      <c r="V57" s="1"/>
      <c r="W57" s="1"/>
      <c r="X57" s="1"/>
      <c r="Y57" s="1"/>
      <c r="Z57" s="6"/>
    </row>
    <row r="58" spans="1:26" ht="18" customHeight="1">
      <c r="A58" s="1"/>
      <c r="B58" s="11" t="s">
        <v>37</v>
      </c>
      <c r="C58" s="693">
        <v>3.5000000000000003E-2</v>
      </c>
      <c r="D58" s="1"/>
      <c r="E58" s="1"/>
      <c r="F58" s="1"/>
      <c r="G58" s="1"/>
      <c r="H58" s="1"/>
      <c r="I58" s="1"/>
      <c r="J58" s="1"/>
      <c r="K58" s="1"/>
      <c r="L58" s="1"/>
      <c r="M58" s="1"/>
      <c r="N58" s="1"/>
      <c r="O58" s="1"/>
      <c r="P58" s="1"/>
      <c r="Q58" s="1"/>
      <c r="R58" s="1"/>
      <c r="S58" s="1"/>
      <c r="T58" s="1"/>
      <c r="U58" s="1"/>
      <c r="V58" s="1"/>
      <c r="W58" s="1"/>
      <c r="X58" s="1"/>
      <c r="Y58" s="1"/>
      <c r="Z58" s="6"/>
    </row>
    <row r="59" spans="1:26" ht="18" customHeight="1">
      <c r="A59" s="1"/>
      <c r="B59" s="1"/>
      <c r="C59" s="16"/>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4" t="s">
        <v>1477</v>
      </c>
      <c r="C60" s="16"/>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t="s">
        <v>1478</v>
      </c>
      <c r="C61" s="16"/>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t="s">
        <v>1479</v>
      </c>
      <c r="C62" s="16"/>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t="s">
        <v>1480</v>
      </c>
      <c r="C63" s="16"/>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t="s">
        <v>38</v>
      </c>
      <c r="C64" s="16"/>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5" t="s">
        <v>1482</v>
      </c>
      <c r="C65" s="16"/>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t="s">
        <v>39</v>
      </c>
      <c r="C66" s="16"/>
      <c r="D66" s="1"/>
      <c r="E66" s="1"/>
      <c r="F66" s="1"/>
      <c r="G66" s="1"/>
      <c r="H66" s="1"/>
      <c r="I66" s="1"/>
      <c r="J66" s="1"/>
      <c r="K66" s="1"/>
      <c r="L66" s="1"/>
      <c r="M66" s="1"/>
      <c r="N66" s="1"/>
      <c r="O66" s="1"/>
      <c r="P66" s="1"/>
      <c r="Q66" s="1"/>
      <c r="R66" s="1"/>
      <c r="S66" s="1"/>
      <c r="T66" s="1"/>
      <c r="U66" s="1"/>
      <c r="V66" s="1"/>
      <c r="W66" s="1"/>
      <c r="X66" s="1"/>
      <c r="Y66" s="1"/>
      <c r="Z66" s="1"/>
    </row>
    <row r="67" spans="1:26" ht="35.25" customHeight="1">
      <c r="A67" s="1"/>
      <c r="B67" s="8" t="s">
        <v>1481</v>
      </c>
      <c r="C67" s="8" t="s">
        <v>1441</v>
      </c>
      <c r="D67" s="8" t="s">
        <v>1442</v>
      </c>
      <c r="E67" s="8" t="s">
        <v>41</v>
      </c>
      <c r="F67" s="1"/>
      <c r="G67" s="1"/>
      <c r="H67" s="1"/>
      <c r="I67" s="1"/>
      <c r="J67" s="1"/>
      <c r="K67" s="1"/>
      <c r="L67" s="1"/>
      <c r="M67" s="1"/>
      <c r="N67" s="1"/>
      <c r="O67" s="1"/>
      <c r="P67" s="1"/>
      <c r="Q67" s="1"/>
      <c r="R67" s="1"/>
      <c r="S67" s="1"/>
      <c r="T67" s="1"/>
      <c r="U67" s="1"/>
      <c r="V67" s="1"/>
      <c r="W67" s="1"/>
      <c r="X67" s="1"/>
      <c r="Y67" s="1"/>
      <c r="Z67" s="6"/>
    </row>
    <row r="68" spans="1:26" ht="18" customHeight="1">
      <c r="A68" s="1"/>
      <c r="B68" s="17" t="s">
        <v>1408</v>
      </c>
      <c r="C68" s="694">
        <v>32653.200000000001</v>
      </c>
      <c r="D68" s="694">
        <v>16326.6</v>
      </c>
      <c r="E68" s="694">
        <v>4800.0203999999994</v>
      </c>
      <c r="F68" s="1"/>
      <c r="G68" s="1"/>
      <c r="H68" s="1"/>
      <c r="I68" s="1"/>
      <c r="J68" s="1"/>
      <c r="K68" s="1"/>
      <c r="L68" s="1"/>
      <c r="M68" s="1"/>
      <c r="N68" s="1"/>
      <c r="O68" s="1"/>
      <c r="P68" s="1"/>
      <c r="Q68" s="1"/>
      <c r="R68" s="1"/>
      <c r="S68" s="1"/>
      <c r="T68" s="1"/>
      <c r="U68" s="1"/>
      <c r="V68" s="1"/>
      <c r="W68" s="1"/>
      <c r="X68" s="1"/>
      <c r="Y68" s="1"/>
      <c r="Z68" s="6"/>
    </row>
    <row r="69" spans="1:26" ht="18" customHeight="1">
      <c r="A69" s="1"/>
      <c r="B69" s="18" t="s">
        <v>1409</v>
      </c>
      <c r="C69" s="694">
        <v>131632.6</v>
      </c>
      <c r="D69" s="694">
        <v>122449</v>
      </c>
      <c r="E69" s="694">
        <v>61346.949000000001</v>
      </c>
      <c r="F69" s="1"/>
      <c r="G69" s="1"/>
      <c r="H69" s="1"/>
      <c r="I69" s="1"/>
      <c r="J69" s="1"/>
      <c r="K69" s="1"/>
      <c r="L69" s="1"/>
      <c r="M69" s="1"/>
      <c r="N69" s="1"/>
      <c r="O69" s="1"/>
      <c r="P69" s="1"/>
      <c r="Q69" s="1"/>
      <c r="R69" s="1"/>
      <c r="S69" s="1"/>
      <c r="T69" s="1"/>
      <c r="U69" s="1"/>
      <c r="V69" s="1"/>
      <c r="W69" s="1"/>
      <c r="X69" s="1"/>
      <c r="Y69" s="1"/>
      <c r="Z69" s="6"/>
    </row>
    <row r="70" spans="1:26" ht="18" customHeight="1">
      <c r="A70" s="1"/>
      <c r="B70" s="17" t="s">
        <v>1387</v>
      </c>
      <c r="C70" s="694">
        <v>4761.8</v>
      </c>
      <c r="D70" s="694">
        <v>0</v>
      </c>
      <c r="E70" s="694">
        <v>0</v>
      </c>
      <c r="F70" s="1"/>
      <c r="G70" s="1"/>
      <c r="H70" s="1"/>
      <c r="I70" s="1"/>
      <c r="J70" s="1"/>
      <c r="K70" s="1"/>
      <c r="L70" s="1"/>
      <c r="M70" s="1"/>
      <c r="N70" s="1"/>
      <c r="O70" s="1"/>
      <c r="P70" s="1"/>
      <c r="Q70" s="1"/>
      <c r="R70" s="1"/>
      <c r="S70" s="1"/>
      <c r="T70" s="1"/>
      <c r="U70" s="1"/>
      <c r="V70" s="1"/>
      <c r="W70" s="1"/>
      <c r="X70" s="1"/>
      <c r="Y70" s="1"/>
      <c r="Z70" s="6"/>
    </row>
    <row r="71" spans="1:26" ht="18" customHeight="1">
      <c r="A71" s="1"/>
      <c r="B71" s="18" t="s">
        <v>44</v>
      </c>
      <c r="C71" s="694">
        <v>0</v>
      </c>
      <c r="D71" s="694">
        <v>0</v>
      </c>
      <c r="E71" s="694">
        <v>0</v>
      </c>
      <c r="F71" s="1"/>
      <c r="G71" s="1"/>
      <c r="H71" s="1"/>
      <c r="I71" s="1"/>
      <c r="J71" s="1"/>
      <c r="K71" s="1"/>
      <c r="L71" s="1"/>
      <c r="M71" s="1"/>
      <c r="N71" s="1"/>
      <c r="O71" s="1"/>
      <c r="P71" s="1"/>
      <c r="Q71" s="1"/>
      <c r="R71" s="1"/>
      <c r="S71" s="1"/>
      <c r="T71" s="1"/>
      <c r="U71" s="1"/>
      <c r="V71" s="1"/>
      <c r="W71" s="1"/>
      <c r="X71" s="1"/>
      <c r="Y71" s="1"/>
      <c r="Z71" s="6"/>
    </row>
    <row r="72" spans="1:26" ht="18" customHeight="1">
      <c r="A72" s="1"/>
      <c r="B72" s="17" t="s">
        <v>43</v>
      </c>
      <c r="C72" s="694">
        <v>24830.1</v>
      </c>
      <c r="D72" s="694">
        <v>0</v>
      </c>
      <c r="E72" s="694">
        <v>0</v>
      </c>
      <c r="F72" s="1"/>
      <c r="G72" s="1"/>
      <c r="H72" s="1"/>
      <c r="I72" s="1"/>
      <c r="J72" s="1"/>
      <c r="K72" s="1"/>
      <c r="L72" s="1"/>
      <c r="M72" s="1"/>
      <c r="N72" s="1"/>
      <c r="O72" s="1"/>
      <c r="P72" s="1"/>
      <c r="Q72" s="1"/>
      <c r="R72" s="1"/>
      <c r="S72" s="1"/>
      <c r="T72" s="1"/>
      <c r="U72" s="1"/>
      <c r="V72" s="1"/>
      <c r="W72" s="1"/>
      <c r="X72" s="1"/>
      <c r="Y72" s="1"/>
      <c r="Z72" s="6"/>
    </row>
    <row r="73" spans="1:26" ht="18" customHeight="1">
      <c r="A73" s="1"/>
      <c r="B73" s="18" t="s">
        <v>1411</v>
      </c>
      <c r="C73" s="694">
        <v>0</v>
      </c>
      <c r="D73" s="694">
        <v>0</v>
      </c>
      <c r="E73" s="694">
        <v>0</v>
      </c>
      <c r="F73" s="1"/>
      <c r="G73" s="1"/>
      <c r="H73" s="1"/>
      <c r="I73" s="1"/>
      <c r="J73" s="1"/>
      <c r="K73" s="1"/>
      <c r="L73" s="1"/>
      <c r="M73" s="1"/>
      <c r="N73" s="1"/>
      <c r="O73" s="1"/>
      <c r="P73" s="1"/>
      <c r="Q73" s="1"/>
      <c r="R73" s="1"/>
      <c r="S73" s="1"/>
      <c r="T73" s="1"/>
      <c r="U73" s="1"/>
      <c r="V73" s="1"/>
      <c r="W73" s="1"/>
      <c r="X73" s="1"/>
      <c r="Y73" s="1"/>
      <c r="Z73" s="6"/>
    </row>
    <row r="74" spans="1:26" ht="18" customHeight="1">
      <c r="A74" s="1"/>
      <c r="B74" s="17" t="s">
        <v>1410</v>
      </c>
      <c r="C74" s="694">
        <v>0</v>
      </c>
      <c r="D74" s="694">
        <v>0</v>
      </c>
      <c r="E74" s="694">
        <v>0</v>
      </c>
      <c r="F74" s="1"/>
      <c r="G74" s="1"/>
      <c r="H74" s="1"/>
      <c r="I74" s="1"/>
      <c r="J74" s="1"/>
      <c r="K74" s="1"/>
      <c r="L74" s="1"/>
      <c r="M74" s="1"/>
      <c r="N74" s="1"/>
      <c r="O74" s="1"/>
      <c r="P74" s="1"/>
      <c r="Q74" s="1"/>
      <c r="R74" s="1"/>
      <c r="S74" s="1"/>
      <c r="T74" s="1"/>
      <c r="U74" s="1"/>
      <c r="V74" s="1"/>
      <c r="W74" s="1"/>
      <c r="X74" s="1"/>
      <c r="Y74" s="1"/>
      <c r="Z74" s="6"/>
    </row>
    <row r="75" spans="1:26" ht="18" customHeight="1">
      <c r="A75" s="1"/>
      <c r="B75" s="18" t="s">
        <v>1392</v>
      </c>
      <c r="C75" s="694">
        <v>0</v>
      </c>
      <c r="D75" s="694">
        <v>0</v>
      </c>
      <c r="E75" s="694">
        <v>0</v>
      </c>
      <c r="F75" s="1"/>
      <c r="G75" s="1"/>
      <c r="H75" s="1"/>
      <c r="I75" s="1"/>
      <c r="J75" s="1"/>
      <c r="K75" s="1"/>
      <c r="L75" s="1"/>
      <c r="M75" s="1"/>
      <c r="N75" s="1"/>
      <c r="O75" s="1"/>
      <c r="P75" s="1"/>
      <c r="Q75" s="1"/>
      <c r="R75" s="1"/>
      <c r="S75" s="1"/>
      <c r="T75" s="1"/>
      <c r="U75" s="1"/>
      <c r="V75" s="1"/>
      <c r="W75" s="1"/>
      <c r="X75" s="1"/>
      <c r="Y75" s="1"/>
      <c r="Z75" s="6"/>
    </row>
    <row r="76" spans="1:26" ht="18" customHeight="1">
      <c r="A76" s="1"/>
      <c r="B76" s="8" t="s">
        <v>45</v>
      </c>
      <c r="C76" s="19">
        <f>SUM(C68:C75)</f>
        <v>193877.7</v>
      </c>
      <c r="D76" s="19">
        <f>SUM(D68:D75)</f>
        <v>138775.6</v>
      </c>
      <c r="E76" s="19">
        <f>SUM(E68:E75)</f>
        <v>66146.969400000002</v>
      </c>
      <c r="F76" s="1"/>
      <c r="G76" s="1"/>
      <c r="H76" s="1"/>
      <c r="I76" s="1"/>
      <c r="J76" s="1"/>
      <c r="K76" s="1"/>
      <c r="L76" s="1"/>
      <c r="M76" s="1"/>
      <c r="N76" s="1"/>
      <c r="O76" s="1"/>
      <c r="P76" s="1"/>
      <c r="Q76" s="1"/>
      <c r="R76" s="1"/>
      <c r="S76" s="1"/>
      <c r="T76" s="1"/>
      <c r="U76" s="1"/>
      <c r="V76" s="1"/>
      <c r="W76" s="1"/>
      <c r="X76" s="1"/>
      <c r="Y76" s="1"/>
      <c r="Z76" s="6"/>
    </row>
    <row r="77" spans="1:26" ht="18" customHeight="1">
      <c r="A77" s="1"/>
      <c r="B77" s="9"/>
      <c r="C77" s="20"/>
      <c r="D77" s="20"/>
      <c r="E77" s="20"/>
      <c r="F77" s="1"/>
      <c r="G77" s="1"/>
      <c r="H77" s="1"/>
      <c r="I77" s="1"/>
      <c r="J77" s="1"/>
      <c r="K77" s="1"/>
      <c r="L77" s="1"/>
      <c r="M77" s="1"/>
      <c r="N77" s="1"/>
      <c r="O77" s="1"/>
      <c r="P77" s="1"/>
      <c r="Q77" s="1"/>
      <c r="R77" s="1"/>
      <c r="S77" s="1"/>
      <c r="T77" s="1"/>
      <c r="U77" s="1"/>
      <c r="V77" s="1"/>
      <c r="W77" s="1"/>
      <c r="X77" s="1"/>
      <c r="Y77" s="1"/>
      <c r="Z77" s="1"/>
    </row>
    <row r="78" spans="1:26" ht="18" customHeight="1">
      <c r="A78" s="1"/>
      <c r="B78" s="4" t="s">
        <v>1381</v>
      </c>
      <c r="C78" s="20"/>
      <c r="D78" s="20"/>
      <c r="E78" s="20"/>
      <c r="F78" s="1"/>
      <c r="G78" s="1"/>
      <c r="H78" s="1"/>
      <c r="I78" s="1"/>
      <c r="J78" s="1"/>
      <c r="K78" s="1"/>
      <c r="L78" s="1"/>
      <c r="M78" s="1"/>
      <c r="N78" s="1"/>
      <c r="O78" s="1"/>
      <c r="P78" s="1"/>
      <c r="Q78" s="1"/>
      <c r="R78" s="1"/>
      <c r="S78" s="1"/>
      <c r="T78" s="1"/>
      <c r="U78" s="1"/>
      <c r="V78" s="1"/>
      <c r="W78" s="1"/>
      <c r="X78" s="1"/>
      <c r="Y78" s="1"/>
      <c r="Z78" s="1"/>
    </row>
    <row r="79" spans="1:26" ht="18" customHeight="1">
      <c r="A79" s="1"/>
      <c r="B79" s="1" t="s">
        <v>1483</v>
      </c>
      <c r="C79" s="1"/>
      <c r="D79" s="1"/>
      <c r="E79" s="1"/>
      <c r="F79" s="1"/>
      <c r="G79" s="1"/>
      <c r="H79" s="1"/>
      <c r="I79" s="1"/>
      <c r="J79" s="1"/>
      <c r="K79" s="1"/>
      <c r="L79" s="1"/>
      <c r="M79" s="1"/>
      <c r="N79" s="1"/>
      <c r="O79" s="1"/>
      <c r="P79" s="1"/>
      <c r="Q79" s="1"/>
      <c r="R79" s="1"/>
      <c r="S79" s="1"/>
      <c r="T79" s="1"/>
      <c r="U79" s="1"/>
      <c r="V79" s="1"/>
      <c r="W79" s="1"/>
      <c r="X79" s="1"/>
      <c r="Y79" s="1"/>
      <c r="Z79" s="1"/>
    </row>
    <row r="80" spans="1:26" ht="34.5" customHeight="1">
      <c r="A80" s="1"/>
      <c r="B80" s="8" t="s">
        <v>46</v>
      </c>
      <c r="C80" s="21" t="s">
        <v>47</v>
      </c>
      <c r="D80" s="21" t="s">
        <v>1443</v>
      </c>
      <c r="E80" s="1"/>
      <c r="F80" s="1"/>
      <c r="G80" s="1"/>
      <c r="H80" s="1"/>
      <c r="I80" s="1"/>
      <c r="J80" s="1"/>
      <c r="K80" s="1"/>
      <c r="L80" s="1"/>
      <c r="M80" s="1"/>
      <c r="N80" s="1"/>
      <c r="O80" s="1"/>
      <c r="P80" s="1"/>
      <c r="Q80" s="1"/>
      <c r="R80" s="1"/>
      <c r="S80" s="1"/>
      <c r="T80" s="1"/>
      <c r="U80" s="1"/>
      <c r="V80" s="1"/>
      <c r="W80" s="1"/>
      <c r="X80" s="1"/>
      <c r="Y80" s="1"/>
      <c r="Z80" s="6"/>
    </row>
    <row r="81" spans="1:26" ht="18" customHeight="1">
      <c r="A81" s="1"/>
      <c r="B81" s="17" t="s">
        <v>1408</v>
      </c>
      <c r="C81" s="695">
        <v>165</v>
      </c>
      <c r="D81" s="695">
        <v>120</v>
      </c>
      <c r="E81" s="1"/>
      <c r="F81" s="1"/>
      <c r="G81" s="1"/>
      <c r="H81" s="1"/>
      <c r="I81" s="1"/>
      <c r="J81" s="1"/>
      <c r="K81" s="1"/>
      <c r="L81" s="1"/>
      <c r="M81" s="1"/>
      <c r="N81" s="1"/>
      <c r="O81" s="1"/>
      <c r="P81" s="1"/>
      <c r="Q81" s="1"/>
      <c r="R81" s="1"/>
      <c r="S81" s="1"/>
      <c r="T81" s="1"/>
      <c r="U81" s="1"/>
      <c r="V81" s="1"/>
      <c r="W81" s="1"/>
      <c r="X81" s="1"/>
      <c r="Y81" s="1"/>
      <c r="Z81" s="6"/>
    </row>
    <row r="82" spans="1:26" ht="18" customHeight="1">
      <c r="A82" s="1"/>
      <c r="B82" s="18" t="s">
        <v>1409</v>
      </c>
      <c r="C82" s="695">
        <v>165</v>
      </c>
      <c r="D82" s="695">
        <v>120</v>
      </c>
      <c r="E82" s="1"/>
      <c r="F82" s="1"/>
      <c r="G82" s="1"/>
      <c r="H82" s="1"/>
      <c r="I82" s="1"/>
      <c r="J82" s="1"/>
      <c r="K82" s="1"/>
      <c r="L82" s="1"/>
      <c r="M82" s="1"/>
      <c r="N82" s="1"/>
      <c r="O82" s="1"/>
      <c r="P82" s="1"/>
      <c r="Q82" s="1"/>
      <c r="R82" s="1"/>
      <c r="S82" s="1"/>
      <c r="T82" s="1"/>
      <c r="U82" s="1"/>
      <c r="V82" s="1"/>
      <c r="W82" s="1"/>
      <c r="X82" s="1"/>
      <c r="Y82" s="1"/>
      <c r="Z82" s="6"/>
    </row>
    <row r="83" spans="1:26" ht="18" customHeight="1">
      <c r="A83" s="1"/>
      <c r="B83" s="17" t="s">
        <v>1387</v>
      </c>
      <c r="C83" s="695">
        <v>170</v>
      </c>
      <c r="D83" s="695">
        <v>120</v>
      </c>
      <c r="E83" s="1"/>
      <c r="F83" s="1"/>
      <c r="G83" s="1"/>
      <c r="H83" s="1"/>
      <c r="I83" s="1"/>
      <c r="J83" s="1"/>
      <c r="K83" s="1"/>
      <c r="L83" s="1"/>
      <c r="M83" s="1"/>
      <c r="N83" s="1"/>
      <c r="O83" s="1"/>
      <c r="P83" s="1"/>
      <c r="Q83" s="1"/>
      <c r="R83" s="1"/>
      <c r="S83" s="1"/>
      <c r="T83" s="1"/>
      <c r="U83" s="1"/>
      <c r="V83" s="1"/>
      <c r="W83" s="1"/>
      <c r="X83" s="1"/>
      <c r="Y83" s="1"/>
      <c r="Z83" s="6"/>
    </row>
    <row r="84" spans="1:26" ht="18" customHeight="1">
      <c r="A84" s="1"/>
      <c r="B84" s="18" t="s">
        <v>44</v>
      </c>
      <c r="C84" s="695">
        <v>160</v>
      </c>
      <c r="D84" s="695">
        <v>120</v>
      </c>
      <c r="E84" s="1"/>
      <c r="F84" s="1"/>
      <c r="G84" s="1"/>
      <c r="H84" s="1"/>
      <c r="I84" s="1"/>
      <c r="J84" s="1"/>
      <c r="K84" s="1"/>
      <c r="L84" s="1"/>
      <c r="M84" s="1"/>
      <c r="N84" s="1"/>
      <c r="O84" s="1"/>
      <c r="P84" s="1"/>
      <c r="Q84" s="1"/>
      <c r="R84" s="1"/>
      <c r="S84" s="1"/>
      <c r="T84" s="1"/>
      <c r="U84" s="1"/>
      <c r="V84" s="1"/>
      <c r="W84" s="1"/>
      <c r="X84" s="1"/>
      <c r="Y84" s="1"/>
      <c r="Z84" s="6"/>
    </row>
    <row r="85" spans="1:26" ht="18" customHeight="1">
      <c r="A85" s="1"/>
      <c r="B85" s="17" t="s">
        <v>43</v>
      </c>
      <c r="C85" s="695">
        <v>165</v>
      </c>
      <c r="D85" s="695">
        <v>120</v>
      </c>
      <c r="E85" s="1"/>
      <c r="F85" s="1"/>
      <c r="G85" s="1"/>
      <c r="H85" s="1"/>
      <c r="I85" s="1"/>
      <c r="J85" s="1"/>
      <c r="K85" s="1"/>
      <c r="L85" s="1"/>
      <c r="M85" s="1"/>
      <c r="N85" s="1"/>
      <c r="O85" s="1"/>
      <c r="P85" s="1"/>
      <c r="Q85" s="1"/>
      <c r="R85" s="1"/>
      <c r="S85" s="1"/>
      <c r="T85" s="1"/>
      <c r="U85" s="1"/>
      <c r="V85" s="1"/>
      <c r="W85" s="1"/>
      <c r="X85" s="1"/>
      <c r="Y85" s="1"/>
      <c r="Z85" s="6"/>
    </row>
    <row r="86" spans="1:26" ht="18" customHeight="1">
      <c r="A86" s="1"/>
      <c r="B86" s="18" t="s">
        <v>1411</v>
      </c>
      <c r="C86" s="695">
        <v>145</v>
      </c>
      <c r="D86" s="695">
        <v>120</v>
      </c>
      <c r="E86" s="1"/>
      <c r="F86" s="1"/>
      <c r="G86" s="1"/>
      <c r="H86" s="1"/>
      <c r="I86" s="1"/>
      <c r="J86" s="1"/>
      <c r="K86" s="1"/>
      <c r="L86" s="1"/>
      <c r="M86" s="1"/>
      <c r="N86" s="1"/>
      <c r="O86" s="1"/>
      <c r="P86" s="1"/>
      <c r="Q86" s="1"/>
      <c r="R86" s="1"/>
      <c r="S86" s="1"/>
      <c r="T86" s="1"/>
      <c r="U86" s="1"/>
      <c r="V86" s="1"/>
      <c r="W86" s="1"/>
      <c r="X86" s="1"/>
      <c r="Y86" s="1"/>
      <c r="Z86" s="6"/>
    </row>
    <row r="87" spans="1:26" ht="18" customHeight="1">
      <c r="A87" s="1"/>
      <c r="B87" s="17" t="s">
        <v>1410</v>
      </c>
      <c r="C87" s="695">
        <v>145</v>
      </c>
      <c r="D87" s="695">
        <v>120</v>
      </c>
      <c r="E87" s="1"/>
      <c r="F87" s="1"/>
      <c r="G87" s="1"/>
      <c r="H87" s="1"/>
      <c r="I87" s="1"/>
      <c r="J87" s="1"/>
      <c r="K87" s="1"/>
      <c r="L87" s="1"/>
      <c r="M87" s="1"/>
      <c r="N87" s="1"/>
      <c r="O87" s="1"/>
      <c r="P87" s="1"/>
      <c r="Q87" s="1"/>
      <c r="R87" s="1"/>
      <c r="S87" s="1"/>
      <c r="T87" s="1"/>
      <c r="U87" s="1"/>
      <c r="V87" s="1"/>
      <c r="W87" s="1"/>
      <c r="X87" s="1"/>
      <c r="Y87" s="1"/>
      <c r="Z87" s="6"/>
    </row>
    <row r="88" spans="1:26" ht="18" customHeight="1">
      <c r="A88" s="1"/>
      <c r="B88" s="18" t="s">
        <v>1392</v>
      </c>
      <c r="C88" s="695">
        <v>145</v>
      </c>
      <c r="D88" s="695">
        <v>120</v>
      </c>
      <c r="E88" s="1"/>
      <c r="F88" s="1"/>
      <c r="G88" s="1"/>
      <c r="H88" s="1"/>
      <c r="I88" s="1"/>
      <c r="J88" s="1"/>
      <c r="K88" s="1"/>
      <c r="L88" s="1"/>
      <c r="M88" s="1"/>
      <c r="N88" s="1"/>
      <c r="O88" s="1"/>
      <c r="P88" s="1"/>
      <c r="Q88" s="1"/>
      <c r="R88" s="1"/>
      <c r="S88" s="1"/>
      <c r="T88" s="1"/>
      <c r="U88" s="1"/>
      <c r="V88" s="1"/>
      <c r="W88" s="1"/>
      <c r="X88" s="1"/>
      <c r="Y88" s="1"/>
      <c r="Z88" s="1"/>
    </row>
    <row r="89" spans="1:26" ht="18" customHeight="1">
      <c r="A89" s="1"/>
      <c r="B89" s="22"/>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22"/>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9.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9.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9.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9.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9.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9.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9.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9.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9.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9.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9.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9.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9.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9.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9.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9.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9.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9.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9.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9.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9.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9.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9.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9.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9.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9.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9.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9.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9.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9.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9.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9.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9.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9.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9.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9.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9.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9.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9.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9.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9.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9.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9.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9.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9.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9.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9.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9.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9.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9.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9.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9.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9.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9.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9.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9.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9.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9.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9.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9.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9.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9.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9.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9.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9.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9.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9.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9.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9.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9.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9.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9.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9.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9.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9.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9.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9.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9.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9.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9.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9.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9.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9.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9.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9.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9.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9.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9.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9.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9.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9.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9.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9.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9.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9.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9.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9.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9.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9.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9.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9.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9.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9.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9.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9.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9.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9.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9.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9.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9.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9.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9.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9.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9.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9.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9.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9.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9.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9.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9.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9.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9.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9.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9.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9.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9.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9.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9.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9.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9.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9.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9.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9.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9.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9.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9.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9.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9.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9.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9.75" customHeight="1">
      <c r="A254" s="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9.75" customHeight="1">
      <c r="A255" s="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9.75" customHeight="1">
      <c r="A256" s="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9.75" customHeight="1">
      <c r="A257" s="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9.75" customHeight="1">
      <c r="A258" s="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9.75" customHeight="1">
      <c r="A259" s="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9.75" customHeight="1">
      <c r="A260" s="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9.75" customHeight="1">
      <c r="A261" s="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9.75" customHeight="1">
      <c r="A262" s="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9.75" customHeight="1">
      <c r="A263" s="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9.75" customHeight="1">
      <c r="A264" s="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9.75" customHeight="1">
      <c r="A265" s="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9.75" customHeight="1">
      <c r="A266" s="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9.75" customHeight="1">
      <c r="A267" s="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9.75" customHeight="1">
      <c r="A268" s="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9.75" customHeight="1">
      <c r="A269" s="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9.75" customHeight="1">
      <c r="A270" s="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9.75" customHeight="1">
      <c r="A271" s="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9.75" customHeight="1">
      <c r="A272" s="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9.75" customHeight="1">
      <c r="A273" s="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9.75" customHeight="1">
      <c r="A274" s="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9.75" customHeight="1">
      <c r="A275" s="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9.75" customHeight="1">
      <c r="A276" s="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9.75" customHeight="1">
      <c r="A277" s="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9.75" customHeight="1">
      <c r="A278" s="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9.75" customHeight="1">
      <c r="A279" s="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9.75" customHeight="1">
      <c r="A280" s="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9.75" customHeight="1">
      <c r="A281" s="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9.75" customHeight="1">
      <c r="A282" s="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9.75" customHeight="1">
      <c r="A283" s="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9.75" customHeight="1">
      <c r="A284" s="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9.75" customHeight="1">
      <c r="A285" s="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9.75" customHeight="1">
      <c r="A286" s="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9.75" customHeight="1">
      <c r="A287" s="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c r="A288" s="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c r="A289" s="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c r="A290" s="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c r="A291" s="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c r="A292" s="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c r="A293" s="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c r="A294" s="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c r="A295" s="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c r="A296" s="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c r="A297" s="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c r="A298" s="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c r="A299" s="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c r="A300" s="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c r="A301" s="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c r="A302" s="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c r="A303" s="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c r="A304" s="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c r="A305" s="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c r="A306" s="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c r="A307" s="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c r="A308" s="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c r="A309" s="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c r="A310" s="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c r="A311" s="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c r="A312" s="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c r="A313" s="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c r="A314" s="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c r="A315" s="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c r="A316" s="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c r="A317" s="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c r="A318" s="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c r="A319" s="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c r="A320" s="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c r="A321" s="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c r="A322" s="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c r="A323" s="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c r="A324" s="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c r="A325" s="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c r="A326" s="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c r="A327" s="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c r="A328" s="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c r="A329" s="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c r="A330" s="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c r="A331" s="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c r="A332" s="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c r="A333" s="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c r="A334" s="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c r="A335" s="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c r="A336" s="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c r="A337" s="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c r="A338" s="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c r="A339" s="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c r="A340" s="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c r="A341" s="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c r="A342" s="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c r="A343" s="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c r="A344" s="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c r="A345" s="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c r="A346" s="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c r="A347" s="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c r="A348" s="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c r="A349" s="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c r="A350" s="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c r="A351" s="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c r="A352" s="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c r="A353" s="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c r="A354" s="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c r="A355" s="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c r="A356" s="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c r="A357" s="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c r="A358" s="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c r="A359" s="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c r="A360" s="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c r="A361" s="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c r="A362" s="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c r="A363" s="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c r="A364" s="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c r="A365" s="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c r="A366" s="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c r="A367" s="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c r="A368" s="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c r="A369" s="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c r="A370" s="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c r="A371" s="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c r="A372" s="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c r="A373" s="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c r="A374" s="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c r="A375" s="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c r="A376" s="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c r="A377" s="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c r="A378" s="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c r="A379" s="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c r="A380" s="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c r="A381" s="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c r="A382" s="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c r="A383" s="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c r="A384" s="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c r="A385" s="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c r="A386" s="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c r="A387" s="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c r="A388" s="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c r="A389" s="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c r="A390" s="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c r="A391" s="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c r="A392" s="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c r="A393" s="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c r="A394" s="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c r="A395" s="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c r="A396" s="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c r="A397" s="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c r="A398" s="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c r="A399" s="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c r="A400" s="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c r="A401" s="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c r="A402" s="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c r="A403" s="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c r="A404" s="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c r="A405" s="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c r="A406" s="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c r="A407" s="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c r="A408" s="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c r="A409" s="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c r="A410" s="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c r="A411" s="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c r="A412" s="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c r="A413" s="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c r="A414" s="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c r="A415" s="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c r="A416" s="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c r="A417" s="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c r="A418" s="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c r="A419" s="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c r="A420" s="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c r="A421" s="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c r="A422" s="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c r="A423" s="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c r="A424" s="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c r="A425" s="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c r="A426" s="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c r="A427" s="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c r="A428" s="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c r="A429" s="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c r="A430" s="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c r="A431" s="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c r="A432" s="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c r="A433" s="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c r="A434" s="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c r="A435" s="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c r="A436" s="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c r="A437" s="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c r="A438" s="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c r="A439" s="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c r="A440" s="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c r="A441" s="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c r="A442" s="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c r="A443" s="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c r="A444" s="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c r="A445" s="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c r="A446" s="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c r="A447" s="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c r="A448" s="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c r="A449" s="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c r="A450" s="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c r="A451" s="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c r="A452" s="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c r="A453" s="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c r="A454" s="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c r="A455" s="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c r="A456" s="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c r="A457" s="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c r="A458" s="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c r="A459" s="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c r="A460" s="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c r="A461" s="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c r="A462" s="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c r="A463" s="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c r="A464" s="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c r="A465" s="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c r="A466" s="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c r="A467" s="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c r="A468" s="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c r="A469" s="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c r="A470" s="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c r="A471" s="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c r="A472" s="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c r="A473" s="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c r="A474" s="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c r="A475" s="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c r="A476" s="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c r="A477" s="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c r="A478" s="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c r="A479" s="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c r="A480" s="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c r="A481" s="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c r="A482" s="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c r="A483" s="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c r="A484" s="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c r="A485" s="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c r="A486" s="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c r="A487" s="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c r="A488" s="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c r="A489" s="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c r="A490" s="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c r="A491" s="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c r="A492" s="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c r="A493" s="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c r="A494" s="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c r="A495" s="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c r="A496" s="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c r="A497" s="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c r="A498" s="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c r="A499" s="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c r="A500" s="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c r="A501" s="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c r="A502" s="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c r="A503" s="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c r="A504" s="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c r="A505" s="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c r="A506" s="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c r="A507" s="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c r="A508" s="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c r="A509" s="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c r="A510" s="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c r="A511" s="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c r="A512" s="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c r="A513" s="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c r="A514" s="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c r="A515" s="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c r="A516" s="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c r="A517" s="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c r="A518" s="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c r="A519" s="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c r="A520" s="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c r="A521" s="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c r="A522" s="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c r="A523" s="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c r="A524" s="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c r="A525" s="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c r="A526" s="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c r="A527" s="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c r="A528" s="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c r="A529" s="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c r="A530" s="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c r="A531" s="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c r="A532" s="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c r="A533" s="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c r="A534" s="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c r="A535" s="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c r="A536" s="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c r="A537" s="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c r="A538" s="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c r="A539" s="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c r="A540" s="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c r="A541" s="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c r="A542" s="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c r="A543" s="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c r="A544" s="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c r="A545" s="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c r="A546" s="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c r="A547" s="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c r="A548" s="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c r="A549" s="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c r="A550" s="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c r="A551" s="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c r="A552" s="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c r="A553" s="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c r="A554" s="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c r="A555" s="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c r="A556" s="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c r="A557" s="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c r="A558" s="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c r="A559" s="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c r="A560" s="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c r="A561" s="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c r="A562" s="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c r="A563" s="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c r="A564" s="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c r="A565" s="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c r="A566" s="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c r="A567" s="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c r="A568" s="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c r="A569" s="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c r="A570" s="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c r="A571" s="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c r="A572" s="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c r="A573" s="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c r="A574" s="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c r="A575" s="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c r="A576" s="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c r="A577" s="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c r="A578" s="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c r="A579" s="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c r="A580" s="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c r="A581" s="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c r="A582" s="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c r="A583" s="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c r="A584" s="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c r="A585" s="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c r="A586" s="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c r="A587" s="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c r="A588" s="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c r="A589" s="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c r="A590" s="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c r="A591" s="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c r="A592" s="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c r="A593" s="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c r="A594" s="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c r="A595" s="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c r="A596" s="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c r="A597" s="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c r="A598" s="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c r="A599" s="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c r="A600" s="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c r="A601" s="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c r="A602" s="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c r="A603" s="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c r="A604" s="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c r="A605" s="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c r="A606" s="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c r="A607" s="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c r="A608" s="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c r="A609" s="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c r="A610" s="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c r="A611" s="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c r="A612" s="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c r="A613" s="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c r="A614" s="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c r="A615" s="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c r="A616" s="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c r="A617" s="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c r="A618" s="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c r="A619" s="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c r="A620" s="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c r="A621" s="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c r="A622" s="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c r="A623" s="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c r="A624" s="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c r="A625" s="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c r="A626" s="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c r="A627" s="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c r="A628" s="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c r="A629" s="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c r="A630" s="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c r="A631" s="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c r="A632" s="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c r="A633" s="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c r="A634" s="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c r="A635" s="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c r="A636" s="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c r="A637" s="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c r="A638" s="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c r="A639" s="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c r="A640" s="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c r="A641" s="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c r="A642" s="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c r="A643" s="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c r="A644" s="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c r="A645" s="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c r="A646" s="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c r="A647" s="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c r="A648" s="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c r="A649" s="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c r="A650" s="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c r="A651" s="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c r="A652" s="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c r="A653" s="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c r="A654" s="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c r="A655" s="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c r="A656" s="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c r="A657" s="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c r="A658" s="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c r="A659" s="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c r="A660" s="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c r="A661" s="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c r="A662" s="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c r="A663" s="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c r="A664" s="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c r="A665" s="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c r="A666" s="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c r="A667" s="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c r="A668" s="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c r="A669" s="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c r="A670" s="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c r="A671" s="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c r="A672" s="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c r="A673" s="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c r="A674" s="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c r="A675" s="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c r="A676" s="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c r="A677" s="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c r="A678" s="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c r="A679" s="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c r="A680" s="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c r="A681" s="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c r="A682" s="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c r="A683" s="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c r="A684" s="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c r="A685" s="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c r="A686" s="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c r="A687" s="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c r="A688" s="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c r="A689" s="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c r="A690" s="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c r="A691" s="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c r="A692" s="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c r="A693" s="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c r="A694" s="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c r="A695" s="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c r="A696" s="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c r="A697" s="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c r="A698" s="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c r="A699" s="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c r="A700" s="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c r="A701" s="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c r="A702" s="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c r="A703" s="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c r="A704" s="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c r="A705" s="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c r="A706" s="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c r="A707" s="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c r="A708" s="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c r="A709" s="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c r="A710" s="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c r="A711" s="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c r="A712" s="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c r="A713" s="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c r="A714" s="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c r="A715" s="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c r="A716" s="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c r="A717" s="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c r="A718" s="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c r="A719" s="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c r="A720" s="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c r="A721" s="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c r="A722" s="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c r="A723" s="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c r="A724" s="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c r="A725" s="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c r="A726" s="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c r="A727" s="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c r="A728" s="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c r="A729" s="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c r="A730" s="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c r="A731" s="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c r="A732" s="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c r="A733" s="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c r="A734" s="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c r="A735" s="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c r="A736" s="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c r="A737" s="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c r="A738" s="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c r="A739" s="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c r="A740" s="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c r="A741" s="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c r="A742" s="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c r="A743" s="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c r="A744" s="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c r="A745" s="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c r="A746" s="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c r="A747" s="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c r="A748" s="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c r="A749" s="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c r="A750" s="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c r="A751" s="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c r="A752" s="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c r="A753" s="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c r="A754" s="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c r="A755" s="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c r="A756" s="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c r="A757" s="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c r="A758" s="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c r="A759" s="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c r="A760" s="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c r="A761" s="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c r="A762" s="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c r="A763" s="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c r="A764" s="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c r="A765" s="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c r="A766" s="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c r="A767" s="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c r="A768" s="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c r="A769" s="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c r="A770" s="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c r="A771" s="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c r="A772" s="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c r="A773" s="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c r="A774" s="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c r="A775" s="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c r="A776" s="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c r="A777" s="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c r="A778" s="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c r="A779" s="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c r="A780" s="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c r="A781" s="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c r="A782" s="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c r="A783" s="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c r="A784" s="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c r="A785" s="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c r="A786" s="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c r="A787" s="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c r="A788" s="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c r="A789" s="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c r="A790" s="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c r="A791" s="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c r="A792" s="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c r="A793" s="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c r="A794" s="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c r="A795" s="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c r="A796" s="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c r="A797" s="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c r="A798" s="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c r="A799" s="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c r="A800" s="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c r="A801" s="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c r="A802" s="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c r="A803" s="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c r="A804" s="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c r="A805" s="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c r="A806" s="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c r="A807" s="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c r="A808" s="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c r="A809" s="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c r="A810" s="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c r="A811" s="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c r="A812" s="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c r="A813" s="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c r="A814" s="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c r="A815" s="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c r="A816" s="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c r="A817" s="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c r="A818" s="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c r="A819" s="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c r="A820" s="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c r="A821" s="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c r="A822" s="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c r="A823" s="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c r="A824" s="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c r="A825" s="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c r="A826" s="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c r="A827" s="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c r="A828" s="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c r="A829" s="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c r="A830" s="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c r="A831" s="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c r="A832" s="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c r="A833" s="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c r="A834" s="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c r="A835" s="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c r="A836" s="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c r="A837" s="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c r="A838" s="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c r="A839" s="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c r="A840" s="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c r="A841" s="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c r="A842" s="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c r="A843" s="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c r="A844" s="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c r="A845" s="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c r="A846" s="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c r="A847" s="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c r="A848" s="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c r="A849" s="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c r="A850" s="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c r="A851" s="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c r="A852" s="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c r="A853" s="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c r="A854" s="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c r="A855" s="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c r="A856" s="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c r="A857" s="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c r="A858" s="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c r="A859" s="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c r="A860" s="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c r="A861" s="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c r="A862" s="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c r="A863" s="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c r="A864" s="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c r="A865" s="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c r="A866" s="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c r="A867" s="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c r="A868" s="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c r="A869" s="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c r="A870" s="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c r="A871" s="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c r="A872" s="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c r="A873" s="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c r="A874" s="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c r="A875" s="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c r="A876" s="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c r="A877" s="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c r="A878" s="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c r="A879" s="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c r="A880" s="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c r="A881" s="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c r="A882" s="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c r="A883" s="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c r="A884" s="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c r="A885" s="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c r="A886" s="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c r="A887" s="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c r="A888" s="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c r="A889" s="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c r="A890" s="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c r="A891" s="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c r="A892" s="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c r="A893" s="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c r="A894" s="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c r="A895" s="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c r="A896" s="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c r="A897" s="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c r="A898" s="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c r="A899" s="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c r="A900" s="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c r="A901" s="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c r="A902" s="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c r="A903" s="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c r="A904" s="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c r="A905" s="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c r="A906" s="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c r="A907" s="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c r="A908" s="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c r="A909" s="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c r="A910" s="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c r="A911" s="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c r="A912" s="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c r="A913" s="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c r="A914" s="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c r="A915" s="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c r="A916" s="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c r="A917" s="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c r="A918" s="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c r="A919" s="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c r="A920" s="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c r="A921" s="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c r="A922" s="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c r="A923" s="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c r="A924" s="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c r="A925" s="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c r="A926" s="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c r="A927" s="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c r="A928" s="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c r="A929" s="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c r="A930" s="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c r="A931" s="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c r="A932" s="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c r="A933" s="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c r="A934" s="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c r="A935" s="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c r="A936" s="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c r="A937" s="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c r="A938" s="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c r="A939" s="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c r="A940" s="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c r="A941" s="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c r="A942" s="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c r="A943" s="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c r="A944" s="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c r="A945" s="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c r="A946" s="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c r="A947" s="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c r="A948" s="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c r="A949" s="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c r="A950" s="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c r="A951" s="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c r="A952" s="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c r="A953" s="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c r="A954" s="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c r="A955" s="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c r="A956" s="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c r="A957" s="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c r="A958" s="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c r="A959" s="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c r="A960" s="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c r="A961" s="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c r="A962" s="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c r="A963" s="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c r="A964" s="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c r="A965" s="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c r="A966" s="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c r="A967" s="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c r="A968" s="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c r="A969" s="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c r="A970" s="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c r="A971" s="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c r="A972" s="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c r="A973" s="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c r="A974" s="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c r="A975" s="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c r="A976" s="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c r="A977" s="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c r="A978" s="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c r="A979" s="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c r="A980" s="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c r="A981" s="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c r="A982" s="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c r="A983" s="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c r="A984" s="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c r="A985" s="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c r="A986" s="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c r="A987" s="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c r="A988" s="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c r="A989" s="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c r="A990" s="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c r="A991" s="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c r="A992" s="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c r="A993" s="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c r="A994" s="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c r="A995" s="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c r="A996" s="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c r="A997" s="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c r="A998" s="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c r="A999" s="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c r="A1000" s="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3.5" customHeight="1">
      <c r="A1001" s="1"/>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3.5" customHeight="1">
      <c r="A1002" s="1"/>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3.5" customHeight="1">
      <c r="A1003" s="1"/>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spans="1:26" ht="13.5" customHeight="1">
      <c r="A1004" s="1"/>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row r="1005" spans="1:26" ht="13.5" customHeight="1">
      <c r="A1005" s="1"/>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row>
    <row r="1006" spans="1:26" ht="13.5" customHeight="1">
      <c r="A1006" s="1"/>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row>
    <row r="1007" spans="1:26" ht="13.5" customHeight="1">
      <c r="A1007" s="1"/>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row>
    <row r="1008" spans="1:26" ht="13.5" customHeight="1">
      <c r="A1008" s="1"/>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row>
    <row r="1009" spans="1:26" ht="13.5" customHeight="1">
      <c r="A1009" s="1"/>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row>
    <row r="1010" spans="1:26" ht="13.5" customHeight="1">
      <c r="A1010" s="1"/>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row>
  </sheetData>
  <sheetProtection algorithmName="SHA-512" hashValue="berZVSBnluVlIHmQ7cJoFT95RNTp2hZIBnVScwxgzkASThdyMMq0Vhf7aJMdlCjLq+iCG43iw18yrjpCmr33UA==" saltValue="sLfDKSoeR8GFbemlAMJY8w==" spinCount="100000" sheet="1" objects="1" scenarios="1"/>
  <mergeCells count="1">
    <mergeCell ref="B16:D17"/>
  </mergeCells>
  <dataValidations count="3">
    <dataValidation type="decimal" operator="greaterThan" allowBlank="1" showInputMessage="1" showErrorMessage="1" prompt="Voer een waarde groter dan of gelijk aan 0 in." sqref="C25:C26" xr:uid="{00000000-0002-0000-0000-000000000000}">
      <formula1>0</formula1>
    </dataValidation>
    <dataValidation allowBlank="1" showInputMessage="1" sqref="C37:C39" xr:uid="{C78281DA-2B6A-4AE2-B891-068833406BB9}"/>
    <dataValidation allowBlank="1" showInputMessage="1" showErrorMessage="1" prompt="The number of annual changes in the produced mixture type at the asphalt plant." sqref="C41" xr:uid="{607B80A2-2283-1E41-B47C-C7ABCC05AE38}"/>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3">
        <x14:dataValidation type="list" allowBlank="1" showInputMessage="1" prompt="Select if a parallel drum is available at the plant." xr:uid="{00000000-0002-0000-0000-000001000000}">
          <x14:formula1>
            <xm:f>Lijsten!$A$16:$A$18</xm:f>
          </x14:formula1>
          <xm:sqref>C31</xm:sqref>
        </x14:dataValidation>
        <x14:dataValidation type="list" allowBlank="1" showInputMessage="1" prompt="Select the type of installation used." xr:uid="{00000000-0002-0000-0000-000002000000}">
          <x14:formula1>
            <xm:f>Lijsten!$A$3:$A$5</xm:f>
          </x14:formula1>
          <xm:sqref>C29</xm:sqref>
        </x14:dataValidation>
        <x14:dataValidation type="list" allowBlank="1" showInputMessage="1" prompt="Insert the number of miscellaneous items connected to the heating system." xr:uid="{00000000-0002-0000-0000-000004000000}">
          <x14:formula1>
            <xm:f>Lijsten!$A$39:$A$41</xm:f>
          </x14:formula1>
          <xm:sqref>C45</xm:sqref>
        </x14:dataValidation>
        <x14:dataValidation type="list" allowBlank="1" showInputMessage="1" prompt="Select the insulation type of the parallel drum." xr:uid="{00000000-0002-0000-0000-000005000000}">
          <x14:formula1>
            <xm:f>Lijsten!$A$26:$A$28</xm:f>
          </x14:formula1>
          <xm:sqref>C36</xm:sqref>
        </x14:dataValidation>
        <x14:dataValidation type="list" allowBlank="1" showInputMessage="1" prompt="Select the insulation quality of the bitumen infrastructure. " xr:uid="{00000000-0002-0000-0000-000006000000}">
          <x14:formula1>
            <xm:f>Lijsten!$A$54:$A$56</xm:f>
          </x14:formula1>
          <xm:sqref>C48</xm:sqref>
        </x14:dataValidation>
        <x14:dataValidation type="list" allowBlank="1" showInputMessage="1" prompt="Select the placement of the tanks." xr:uid="{00000000-0002-0000-0000-000007000000}">
          <x14:formula1>
            <xm:f>Lijsten!$A$34:$A$36</xm:f>
          </x14:formula1>
          <xm:sqref>C44</xm:sqref>
        </x14:dataValidation>
        <x14:dataValidation type="list" allowBlank="1" showInputMessage="1" prompt="Select the insulation type of the dryer drum." xr:uid="{00000000-0002-0000-0000-000008000000}">
          <x14:formula1>
            <xm:f>Lijsten!$A$21:$A$23</xm:f>
          </x14:formula1>
          <xm:sqref>C35</xm:sqref>
        </x14:dataValidation>
        <x14:dataValidation type="list" allowBlank="1" showInputMessage="1" prompt="Insert the supply temperature of the Bitumen." xr:uid="{00000000-0002-0000-0000-000009000000}">
          <x14:formula1>
            <xm:f>Lijsten!$A$44:$A$46</xm:f>
          </x14:formula1>
          <xm:sqref>C46</xm:sqref>
        </x14:dataValidation>
        <x14:dataValidation type="list" allowBlank="1" showInputMessage="1" prompt="Fill in the lead time of the Bitumen." xr:uid="{00000000-0002-0000-0000-00000A000000}">
          <x14:formula1>
            <xm:f>Lijsten!$A$49:$A$51</xm:f>
          </x14:formula1>
          <xm:sqref>C47</xm:sqref>
        </x14:dataValidation>
        <x14:dataValidation type="list" allowBlank="1" showInputMessage="1" showErrorMessage="1" xr:uid="{4D48F84F-5BFE-4EA4-A27F-4DF9F7D2408D}">
          <x14:formula1>
            <xm:f>Lijsten!$D$8:$D$9</xm:f>
          </x14:formula1>
          <xm:sqref>D23</xm:sqref>
        </x14:dataValidation>
        <x14:dataValidation type="list" allowBlank="1" showInputMessage="1" prompt="Select what energy carrier is used for the heating of bitumen." xr:uid="{00000000-0002-0000-0000-00000B000000}">
          <x14:formula1>
            <xm:f>Lijsten!$A$31:$A$31</xm:f>
          </x14:formula1>
          <xm:sqref>C43</xm:sqref>
        </x14:dataValidation>
        <x14:dataValidation type="list" allowBlank="1" showInputMessage="1" prompt="Select the fuel type. " xr:uid="{00000000-0002-0000-0000-000003000000}">
          <x14:formula1>
            <xm:f>Lijsten!$A$8:$A$12</xm:f>
          </x14:formula1>
          <xm:sqref>C30</xm:sqref>
        </x14:dataValidation>
        <x14:dataValidation type="list" allowBlank="1" showInputMessage="1" showErrorMessage="1" xr:uid="{2FE12B06-2A20-467A-9F66-BA39807B1CFC}">
          <x14:formula1>
            <xm:f>Lijsten!$A$8:$A$13</xm:f>
          </x14:formula1>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4"/>
  <sheetViews>
    <sheetView zoomScale="90" zoomScaleNormal="90" workbookViewId="0">
      <selection activeCell="D2" sqref="D2"/>
    </sheetView>
  </sheetViews>
  <sheetFormatPr defaultColWidth="16.7109375" defaultRowHeight="15" customHeight="1"/>
  <cols>
    <col min="1" max="1" width="3.7109375" customWidth="1"/>
    <col min="2" max="2" width="75.42578125" customWidth="1"/>
    <col min="3" max="10" width="41.28515625" customWidth="1"/>
    <col min="11" max="29" width="19.42578125" customWidth="1"/>
  </cols>
  <sheetData>
    <row r="1" spans="1:29" ht="9"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40.5" customHeight="1">
      <c r="A2" s="23"/>
      <c r="B2" s="24" t="s">
        <v>48</v>
      </c>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29" ht="18" customHeight="1">
      <c r="A3" s="23"/>
      <c r="B3" s="1" t="s">
        <v>49</v>
      </c>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ht="18" customHeight="1">
      <c r="A4" s="23"/>
      <c r="B4" s="1" t="s">
        <v>1484</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ht="18" customHeight="1">
      <c r="A5" s="23"/>
      <c r="B5" s="1" t="s">
        <v>50</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ht="18" customHeight="1">
      <c r="A6" s="23"/>
      <c r="B6" s="1" t="s">
        <v>51</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18"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ht="18" customHeight="1">
      <c r="A8" s="23"/>
      <c r="B8" s="25" t="s">
        <v>52</v>
      </c>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ht="18" customHeight="1">
      <c r="A9" s="23"/>
      <c r="B9" s="1" t="s">
        <v>53</v>
      </c>
      <c r="C9" s="23"/>
      <c r="D9" s="23"/>
      <c r="E9" s="619"/>
      <c r="F9" s="23"/>
      <c r="G9" s="23"/>
      <c r="H9" s="23"/>
      <c r="I9" s="23"/>
      <c r="J9" s="23"/>
      <c r="K9" s="23"/>
      <c r="L9" s="23"/>
      <c r="M9" s="23"/>
      <c r="N9" s="23"/>
      <c r="O9" s="23"/>
      <c r="P9" s="23"/>
      <c r="Q9" s="23"/>
      <c r="R9" s="23"/>
      <c r="S9" s="23"/>
      <c r="T9" s="23"/>
      <c r="U9" s="23"/>
      <c r="V9" s="23"/>
      <c r="W9" s="23"/>
      <c r="X9" s="23"/>
      <c r="Y9" s="23"/>
      <c r="Z9" s="23"/>
      <c r="AA9" s="23"/>
      <c r="AB9" s="23"/>
      <c r="AC9" s="23"/>
    </row>
    <row r="10" spans="1:29" ht="18" customHeight="1">
      <c r="A10" s="23"/>
      <c r="B10" s="8" t="s">
        <v>54</v>
      </c>
      <c r="C10" s="19" t="str">
        <f>Input!D22&amp;" consumption"</f>
        <v>Natural gas (MJ) consumption</v>
      </c>
      <c r="D10" s="21" t="s">
        <v>1457</v>
      </c>
      <c r="E10" s="19" t="str">
        <f>Input!D23&amp;" consumption"</f>
        <v>Diesel (MJ) consumption</v>
      </c>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ht="18" customHeight="1">
      <c r="A11" s="23"/>
      <c r="B11" s="17" t="s">
        <v>1444</v>
      </c>
      <c r="C11" s="696">
        <f>Model!AR23</f>
        <v>17262748.523638688</v>
      </c>
      <c r="D11" s="696">
        <f>Model!AS23</f>
        <v>0</v>
      </c>
      <c r="E11" s="696">
        <v>0</v>
      </c>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ht="18" customHeight="1">
      <c r="A12" s="23"/>
      <c r="B12" s="18" t="s">
        <v>55</v>
      </c>
      <c r="C12" s="696">
        <f>Model!AR24</f>
        <v>0</v>
      </c>
      <c r="D12" s="696">
        <f>Model!AS24</f>
        <v>0</v>
      </c>
      <c r="E12" s="696">
        <v>0</v>
      </c>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ht="18" customHeight="1">
      <c r="A13" s="23"/>
      <c r="B13" s="17" t="s">
        <v>1382</v>
      </c>
      <c r="C13" s="696">
        <f>Model!AR25</f>
        <v>13235227.885468254</v>
      </c>
      <c r="D13" s="696">
        <f>Model!AS25</f>
        <v>0</v>
      </c>
      <c r="E13" s="696">
        <v>0</v>
      </c>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29" ht="18" customHeight="1">
      <c r="A14" s="23"/>
      <c r="B14" s="18" t="s">
        <v>56</v>
      </c>
      <c r="C14" s="696">
        <f>Model!AR26</f>
        <v>0</v>
      </c>
      <c r="D14" s="696">
        <f>Model!AS26</f>
        <v>0</v>
      </c>
      <c r="E14" s="696">
        <v>0</v>
      </c>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29" ht="18" customHeight="1">
      <c r="A15" s="23"/>
      <c r="B15" s="17" t="s">
        <v>57</v>
      </c>
      <c r="C15" s="696">
        <f>Model!AR27</f>
        <v>7923922.5833148118</v>
      </c>
      <c r="D15" s="696">
        <f>Model!AS27</f>
        <v>0</v>
      </c>
      <c r="E15" s="696">
        <v>0</v>
      </c>
      <c r="F15" s="23"/>
      <c r="G15" s="23"/>
      <c r="H15" s="23"/>
      <c r="I15" s="23"/>
      <c r="J15" s="23"/>
      <c r="K15" s="23"/>
      <c r="L15" s="23"/>
      <c r="M15" s="23"/>
      <c r="N15" s="23"/>
      <c r="O15" s="23"/>
      <c r="P15" s="23"/>
      <c r="Q15" s="23"/>
      <c r="R15" s="23"/>
      <c r="S15" s="23"/>
      <c r="T15" s="23"/>
      <c r="U15" s="23"/>
      <c r="V15" s="23"/>
      <c r="W15" s="23"/>
      <c r="X15" s="23"/>
      <c r="Y15" s="23"/>
      <c r="Z15" s="23"/>
      <c r="AA15" s="23"/>
      <c r="AB15" s="23"/>
      <c r="AC15" s="23"/>
    </row>
    <row r="16" spans="1:29" ht="18" customHeight="1">
      <c r="A16" s="23"/>
      <c r="B16" s="18" t="s">
        <v>1445</v>
      </c>
      <c r="C16" s="696">
        <f>Model!AR28</f>
        <v>611995.38415841595</v>
      </c>
      <c r="D16" s="696">
        <f>Model!AS28</f>
        <v>0</v>
      </c>
      <c r="E16" s="696">
        <v>0</v>
      </c>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ht="18" customHeight="1">
      <c r="A17" s="23"/>
      <c r="B17" s="17" t="s">
        <v>58</v>
      </c>
      <c r="C17" s="696">
        <f>Model!AR29</f>
        <v>0</v>
      </c>
      <c r="D17" s="696">
        <f>Model!AS30</f>
        <v>1440000</v>
      </c>
      <c r="E17" s="696">
        <v>0</v>
      </c>
      <c r="F17" s="23"/>
      <c r="G17" s="23"/>
      <c r="H17" s="23"/>
      <c r="I17" s="23"/>
      <c r="J17" s="23"/>
      <c r="K17" s="23"/>
      <c r="L17" s="23"/>
      <c r="M17" s="23"/>
      <c r="N17" s="23"/>
      <c r="O17" s="23"/>
      <c r="P17" s="23"/>
      <c r="Q17" s="23"/>
      <c r="R17" s="23"/>
      <c r="S17" s="23"/>
      <c r="T17" s="23"/>
      <c r="U17" s="23"/>
      <c r="V17" s="23"/>
      <c r="W17" s="23"/>
      <c r="X17" s="23"/>
      <c r="Y17" s="23"/>
      <c r="Z17" s="23"/>
      <c r="AA17" s="23"/>
      <c r="AB17" s="23"/>
      <c r="AC17" s="23"/>
    </row>
    <row r="18" spans="1:29" ht="18" customHeight="1">
      <c r="A18" s="23"/>
      <c r="B18" s="18" t="s">
        <v>1438</v>
      </c>
      <c r="C18" s="696">
        <f>Model!AR31</f>
        <v>3338387.2530676713</v>
      </c>
      <c r="D18" s="696">
        <f>Model!AS31</f>
        <v>0</v>
      </c>
      <c r="E18" s="696">
        <v>0</v>
      </c>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ht="18" customHeight="1">
      <c r="A19" s="23"/>
      <c r="B19" s="17" t="s">
        <v>59</v>
      </c>
      <c r="C19" s="696">
        <f>Model!AR32</f>
        <v>1780473.2016360909</v>
      </c>
      <c r="D19" s="696">
        <f>Model!AS32</f>
        <v>0</v>
      </c>
      <c r="E19" s="696">
        <v>0</v>
      </c>
      <c r="F19" s="23"/>
      <c r="G19" s="23"/>
      <c r="H19" s="23"/>
      <c r="I19" s="23"/>
      <c r="J19" s="23"/>
      <c r="K19" s="23"/>
      <c r="L19" s="23"/>
      <c r="M19" s="23"/>
      <c r="N19" s="23"/>
      <c r="O19" s="23"/>
      <c r="P19" s="23"/>
      <c r="Q19" s="23"/>
      <c r="R19" s="23"/>
      <c r="S19" s="23"/>
      <c r="T19" s="23"/>
      <c r="U19" s="23"/>
      <c r="V19" s="23"/>
      <c r="W19" s="23"/>
      <c r="X19" s="23"/>
      <c r="Y19" s="23"/>
      <c r="Z19" s="23"/>
      <c r="AA19" s="23"/>
      <c r="AB19" s="23"/>
      <c r="AC19" s="23"/>
    </row>
    <row r="20" spans="1:29" ht="18" customHeight="1">
      <c r="A20" s="23"/>
      <c r="B20" s="18" t="s">
        <v>60</v>
      </c>
      <c r="C20" s="696">
        <f>Model!AR33</f>
        <v>0</v>
      </c>
      <c r="D20" s="696">
        <f>Model!AS33</f>
        <v>2333032.2000000007</v>
      </c>
      <c r="E20" s="696">
        <v>0</v>
      </c>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ht="18" customHeight="1">
      <c r="A21" s="23"/>
      <c r="B21" s="17" t="s">
        <v>61</v>
      </c>
      <c r="C21" s="696">
        <f>Model!AR34</f>
        <v>17658778.968716063</v>
      </c>
      <c r="D21" s="696">
        <f>Model!AS34</f>
        <v>0</v>
      </c>
      <c r="E21" s="696">
        <v>0</v>
      </c>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1:29" ht="18" customHeight="1">
      <c r="A22" s="23"/>
      <c r="B22" s="18" t="s">
        <v>1374</v>
      </c>
      <c r="C22" s="696">
        <v>0</v>
      </c>
      <c r="D22" s="696">
        <v>0</v>
      </c>
      <c r="E22" s="696">
        <f>Input!C23</f>
        <v>864000</v>
      </c>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ht="18" customHeight="1">
      <c r="A23" s="23"/>
      <c r="B23" s="8" t="s">
        <v>45</v>
      </c>
      <c r="C23" s="697">
        <f t="shared" ref="C23:D23" si="0">SUM(C11:C21)</f>
        <v>61811533.799999997</v>
      </c>
      <c r="D23" s="697">
        <f t="shared" si="0"/>
        <v>3773032.2000000007</v>
      </c>
      <c r="E23" s="697">
        <f>SUM(E11:E22)</f>
        <v>864000</v>
      </c>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29" ht="18"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ht="18" customHeight="1">
      <c r="A25" s="23"/>
      <c r="B25" s="25" t="s">
        <v>62</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row>
    <row r="26" spans="1:29" ht="18" customHeight="1">
      <c r="A26" s="23"/>
      <c r="B26" s="1" t="s">
        <v>1485</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row>
    <row r="27" spans="1:29" ht="18" customHeight="1">
      <c r="A27" s="23"/>
      <c r="B27" s="8" t="s">
        <v>63</v>
      </c>
      <c r="C27" s="8" t="s">
        <v>1408</v>
      </c>
      <c r="D27" s="8" t="s">
        <v>1409</v>
      </c>
      <c r="E27" s="8" t="s">
        <v>1387</v>
      </c>
      <c r="F27" s="8" t="s">
        <v>44</v>
      </c>
      <c r="G27" s="506" t="s">
        <v>43</v>
      </c>
      <c r="H27" s="8" t="s">
        <v>1411</v>
      </c>
      <c r="I27" s="506" t="s">
        <v>1410</v>
      </c>
      <c r="J27" s="620" t="s">
        <v>1392</v>
      </c>
      <c r="K27" s="23"/>
      <c r="L27" s="23"/>
      <c r="M27" s="23"/>
      <c r="N27" s="23"/>
      <c r="O27" s="23"/>
      <c r="P27" s="23"/>
      <c r="Q27" s="23"/>
      <c r="R27" s="23"/>
      <c r="S27" s="23"/>
      <c r="T27" s="23"/>
      <c r="U27" s="23"/>
      <c r="V27" s="23"/>
      <c r="W27" s="23"/>
      <c r="X27" s="23"/>
      <c r="Y27" s="23"/>
      <c r="Z27" s="23"/>
      <c r="AA27" s="23"/>
      <c r="AB27" s="23"/>
      <c r="AC27" s="23"/>
    </row>
    <row r="28" spans="1:29" ht="18" customHeight="1">
      <c r="A28" s="23"/>
      <c r="B28" s="18" t="s">
        <v>64</v>
      </c>
      <c r="C28" s="696">
        <f>Model!AR40</f>
        <v>165.1</v>
      </c>
      <c r="D28" s="696">
        <f>Model!AS40</f>
        <v>165.1</v>
      </c>
      <c r="E28" s="696">
        <f>Model!AT40</f>
        <v>170.1</v>
      </c>
      <c r="F28" s="696">
        <f>Model!AU40</f>
        <v>160.1</v>
      </c>
      <c r="G28" s="698">
        <f>Model!AV40</f>
        <v>165.1</v>
      </c>
      <c r="H28" s="698">
        <f>Model!AW40</f>
        <v>140.1</v>
      </c>
      <c r="I28" s="698">
        <f>Model!AX40</f>
        <v>140.1</v>
      </c>
      <c r="J28" s="699">
        <f>Model!AY40</f>
        <v>140.1</v>
      </c>
      <c r="K28" s="23"/>
      <c r="L28" s="23"/>
      <c r="M28" s="23"/>
      <c r="N28" s="23"/>
      <c r="O28" s="23"/>
      <c r="P28" s="23"/>
      <c r="Q28" s="23"/>
      <c r="R28" s="23"/>
      <c r="S28" s="23"/>
      <c r="T28" s="23"/>
      <c r="U28" s="23"/>
      <c r="V28" s="23"/>
      <c r="W28" s="23"/>
      <c r="X28" s="23"/>
      <c r="Y28" s="23"/>
      <c r="Z28" s="23"/>
      <c r="AA28" s="23"/>
      <c r="AB28" s="23"/>
      <c r="AC28" s="23"/>
    </row>
    <row r="29" spans="1:29" ht="18" customHeight="1">
      <c r="A29" s="23"/>
      <c r="B29" s="17" t="s">
        <v>65</v>
      </c>
      <c r="C29" s="696">
        <f>Model!AR41</f>
        <v>110.1</v>
      </c>
      <c r="D29" s="696">
        <f>Model!AS41</f>
        <v>110.1</v>
      </c>
      <c r="E29" s="696">
        <f>Model!AT41</f>
        <v>110.1</v>
      </c>
      <c r="F29" s="696">
        <f>Model!AU41</f>
        <v>110.1</v>
      </c>
      <c r="G29" s="698">
        <f>Model!AV41</f>
        <v>110.1</v>
      </c>
      <c r="H29" s="698">
        <f>Model!AW41</f>
        <v>110.1</v>
      </c>
      <c r="I29" s="698">
        <f>Model!AX41</f>
        <v>110.1</v>
      </c>
      <c r="J29" s="699">
        <f>Model!AY41</f>
        <v>110.1</v>
      </c>
      <c r="K29" s="23"/>
      <c r="L29" s="23"/>
      <c r="M29" s="23"/>
      <c r="N29" s="23"/>
      <c r="O29" s="23"/>
      <c r="P29" s="23"/>
      <c r="Q29" s="23"/>
      <c r="R29" s="23"/>
      <c r="S29" s="23"/>
      <c r="T29" s="23"/>
      <c r="U29" s="23"/>
      <c r="V29" s="23"/>
      <c r="W29" s="23"/>
      <c r="X29" s="23"/>
      <c r="Y29" s="23"/>
      <c r="Z29" s="23"/>
      <c r="AA29" s="23"/>
      <c r="AB29" s="23"/>
      <c r="AC29" s="23"/>
    </row>
    <row r="30" spans="1:29" ht="18" customHeight="1">
      <c r="A30" s="23"/>
      <c r="B30" s="18" t="s">
        <v>66</v>
      </c>
      <c r="C30" s="700">
        <f>Model!AR42</f>
        <v>2.656018</v>
      </c>
      <c r="D30" s="700">
        <f>Model!AS42</f>
        <v>2.656018</v>
      </c>
      <c r="E30" s="700">
        <f>Model!AT42</f>
        <v>2.656018</v>
      </c>
      <c r="F30" s="700">
        <f>Model!AU42</f>
        <v>2.656018</v>
      </c>
      <c r="G30" s="701">
        <f>Model!AV42</f>
        <v>2.656018</v>
      </c>
      <c r="H30" s="701">
        <f>Model!AW42</f>
        <v>2.6463179999999999</v>
      </c>
      <c r="I30" s="701">
        <f>Model!AX42</f>
        <v>2.6463179999999999</v>
      </c>
      <c r="J30" s="702">
        <f>Model!AY42</f>
        <v>2.6463179999999999</v>
      </c>
      <c r="K30" s="23"/>
      <c r="L30" s="23"/>
      <c r="M30" s="23"/>
      <c r="N30" s="23"/>
      <c r="O30" s="23"/>
      <c r="P30" s="23"/>
      <c r="Q30" s="23"/>
      <c r="R30" s="23"/>
      <c r="S30" s="23"/>
      <c r="T30" s="23"/>
      <c r="U30" s="23"/>
      <c r="V30" s="23"/>
      <c r="W30" s="23"/>
      <c r="X30" s="23"/>
      <c r="Y30" s="23"/>
      <c r="Z30" s="23"/>
      <c r="AA30" s="23"/>
      <c r="AB30" s="23"/>
      <c r="AC30" s="23"/>
    </row>
    <row r="31" spans="1:29" ht="18" customHeight="1">
      <c r="A31" s="23"/>
      <c r="B31" s="17" t="s">
        <v>67</v>
      </c>
      <c r="C31" s="703">
        <f>Model!AR43</f>
        <v>35.358260012784626</v>
      </c>
      <c r="D31" s="703">
        <f>Model!AS43</f>
        <v>34.875785511373564</v>
      </c>
      <c r="E31" s="703">
        <f>Model!AT43</f>
        <v>35.012894812718066</v>
      </c>
      <c r="F31" s="703">
        <f>Model!AU43</f>
        <v>32.994963927508927</v>
      </c>
      <c r="G31" s="704">
        <f>Model!AV43</f>
        <v>36.515253314836819</v>
      </c>
      <c r="H31" s="704">
        <f>Model!AW43</f>
        <v>30.838871957021247</v>
      </c>
      <c r="I31" s="704">
        <f>Model!AX43</f>
        <v>30.404829359108401</v>
      </c>
      <c r="J31" s="705">
        <f>Model!AY43</f>
        <v>29.956527219755714</v>
      </c>
      <c r="K31" s="23"/>
      <c r="L31" s="23"/>
      <c r="M31" s="23"/>
      <c r="N31" s="23"/>
      <c r="O31" s="23"/>
      <c r="P31" s="23"/>
      <c r="Q31" s="23"/>
      <c r="R31" s="23"/>
      <c r="S31" s="23"/>
      <c r="T31" s="23"/>
      <c r="U31" s="23"/>
      <c r="V31" s="23"/>
      <c r="W31" s="23"/>
      <c r="X31" s="23"/>
      <c r="Y31" s="23"/>
      <c r="Z31" s="23"/>
      <c r="AA31" s="23"/>
      <c r="AB31" s="23"/>
      <c r="AC31" s="23"/>
    </row>
    <row r="32" spans="1:29" ht="18" customHeight="1">
      <c r="A32" s="23"/>
      <c r="B32" s="18" t="s">
        <v>68</v>
      </c>
      <c r="C32" s="700">
        <f>Model!AR44</f>
        <v>2.7396831631799534</v>
      </c>
      <c r="D32" s="700">
        <f>Model!AS44</f>
        <v>2.705536774640843</v>
      </c>
      <c r="E32" s="700">
        <f>Model!AT44</f>
        <v>2.7152404739292879</v>
      </c>
      <c r="F32" s="700">
        <f>Model!AU44</f>
        <v>2.5724245285271965</v>
      </c>
      <c r="G32" s="701">
        <f>Model!AV44</f>
        <v>2.821567579275476</v>
      </c>
      <c r="H32" s="701">
        <f>Model!AW44</f>
        <v>2.5048640526223194</v>
      </c>
      <c r="I32" s="701">
        <f>Model!AX44</f>
        <v>2.4729485493681906</v>
      </c>
      <c r="J32" s="702">
        <f>Model!AY44</f>
        <v>2.4399845304996641</v>
      </c>
      <c r="K32" s="23"/>
      <c r="L32" s="23"/>
      <c r="M32" s="23"/>
      <c r="N32" s="23"/>
      <c r="O32" s="23"/>
      <c r="P32" s="23"/>
      <c r="Q32" s="23"/>
      <c r="R32" s="23"/>
      <c r="S32" s="23"/>
      <c r="T32" s="23"/>
      <c r="U32" s="23"/>
      <c r="V32" s="23"/>
      <c r="W32" s="23"/>
      <c r="X32" s="23"/>
      <c r="Y32" s="23"/>
      <c r="Z32" s="23"/>
      <c r="AA32" s="23"/>
      <c r="AB32" s="23"/>
      <c r="AC32" s="23"/>
    </row>
    <row r="33" spans="1:29" ht="18"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29" ht="18" customHeight="1">
      <c r="A34" s="23"/>
      <c r="B34" s="25" t="s">
        <v>1486</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ht="18" customHeight="1">
      <c r="A35" s="23"/>
      <c r="B35" s="1" t="s">
        <v>1487</v>
      </c>
      <c r="C35" s="23"/>
      <c r="D35" s="23"/>
      <c r="E35" s="619"/>
      <c r="F35" s="23"/>
      <c r="G35" s="23"/>
      <c r="H35" s="23"/>
      <c r="I35" s="23"/>
      <c r="J35" s="23"/>
      <c r="K35" s="23"/>
      <c r="L35" s="23"/>
      <c r="M35" s="23"/>
      <c r="N35" s="23"/>
      <c r="O35" s="23"/>
      <c r="P35" s="23"/>
      <c r="Q35" s="23"/>
      <c r="R35" s="23"/>
      <c r="S35" s="23"/>
      <c r="T35" s="23"/>
      <c r="U35" s="23"/>
      <c r="V35" s="23"/>
      <c r="W35" s="23"/>
      <c r="X35" s="23"/>
      <c r="Y35" s="23"/>
      <c r="Z35" s="23"/>
      <c r="AA35" s="23"/>
      <c r="AB35" s="23"/>
      <c r="AC35" s="23"/>
    </row>
    <row r="36" spans="1:29" ht="36" customHeight="1">
      <c r="A36" s="23"/>
      <c r="B36" s="8" t="s">
        <v>40</v>
      </c>
      <c r="C36" s="21" t="str">
        <f>Input!D22&amp;" consumption per ton"</f>
        <v>Natural gas (MJ) consumption per ton</v>
      </c>
      <c r="D36" s="21" t="s">
        <v>1458</v>
      </c>
      <c r="E36" s="19" t="str">
        <f>Input!D23&amp;" consumption per ton"</f>
        <v>Diesel (MJ) consumption per ton</v>
      </c>
      <c r="F36" s="522"/>
      <c r="G36" s="23"/>
      <c r="H36" s="23"/>
      <c r="I36" s="23"/>
      <c r="J36" s="23"/>
      <c r="K36" s="23"/>
      <c r="L36" s="23"/>
      <c r="M36" s="23"/>
      <c r="N36" s="23"/>
      <c r="O36" s="23"/>
      <c r="P36" s="23"/>
      <c r="Q36" s="23"/>
      <c r="R36" s="23"/>
      <c r="S36" s="23"/>
      <c r="T36" s="23"/>
      <c r="U36" s="23"/>
      <c r="V36" s="23"/>
      <c r="W36" s="23"/>
      <c r="X36" s="23"/>
      <c r="Y36" s="23"/>
      <c r="Z36" s="23"/>
      <c r="AA36" s="23"/>
      <c r="AB36" s="23"/>
      <c r="AC36" s="23"/>
    </row>
    <row r="37" spans="1:29" ht="18" customHeight="1">
      <c r="A37" s="23"/>
      <c r="B37" s="17" t="s">
        <v>1408</v>
      </c>
      <c r="C37" s="706">
        <f>Model!AS83</f>
        <v>312.73244417230444</v>
      </c>
      <c r="D37" s="706">
        <f>Model!AT83</f>
        <v>19.497101399846731</v>
      </c>
      <c r="E37" s="706">
        <f>$E$22/Input!$C$76</f>
        <v>4.456417628226454</v>
      </c>
      <c r="F37" s="23"/>
      <c r="G37" s="23"/>
      <c r="H37" s="23"/>
      <c r="I37" s="23"/>
      <c r="J37" s="23"/>
      <c r="K37" s="23"/>
      <c r="L37" s="23"/>
      <c r="M37" s="23"/>
      <c r="N37" s="23"/>
      <c r="O37" s="23"/>
      <c r="P37" s="23"/>
      <c r="Q37" s="23"/>
      <c r="R37" s="23"/>
      <c r="S37" s="23"/>
      <c r="T37" s="23"/>
      <c r="U37" s="23"/>
      <c r="V37" s="23"/>
      <c r="W37" s="23"/>
      <c r="X37" s="23"/>
      <c r="Y37" s="23"/>
      <c r="Z37" s="23"/>
      <c r="AA37" s="23"/>
      <c r="AB37" s="23"/>
      <c r="AC37" s="23"/>
    </row>
    <row r="38" spans="1:29" ht="18" customHeight="1">
      <c r="A38" s="23"/>
      <c r="B38" s="18" t="s">
        <v>1409</v>
      </c>
      <c r="C38" s="706">
        <f>Model!AS84</f>
        <v>321.12921990771213</v>
      </c>
      <c r="D38" s="706">
        <f>Model!AT84</f>
        <v>17.979620908166055</v>
      </c>
      <c r="E38" s="706">
        <f>$E$22/Input!$C$76</f>
        <v>4.456417628226454</v>
      </c>
      <c r="F38" s="23"/>
      <c r="G38" s="23"/>
      <c r="H38" s="23"/>
      <c r="I38" s="23"/>
      <c r="J38" s="23"/>
      <c r="K38" s="23"/>
      <c r="L38" s="23"/>
      <c r="M38" s="23"/>
      <c r="N38" s="23"/>
      <c r="O38" s="23"/>
      <c r="P38" s="23"/>
      <c r="Q38" s="23"/>
      <c r="R38" s="23"/>
      <c r="S38" s="23"/>
      <c r="T38" s="23"/>
      <c r="U38" s="23"/>
      <c r="V38" s="23"/>
      <c r="W38" s="23"/>
      <c r="X38" s="23"/>
      <c r="Y38" s="23"/>
      <c r="Z38" s="23"/>
      <c r="AA38" s="23"/>
      <c r="AB38" s="23"/>
      <c r="AC38" s="23"/>
    </row>
    <row r="39" spans="1:29" ht="18" customHeight="1">
      <c r="A39" s="23"/>
      <c r="B39" s="17" t="s">
        <v>1387</v>
      </c>
      <c r="C39" s="706">
        <f>Model!AS85</f>
        <v>305.17231430169142</v>
      </c>
      <c r="D39" s="706">
        <f>Model!AT85</f>
        <v>23.169782188361474</v>
      </c>
      <c r="E39" s="706">
        <f>$E$22/Input!$C$76</f>
        <v>4.456417628226454</v>
      </c>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ht="18" customHeight="1">
      <c r="A40" s="23"/>
      <c r="B40" s="18" t="s">
        <v>44</v>
      </c>
      <c r="C40" s="706">
        <f>Model!AS86</f>
        <v>289.12089160229806</v>
      </c>
      <c r="D40" s="706">
        <f>Model!AT86</f>
        <v>23.965251278358167</v>
      </c>
      <c r="E40" s="706">
        <f>$E$22/Input!$C$76</f>
        <v>4.456417628226454</v>
      </c>
      <c r="F40" s="23"/>
      <c r="G40" s="23"/>
      <c r="H40" s="23"/>
      <c r="I40" s="23"/>
      <c r="J40" s="23"/>
      <c r="K40" s="23"/>
      <c r="L40" s="23"/>
      <c r="M40" s="23"/>
      <c r="N40" s="23"/>
      <c r="O40" s="23"/>
      <c r="P40" s="23"/>
      <c r="Q40" s="23"/>
      <c r="R40" s="23"/>
      <c r="S40" s="23"/>
      <c r="T40" s="23"/>
      <c r="U40" s="23"/>
      <c r="V40" s="23"/>
      <c r="W40" s="23"/>
      <c r="X40" s="23"/>
      <c r="Y40" s="23"/>
      <c r="Z40" s="23"/>
      <c r="AA40" s="23"/>
      <c r="AB40" s="23"/>
      <c r="AC40" s="23"/>
    </row>
    <row r="41" spans="1:29" ht="18" customHeight="1">
      <c r="A41" s="23"/>
      <c r="B41" s="17" t="s">
        <v>43</v>
      </c>
      <c r="C41" s="706">
        <f>Model!AS87</f>
        <v>317.12266975751572</v>
      </c>
      <c r="D41" s="706">
        <f>Model!AT87</f>
        <v>26.550525820847426</v>
      </c>
      <c r="E41" s="706">
        <f>$E$22/Input!$C$76</f>
        <v>4.456417628226454</v>
      </c>
      <c r="F41" s="23"/>
      <c r="G41" s="23"/>
      <c r="H41" s="23"/>
      <c r="I41" s="23"/>
      <c r="J41" s="23"/>
      <c r="K41" s="23"/>
      <c r="L41" s="23"/>
      <c r="M41" s="23"/>
      <c r="N41" s="23"/>
      <c r="O41" s="23"/>
      <c r="P41" s="23"/>
      <c r="Q41" s="23"/>
      <c r="R41" s="23"/>
      <c r="S41" s="23"/>
      <c r="T41" s="23"/>
      <c r="U41" s="23"/>
      <c r="V41" s="23"/>
      <c r="W41" s="23"/>
      <c r="X41" s="23"/>
      <c r="Y41" s="23"/>
      <c r="Z41" s="23"/>
      <c r="AA41" s="23"/>
      <c r="AB41" s="23"/>
      <c r="AC41" s="23"/>
    </row>
    <row r="42" spans="1:29" ht="18" customHeight="1">
      <c r="A42" s="23"/>
      <c r="B42" s="18" t="s">
        <v>1411</v>
      </c>
      <c r="C42" s="706">
        <f>Model!AS88</f>
        <v>281.52760953937315</v>
      </c>
      <c r="D42" s="706">
        <f>Model!AT88</f>
        <v>20.78337491837139</v>
      </c>
      <c r="E42" s="706">
        <f>$E$22/Input!$C$76</f>
        <v>4.456417628226454</v>
      </c>
      <c r="F42" s="23"/>
      <c r="G42" s="23"/>
      <c r="H42" s="23"/>
      <c r="I42" s="23"/>
      <c r="J42" s="23"/>
      <c r="K42" s="23"/>
      <c r="L42" s="23"/>
      <c r="M42" s="23"/>
      <c r="N42" s="23"/>
      <c r="O42" s="23"/>
      <c r="P42" s="23"/>
      <c r="Q42" s="23"/>
      <c r="R42" s="23"/>
      <c r="S42" s="23"/>
      <c r="T42" s="23"/>
      <c r="U42" s="23"/>
      <c r="V42" s="23"/>
      <c r="W42" s="23"/>
      <c r="X42" s="23"/>
      <c r="Y42" s="23"/>
      <c r="Z42" s="23"/>
      <c r="AA42" s="23"/>
      <c r="AB42" s="23"/>
      <c r="AC42" s="23"/>
    </row>
    <row r="43" spans="1:29" ht="18" customHeight="1">
      <c r="A43" s="23"/>
      <c r="B43" s="17" t="s">
        <v>1410</v>
      </c>
      <c r="C43" s="706">
        <f>Model!AS89</f>
        <v>277.94055046166613</v>
      </c>
      <c r="D43" s="706">
        <f>Model!AT89</f>
        <v>23.169782188361474</v>
      </c>
      <c r="E43" s="706">
        <f>$E$22/Input!$C$76</f>
        <v>4.456417628226454</v>
      </c>
      <c r="F43" s="23"/>
      <c r="G43" s="23"/>
      <c r="H43" s="23"/>
      <c r="I43" s="23"/>
      <c r="J43" s="23"/>
      <c r="K43" s="23"/>
      <c r="L43" s="23"/>
      <c r="M43" s="23"/>
      <c r="N43" s="23"/>
      <c r="O43" s="23"/>
      <c r="P43" s="23"/>
      <c r="Q43" s="23"/>
      <c r="R43" s="23"/>
      <c r="S43" s="23"/>
      <c r="T43" s="23"/>
      <c r="U43" s="23"/>
      <c r="V43" s="23"/>
      <c r="W43" s="23"/>
      <c r="X43" s="23"/>
      <c r="Y43" s="23"/>
      <c r="Z43" s="23"/>
      <c r="AA43" s="23"/>
      <c r="AB43" s="23"/>
      <c r="AC43" s="23"/>
    </row>
    <row r="44" spans="1:29" ht="18" customHeight="1">
      <c r="A44" s="23"/>
      <c r="B44" s="18" t="s">
        <v>1392</v>
      </c>
      <c r="C44" s="706">
        <f>Model!AS90</f>
        <v>274.23564622818026</v>
      </c>
      <c r="D44" s="706">
        <f>Model!AT90</f>
        <v>23.169782188361474</v>
      </c>
      <c r="E44" s="706">
        <f>$E$22/Input!$C$76</f>
        <v>4.456417628226454</v>
      </c>
      <c r="F44" s="23"/>
      <c r="G44" s="23"/>
      <c r="H44" s="23"/>
      <c r="I44" s="23"/>
      <c r="J44" s="23"/>
      <c r="K44" s="23"/>
      <c r="L44" s="23"/>
      <c r="M44" s="23"/>
      <c r="N44" s="23"/>
      <c r="O44" s="23"/>
      <c r="P44" s="23"/>
      <c r="Q44" s="23"/>
      <c r="R44" s="23"/>
      <c r="S44" s="23"/>
      <c r="T44" s="23"/>
      <c r="U44" s="23"/>
      <c r="V44" s="23"/>
      <c r="W44" s="23"/>
      <c r="X44" s="23"/>
      <c r="Y44" s="23"/>
      <c r="Z44" s="23"/>
      <c r="AA44" s="23"/>
      <c r="AB44" s="23"/>
      <c r="AC44" s="23"/>
    </row>
    <row r="45" spans="1:29" ht="18"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row>
    <row r="46" spans="1:29" ht="18" customHeight="1">
      <c r="A46" s="23"/>
      <c r="B46" s="25" t="s">
        <v>1488</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row>
    <row r="47" spans="1:29" ht="18" customHeight="1">
      <c r="A47" s="23"/>
      <c r="B47" s="1" t="s">
        <v>1489</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29" ht="18" customHeight="1">
      <c r="A48" s="23"/>
      <c r="B48" s="15" t="s">
        <v>69</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row>
    <row r="49" spans="1:29" ht="18" customHeight="1">
      <c r="A49" s="23"/>
      <c r="B49" s="8" t="s">
        <v>40</v>
      </c>
      <c r="C49" s="690" t="s">
        <v>1408</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row>
    <row r="50" spans="1:29" ht="18" customHeight="1">
      <c r="A50" s="23"/>
      <c r="B50" s="8" t="s">
        <v>70</v>
      </c>
      <c r="C50" s="707">
        <v>0.14699999999999999</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row>
    <row r="51" spans="1:29" ht="18" customHeight="1">
      <c r="A51" s="23"/>
      <c r="B51" s="8" t="s">
        <v>71</v>
      </c>
      <c r="C51" s="692">
        <v>165</v>
      </c>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row>
    <row r="52" spans="1:29" ht="18" customHeight="1">
      <c r="A52" s="23"/>
      <c r="B52" s="8" t="s">
        <v>72</v>
      </c>
      <c r="C52" s="692">
        <v>120</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row>
    <row r="53" spans="1:29" ht="18" customHeight="1">
      <c r="A53" s="23"/>
      <c r="B53" s="8" t="s">
        <v>73</v>
      </c>
      <c r="C53" s="692">
        <v>34.589999999999996</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row>
    <row r="54" spans="1:29" ht="18" customHeight="1">
      <c r="A54" s="23"/>
      <c r="B54" s="8" t="s">
        <v>74</v>
      </c>
      <c r="C54" s="692">
        <v>35</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row>
    <row r="55" spans="1:29" ht="18" customHeight="1">
      <c r="A55" s="23"/>
      <c r="B55" s="21" t="str">
        <f>C36</f>
        <v>Natural gas (MJ) consumption per ton</v>
      </c>
      <c r="C55" s="706">
        <f>Model_specificmixture!Q8</f>
        <v>312.73244417230444</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1:29" ht="18" customHeight="1">
      <c r="A56" s="23"/>
      <c r="B56" s="21" t="str">
        <f>D36</f>
        <v>Electricity (MJ) consumption per ton</v>
      </c>
      <c r="C56" s="706">
        <f>Model_specificmixture!Q11</f>
        <v>19.497101399846731</v>
      </c>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row>
    <row r="57" spans="1:29" ht="18" customHeight="1">
      <c r="A57" s="23"/>
      <c r="B57" s="21" t="str">
        <f>E36</f>
        <v>Diesel (MJ) consumption per ton</v>
      </c>
      <c r="C57" s="706">
        <f>E22/Input!C76</f>
        <v>4.456417628226454</v>
      </c>
      <c r="D57" s="619"/>
      <c r="E57" s="23"/>
      <c r="F57" s="23"/>
      <c r="G57" s="23"/>
      <c r="H57" s="23"/>
      <c r="I57" s="23"/>
      <c r="J57" s="23"/>
      <c r="K57" s="23"/>
      <c r="L57" s="23"/>
      <c r="M57" s="23"/>
      <c r="N57" s="23"/>
      <c r="O57" s="23"/>
      <c r="P57" s="23"/>
      <c r="Q57" s="23"/>
      <c r="R57" s="23"/>
      <c r="S57" s="23"/>
      <c r="T57" s="23"/>
      <c r="U57" s="23"/>
      <c r="V57" s="23"/>
      <c r="W57" s="23"/>
      <c r="X57" s="23"/>
      <c r="Y57" s="23"/>
      <c r="Z57" s="23"/>
      <c r="AA57" s="23"/>
      <c r="AB57" s="23"/>
      <c r="AC57" s="23"/>
    </row>
    <row r="58" spans="1:29" ht="18"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ht="18"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29" ht="18"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row>
    <row r="61" spans="1:29" ht="18"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row>
    <row r="62" spans="1:29" ht="18"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ht="18"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29" ht="18"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row>
    <row r="65" spans="1:29" ht="9.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1:29" ht="9.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ht="9.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row>
    <row r="68" spans="1:29" ht="9.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row>
    <row r="69" spans="1:29" ht="9.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row>
    <row r="70" spans="1:29" ht="9.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row r="71" spans="1:29" ht="9.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ht="9.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1:29" ht="9.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row>
    <row r="74" spans="1:29" ht="9.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row>
    <row r="75" spans="1:29" ht="9.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row>
    <row r="76" spans="1:29" ht="9.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row>
    <row r="77" spans="1:29" ht="9.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row>
    <row r="78" spans="1:29" ht="9.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row>
    <row r="79" spans="1:29" ht="9.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1:29" ht="9.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row>
    <row r="81" spans="1:29" ht="9.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row>
    <row r="82" spans="1:29" ht="9.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row>
    <row r="83" spans="1:29" ht="9.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1:29" ht="9.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row>
    <row r="85" spans="1:29" ht="9.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row>
    <row r="86" spans="1:29" ht="9.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row>
    <row r="87" spans="1:29" ht="9.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row>
    <row r="88" spans="1:29" ht="9.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row>
    <row r="89" spans="1:29" ht="9.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row>
    <row r="90" spans="1:29" ht="9.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row>
    <row r="91" spans="1:29" ht="9.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row>
    <row r="92" spans="1:29" ht="9.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row>
    <row r="93" spans="1:29" ht="9.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row>
    <row r="94" spans="1:29" ht="9.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row>
    <row r="95" spans="1:29" ht="9.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row>
    <row r="96" spans="1:29" ht="9.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row>
    <row r="97" spans="1:29" ht="9.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row>
    <row r="98" spans="1:29" ht="9.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1:29" ht="9.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row>
    <row r="100" spans="1:29" ht="9.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row>
    <row r="101" spans="1:29" ht="9.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row>
    <row r="102" spans="1:29" ht="9.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row>
    <row r="103" spans="1:29" ht="9.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row>
    <row r="104" spans="1:29" ht="9.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row>
    <row r="105" spans="1:29" ht="9.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row>
    <row r="106" spans="1:29" ht="9.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ht="9.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1:29" ht="9.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row>
    <row r="109" spans="1:29" ht="9.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row>
    <row r="110" spans="1:29" ht="9.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row>
    <row r="111" spans="1:29" ht="9.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row>
    <row r="112" spans="1:29" ht="9.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row>
    <row r="113" spans="1:29" ht="9.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row>
    <row r="114" spans="1:29" ht="9.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row>
    <row r="115" spans="1:29" ht="9.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row>
    <row r="116" spans="1:29" ht="9.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row>
    <row r="117" spans="1:29" ht="9.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row r="118" spans="1:29" ht="9.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1:29" ht="9.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row>
    <row r="120" spans="1:29" ht="9.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row>
    <row r="121" spans="1:29" ht="9.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row>
    <row r="122" spans="1:29" ht="9.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row>
    <row r="123" spans="1:29" ht="9.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row>
    <row r="124" spans="1:29" ht="9.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row>
    <row r="125" spans="1:29" ht="9.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row>
    <row r="126" spans="1:29" ht="9.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row>
    <row r="127" spans="1:29" ht="9.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row>
    <row r="128" spans="1:29" ht="9.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row>
    <row r="129" spans="1:29" ht="9.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row>
    <row r="130" spans="1:29" ht="9.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row>
    <row r="131" spans="1:29" ht="9.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row>
    <row r="132" spans="1:29" ht="9.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row>
    <row r="133" spans="1:29" ht="9.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row>
    <row r="134" spans="1:29" ht="9.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row>
    <row r="135" spans="1:29" ht="9.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row>
    <row r="136" spans="1:29" ht="9.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row>
    <row r="137" spans="1:29" ht="9.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row>
    <row r="138" spans="1:29" ht="9.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row>
    <row r="139" spans="1:29" ht="9.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row>
    <row r="140" spans="1:29" ht="9.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row>
    <row r="141" spans="1:29" ht="9.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row>
    <row r="142" spans="1:29" ht="9.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row>
    <row r="143" spans="1:29" ht="9.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row>
    <row r="144" spans="1:29" ht="9.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row>
    <row r="145" spans="1:29" ht="9.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row>
    <row r="146" spans="1:29" ht="9.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row>
    <row r="147" spans="1:29" ht="9.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row>
    <row r="148" spans="1:29" ht="9.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row>
    <row r="149" spans="1:29" ht="9.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row>
    <row r="150" spans="1:29" ht="9.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row>
    <row r="151" spans="1:29" ht="9.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row>
    <row r="152" spans="1:29" ht="9.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row>
    <row r="153" spans="1:29" ht="9.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row>
    <row r="154" spans="1:29" ht="9.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row>
    <row r="155" spans="1:29" ht="9.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row>
    <row r="156" spans="1:29" ht="9.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row>
    <row r="157" spans="1:29" ht="9.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row>
    <row r="158" spans="1:29" ht="9.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row>
    <row r="159" spans="1:29" ht="9.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row>
    <row r="160" spans="1:29" ht="9.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row>
    <row r="161" spans="1:29" ht="9.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row>
    <row r="162" spans="1:29" ht="9.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row>
    <row r="163" spans="1:29" ht="9.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row>
    <row r="164" spans="1:29" ht="9.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row>
    <row r="165" spans="1:29" ht="9.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row>
    <row r="166" spans="1:29" ht="9.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row>
    <row r="167" spans="1:29" ht="9.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row>
    <row r="168" spans="1:29" ht="9.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row>
    <row r="169" spans="1:29" ht="9.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row>
    <row r="170" spans="1:29" ht="9.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row>
    <row r="171" spans="1:29" ht="9.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row>
    <row r="172" spans="1:29" ht="9.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row>
    <row r="173" spans="1:29" ht="9.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row>
    <row r="174" spans="1:29" ht="9.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row>
    <row r="175" spans="1:29" ht="9.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row>
    <row r="176" spans="1:29" ht="9.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row>
    <row r="177" spans="1:29" ht="9.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row>
    <row r="178" spans="1:29" ht="9.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row>
    <row r="179" spans="1:29" ht="9.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row>
    <row r="180" spans="1:29" ht="9.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row>
    <row r="181" spans="1:29" ht="9.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row>
    <row r="182" spans="1:29" ht="9.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row>
    <row r="183" spans="1:29" ht="9.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row>
    <row r="184" spans="1:29" ht="9.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row>
    <row r="185" spans="1:29" ht="9.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row>
    <row r="186" spans="1:29" ht="9.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row>
    <row r="187" spans="1:29" ht="9.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row>
    <row r="188" spans="1:29" ht="9.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row>
    <row r="189" spans="1:29" ht="9.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row>
    <row r="190" spans="1:29" ht="9.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row>
    <row r="191" spans="1:29" ht="9.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row>
    <row r="192" spans="1:29" ht="9.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row>
    <row r="193" spans="1:29" ht="9.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row>
    <row r="194" spans="1:29" ht="9.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row>
    <row r="195" spans="1:29" ht="9.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row>
    <row r="196" spans="1:29" ht="9.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row>
    <row r="197" spans="1:29" ht="9.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row>
    <row r="198" spans="1:29" ht="9.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row>
    <row r="199" spans="1:29" ht="9.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row>
    <row r="200" spans="1:29" ht="9.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row>
    <row r="201" spans="1:29" ht="9.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row>
    <row r="202" spans="1:29" ht="9.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row>
    <row r="203" spans="1:29" ht="9.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row>
    <row r="204" spans="1:29" ht="9.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row>
    <row r="205" spans="1:29" ht="9.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row>
    <row r="206" spans="1:29" ht="9.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row>
    <row r="207" spans="1:29" ht="9.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row>
    <row r="208" spans="1:29" ht="9.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row>
    <row r="209" spans="1:29" ht="9.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row>
    <row r="210" spans="1:29" ht="9.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row>
    <row r="211" spans="1:29" ht="9.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row>
    <row r="212" spans="1:29" ht="9.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row>
    <row r="213" spans="1:29" ht="9.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row>
    <row r="214" spans="1:29" ht="9.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row>
    <row r="215" spans="1:29" ht="9.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row>
    <row r="216" spans="1:29" ht="9.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row>
    <row r="217" spans="1:29" ht="9.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row>
    <row r="218" spans="1:29" ht="9.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row>
    <row r="219" spans="1:29" ht="9.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row>
    <row r="220" spans="1:29" ht="9.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row>
    <row r="221" spans="1:29" ht="9.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row>
    <row r="222" spans="1:29" ht="9.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row>
    <row r="223" spans="1:29" ht="9.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row>
    <row r="224" spans="1:29" ht="9.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row>
    <row r="225" spans="1:29" ht="9.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row>
    <row r="226" spans="1:29" ht="9.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row>
    <row r="227" spans="1:29" ht="9.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row>
    <row r="228" spans="1:29" ht="9.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row>
    <row r="229" spans="1:29" ht="9.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row>
    <row r="230" spans="1:29" ht="9.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row>
    <row r="231" spans="1:29" ht="9.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row>
    <row r="232" spans="1:29" ht="9.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row>
    <row r="233" spans="1:29" ht="9.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row>
    <row r="234" spans="1:29" ht="9.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row>
    <row r="235" spans="1:29" ht="9.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row>
    <row r="236" spans="1:29" ht="9.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row>
    <row r="237" spans="1:29" ht="9.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row>
    <row r="238" spans="1:29" ht="9.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row>
    <row r="239" spans="1:29" ht="9.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row>
    <row r="240" spans="1:29" ht="9.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row>
    <row r="241" spans="1:29" ht="9.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row>
    <row r="242" spans="1:29" ht="9.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row>
    <row r="243" spans="1:29" ht="9.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row>
    <row r="244" spans="1:29" ht="9.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row>
    <row r="245" spans="1:29" ht="9.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row>
    <row r="246" spans="1:29" ht="9.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row>
    <row r="247" spans="1:29" ht="9.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row>
    <row r="248" spans="1:29" ht="9.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row>
    <row r="249" spans="1:29" ht="9.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row>
    <row r="250" spans="1:29" ht="9.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row>
    <row r="251" spans="1:29" ht="9.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row>
    <row r="252" spans="1:29" ht="9.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row>
    <row r="253" spans="1:29" ht="9.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row>
    <row r="254" spans="1:29" ht="9.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row>
    <row r="255" spans="1:29" ht="9.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row>
    <row r="256" spans="1:29" ht="9.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row>
    <row r="257" spans="1:29" ht="9.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row>
    <row r="258" spans="1:29" ht="9.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row>
    <row r="259" spans="1:29" ht="9.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row>
    <row r="260" spans="1:29" ht="9.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row>
    <row r="261" spans="1:29" ht="9.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row>
    <row r="262" spans="1:29" ht="9.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row>
    <row r="263" spans="1:29" ht="9.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row>
    <row r="264" spans="1:29" ht="9.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row>
    <row r="265" spans="1:29" ht="9.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row>
    <row r="266" spans="1:29" ht="9.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row>
    <row r="267" spans="1:29" ht="9.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row>
    <row r="268" spans="1:29" ht="9.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row>
    <row r="269" spans="1:29" ht="9.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row>
    <row r="270" spans="1:29" ht="9.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row>
    <row r="271" spans="1:29" ht="9.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row>
    <row r="272" spans="1:29" ht="9.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row>
    <row r="273" spans="1:29" ht="9.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row>
    <row r="274" spans="1:29" ht="9.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row>
    <row r="275" spans="1:29" ht="9.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row>
    <row r="276" spans="1:29" ht="9.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row>
    <row r="277" spans="1:29" ht="9.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row>
    <row r="278" spans="1:29" ht="9.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row>
    <row r="279" spans="1:29" ht="9.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row>
    <row r="280" spans="1:29" ht="9.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row>
    <row r="281" spans="1:29" ht="9.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row>
    <row r="282" spans="1:29" ht="9.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row>
    <row r="283" spans="1:29" ht="9.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row>
    <row r="284" spans="1:29" ht="9.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row>
    <row r="285" spans="1:29" ht="9.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row>
    <row r="286" spans="1:29" ht="9.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row>
    <row r="287" spans="1:29" ht="9.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row>
    <row r="288" spans="1:29" ht="9.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row>
    <row r="289" spans="1:29" ht="9.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row>
    <row r="290" spans="1:29" ht="9.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row>
    <row r="291" spans="1:29" ht="9.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row>
    <row r="292" spans="1:29" ht="9.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row>
    <row r="293" spans="1:29" ht="9.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row>
    <row r="294" spans="1:29" ht="9.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row>
    <row r="295" spans="1:29" ht="9.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row>
    <row r="296" spans="1:29" ht="9.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row>
    <row r="297" spans="1:29" ht="9.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row>
    <row r="298" spans="1:29" ht="9.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row>
    <row r="299" spans="1:29" ht="9.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row>
    <row r="300" spans="1:29" ht="9.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row>
    <row r="301" spans="1:29" ht="9.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row>
    <row r="302" spans="1:29" ht="9.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row>
    <row r="303" spans="1:29" ht="9.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row>
    <row r="304" spans="1:29" ht="9.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row>
    <row r="305" spans="1:29" ht="9.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row>
    <row r="306" spans="1:29" ht="9.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row>
    <row r="307" spans="1:29" ht="9.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row>
    <row r="308" spans="1:29" ht="9.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row>
    <row r="309" spans="1:29" ht="9.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row>
    <row r="310" spans="1:29" ht="9.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row>
    <row r="311" spans="1:29" ht="9.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row>
    <row r="312" spans="1:29" ht="9.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row>
    <row r="313" spans="1:29" ht="9.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row>
    <row r="314" spans="1:29" ht="9.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row>
    <row r="315" spans="1:29" ht="9.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row>
    <row r="316" spans="1:29" ht="9.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row>
    <row r="317" spans="1:29" ht="9.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row>
    <row r="318" spans="1:29" ht="9.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row>
    <row r="319" spans="1:29" ht="9.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row>
    <row r="320" spans="1:29" ht="9.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row>
    <row r="321" spans="1:29" ht="9.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row>
    <row r="322" spans="1:29" ht="9.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row>
    <row r="323" spans="1:29" ht="9.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row>
    <row r="324" spans="1:29" ht="9.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row>
    <row r="325" spans="1:29" ht="9.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row>
    <row r="326" spans="1:29" ht="9.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row>
    <row r="327" spans="1:29" ht="9.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row>
    <row r="328" spans="1:29" ht="9.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row>
    <row r="329" spans="1:29" ht="9.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row>
    <row r="330" spans="1:29" ht="9.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row>
    <row r="331" spans="1:29" ht="9.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row>
    <row r="332" spans="1:29" ht="9.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row>
    <row r="333" spans="1:29" ht="9.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row>
    <row r="334" spans="1:29" ht="9.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row>
    <row r="335" spans="1:29" ht="9.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row>
    <row r="336" spans="1:29" ht="9.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row>
    <row r="337" spans="1:29" ht="9.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row>
    <row r="338" spans="1:29" ht="9.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row>
    <row r="339" spans="1:29" ht="9.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row>
    <row r="340" spans="1:29" ht="9.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row>
    <row r="341" spans="1:29" ht="9.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row>
    <row r="342" spans="1:29" ht="9.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row>
    <row r="343" spans="1:29" ht="9.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row>
    <row r="344" spans="1:29" ht="9.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row>
    <row r="345" spans="1:29" ht="9.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row>
    <row r="346" spans="1:29" ht="9.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row>
    <row r="347" spans="1:29" ht="9.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row>
    <row r="348" spans="1:29" ht="9.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row>
    <row r="349" spans="1:29" ht="9.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row>
    <row r="350" spans="1:29" ht="9.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row>
    <row r="351" spans="1:29" ht="9.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row>
    <row r="352" spans="1:29" ht="9.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row>
    <row r="353" spans="1:29" ht="9.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row>
    <row r="354" spans="1:29" ht="9.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row>
    <row r="355" spans="1:29" ht="9.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row>
    <row r="356" spans="1:29" ht="9.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row>
    <row r="357" spans="1:29" ht="9.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row>
    <row r="358" spans="1:29" ht="9.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row>
    <row r="359" spans="1:29" ht="9.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row>
    <row r="360" spans="1:29" ht="9.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row>
    <row r="361" spans="1:29" ht="9.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row>
    <row r="362" spans="1:29" ht="9.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row>
    <row r="363" spans="1:29" ht="9.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row>
    <row r="364" spans="1:29" ht="9.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row>
    <row r="365" spans="1:29" ht="9.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row>
    <row r="366" spans="1:29" ht="9.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row>
    <row r="367" spans="1:29" ht="9.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row>
    <row r="368" spans="1:29" ht="9.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row>
    <row r="369" spans="1:29" ht="9.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row>
    <row r="370" spans="1:29" ht="9.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row>
    <row r="371" spans="1:29" ht="9.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row>
    <row r="372" spans="1:29" ht="9.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row>
    <row r="373" spans="1:29" ht="9.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row>
    <row r="374" spans="1:29" ht="9.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row>
    <row r="375" spans="1:29" ht="9.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row>
    <row r="376" spans="1:29" ht="9.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row>
    <row r="377" spans="1:29" ht="9.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row>
    <row r="378" spans="1:29" ht="9.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row>
    <row r="379" spans="1:29" ht="9.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row>
    <row r="380" spans="1:29" ht="9.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row>
    <row r="381" spans="1:29" ht="9.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row>
    <row r="382" spans="1:29" ht="9.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row>
    <row r="383" spans="1:29" ht="9.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row>
    <row r="384" spans="1:29" ht="9.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row>
    <row r="385" spans="1:29" ht="9.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row>
    <row r="386" spans="1:29" ht="9.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row>
    <row r="387" spans="1:29" ht="9.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row>
    <row r="388" spans="1:29" ht="9.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row>
    <row r="389" spans="1:29" ht="9.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row>
    <row r="390" spans="1:29" ht="9.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row>
    <row r="391" spans="1:29" ht="9.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row>
    <row r="392" spans="1:29" ht="9.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row>
    <row r="393" spans="1:29" ht="9.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row>
    <row r="394" spans="1:29" ht="9.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row>
    <row r="395" spans="1:29" ht="9.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row>
    <row r="396" spans="1:29" ht="9.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row>
    <row r="397" spans="1:29" ht="9.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row>
    <row r="398" spans="1:29" ht="9.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row>
    <row r="399" spans="1:29" ht="9.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row>
    <row r="400" spans="1:29" ht="9.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row>
    <row r="401" spans="1:29" ht="9.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row>
    <row r="402" spans="1:29" ht="9.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row>
    <row r="403" spans="1:29" ht="9.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row>
    <row r="404" spans="1:29" ht="9.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row>
    <row r="405" spans="1:29" ht="9.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row>
    <row r="406" spans="1:29" ht="9.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row>
    <row r="407" spans="1:29" ht="9.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row>
    <row r="408" spans="1:29" ht="9.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row>
    <row r="409" spans="1:29" ht="9.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row>
    <row r="410" spans="1:29" ht="9.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row>
    <row r="411" spans="1:29" ht="9.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row>
    <row r="412" spans="1:29" ht="9.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row>
    <row r="413" spans="1:29" ht="9.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row>
    <row r="414" spans="1:29" ht="9.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row>
    <row r="415" spans="1:29" ht="9.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row>
    <row r="416" spans="1:29" ht="9.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row>
    <row r="417" spans="1:29" ht="9.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row>
    <row r="418" spans="1:29" ht="9.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row>
    <row r="419" spans="1:29" ht="9.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row>
    <row r="420" spans="1:29" ht="9.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row>
    <row r="421" spans="1:29" ht="9.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row>
    <row r="422" spans="1:29" ht="9.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row>
    <row r="423" spans="1:29" ht="9.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row>
    <row r="424" spans="1:29" ht="9.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row>
    <row r="425" spans="1:29" ht="9.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row>
    <row r="426" spans="1:29" ht="9.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row>
    <row r="427" spans="1:29" ht="9.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row>
    <row r="428" spans="1:29" ht="9.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row>
    <row r="429" spans="1:29" ht="9.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row>
    <row r="430" spans="1:29" ht="9.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row>
    <row r="431" spans="1:29" ht="9.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row>
    <row r="432" spans="1:29" ht="9.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row>
    <row r="433" spans="1:29" ht="9.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row>
    <row r="434" spans="1:29" ht="9.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row>
    <row r="435" spans="1:29" ht="9.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row>
    <row r="436" spans="1:29" ht="9.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row>
    <row r="437" spans="1:29" ht="9.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row>
    <row r="438" spans="1:29" ht="9.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row>
    <row r="439" spans="1:29" ht="9.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row>
    <row r="440" spans="1:29" ht="9.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row>
    <row r="441" spans="1:29" ht="9.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row>
    <row r="442" spans="1:29" ht="9.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row>
    <row r="443" spans="1:29" ht="9.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row>
    <row r="444" spans="1:29" ht="9.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row>
    <row r="445" spans="1:29" ht="9.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row>
    <row r="446" spans="1:29" ht="9.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row>
    <row r="447" spans="1:29" ht="9.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row>
    <row r="448" spans="1:29" ht="9.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row>
    <row r="449" spans="1:29" ht="9.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row>
    <row r="450" spans="1:29" ht="9.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row>
    <row r="451" spans="1:29" ht="9.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row>
    <row r="452" spans="1:29" ht="9.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row>
    <row r="453" spans="1:29" ht="9.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row>
    <row r="454" spans="1:29" ht="9.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row>
    <row r="455" spans="1:29" ht="9.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row>
    <row r="456" spans="1:29" ht="9.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row>
    <row r="457" spans="1:29" ht="9.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row>
    <row r="458" spans="1:29" ht="9.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row>
    <row r="459" spans="1:29" ht="9.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row>
    <row r="460" spans="1:29" ht="9.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row>
    <row r="461" spans="1:29" ht="9.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row>
    <row r="462" spans="1:29" ht="9.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row>
    <row r="463" spans="1:29" ht="9.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row>
    <row r="464" spans="1:29" ht="9.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row>
    <row r="465" spans="1:29" ht="9.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row>
    <row r="466" spans="1:29" ht="9.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row>
    <row r="467" spans="1:29" ht="9.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row>
    <row r="468" spans="1:29" ht="9.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row>
    <row r="469" spans="1:29" ht="9.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row>
    <row r="470" spans="1:29" ht="9.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row>
    <row r="471" spans="1:29" ht="9.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row>
    <row r="472" spans="1:29" ht="9.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row>
    <row r="473" spans="1:29" ht="9.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row>
    <row r="474" spans="1:29" ht="9.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row>
    <row r="475" spans="1:29" ht="9.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row>
    <row r="476" spans="1:29" ht="9.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row>
    <row r="477" spans="1:29" ht="9.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row>
    <row r="478" spans="1:29" ht="9.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row>
    <row r="479" spans="1:29" ht="9.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row>
    <row r="480" spans="1:29" ht="9.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row>
    <row r="481" spans="1:29" ht="9.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row>
    <row r="482" spans="1:29" ht="9.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row>
    <row r="483" spans="1:29" ht="9.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row>
    <row r="484" spans="1:29" ht="9.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row>
    <row r="485" spans="1:29" ht="9.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row>
    <row r="486" spans="1:29" ht="9.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row>
    <row r="487" spans="1:29" ht="9.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row>
    <row r="488" spans="1:29" ht="9.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row>
    <row r="489" spans="1:29" ht="9.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row>
    <row r="490" spans="1:29" ht="9.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row>
    <row r="491" spans="1:29" ht="9.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row>
    <row r="492" spans="1:29" ht="9.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row>
    <row r="493" spans="1:29" ht="9.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row>
    <row r="494" spans="1:29" ht="9.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row>
    <row r="495" spans="1:29" ht="9.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row>
    <row r="496" spans="1:29" ht="9.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row>
    <row r="497" spans="1:29" ht="9.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row>
    <row r="498" spans="1:29" ht="9.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row>
    <row r="499" spans="1:29" ht="9.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row>
    <row r="500" spans="1:29" ht="9.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row>
    <row r="501" spans="1:29" ht="9.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row>
    <row r="502" spans="1:29" ht="9.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row>
    <row r="503" spans="1:29" ht="9.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row>
    <row r="504" spans="1:29" ht="9.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row>
    <row r="505" spans="1:29" ht="9.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row>
    <row r="506" spans="1:29" ht="9.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row>
    <row r="507" spans="1:29" ht="9.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row>
    <row r="508" spans="1:29" ht="9.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row>
    <row r="509" spans="1:29" ht="9.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row>
    <row r="510" spans="1:29" ht="9.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row>
    <row r="511" spans="1:29" ht="9.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row>
    <row r="512" spans="1:29" ht="9.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row>
    <row r="513" spans="1:29" ht="9.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row>
    <row r="514" spans="1:29" ht="9.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row>
    <row r="515" spans="1:29" ht="9.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row>
    <row r="516" spans="1:29" ht="9.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row>
    <row r="517" spans="1:29" ht="9.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row>
    <row r="518" spans="1:29" ht="9.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row>
    <row r="519" spans="1:29" ht="9.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row>
    <row r="520" spans="1:29" ht="9.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row>
    <row r="521" spans="1:29" ht="9.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row>
    <row r="522" spans="1:29" ht="9.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row>
    <row r="523" spans="1:29" ht="9.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row>
    <row r="524" spans="1:29" ht="9.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row>
    <row r="525" spans="1:29" ht="9.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row>
    <row r="526" spans="1:29" ht="9.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row>
    <row r="527" spans="1:29" ht="9.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row>
    <row r="528" spans="1:29" ht="9.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row>
    <row r="529" spans="1:29" ht="9.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row>
    <row r="530" spans="1:29" ht="9.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row>
    <row r="531" spans="1:29" ht="9.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row>
    <row r="532" spans="1:29" ht="9.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row>
    <row r="533" spans="1:29" ht="9.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row>
    <row r="534" spans="1:29" ht="9.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row>
    <row r="535" spans="1:29" ht="9.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row>
    <row r="536" spans="1:29" ht="9.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row>
    <row r="537" spans="1:29" ht="9.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row>
    <row r="538" spans="1:29" ht="9.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row>
    <row r="539" spans="1:29" ht="9.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row>
    <row r="540" spans="1:29" ht="9.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row>
    <row r="541" spans="1:29" ht="9.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row>
    <row r="542" spans="1:29" ht="9.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row>
    <row r="543" spans="1:29" ht="9.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row>
    <row r="544" spans="1:29" ht="9.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row>
    <row r="545" spans="1:29" ht="9.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row>
    <row r="546" spans="1:29" ht="9.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row>
    <row r="547" spans="1:29" ht="9.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row>
    <row r="548" spans="1:29" ht="9.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row>
    <row r="549" spans="1:29" ht="9.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row>
    <row r="550" spans="1:29" ht="9.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row>
    <row r="551" spans="1:29" ht="9.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row>
    <row r="552" spans="1:29" ht="9.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row>
    <row r="553" spans="1:29" ht="9.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row>
    <row r="554" spans="1:29" ht="9.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row>
    <row r="555" spans="1:29" ht="9.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row>
    <row r="556" spans="1:29" ht="9.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row>
    <row r="557" spans="1:29" ht="9.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row>
    <row r="558" spans="1:29" ht="9.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row>
    <row r="559" spans="1:29" ht="9.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row>
    <row r="560" spans="1:29" ht="9.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row>
    <row r="561" spans="1:29" ht="9.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row>
    <row r="562" spans="1:29" ht="9.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row>
    <row r="563" spans="1:29" ht="9.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row>
    <row r="564" spans="1:29" ht="9.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row>
    <row r="565" spans="1:29" ht="9.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row>
    <row r="566" spans="1:29" ht="9.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row>
    <row r="567" spans="1:29" ht="9.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row>
    <row r="568" spans="1:29" ht="9.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row>
    <row r="569" spans="1:29" ht="9.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row>
    <row r="570" spans="1:29" ht="9.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row>
    <row r="571" spans="1:29" ht="9.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row>
    <row r="572" spans="1:29" ht="9.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row>
    <row r="573" spans="1:29" ht="9.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row>
    <row r="574" spans="1:29" ht="9.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row>
    <row r="575" spans="1:29" ht="9.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row>
    <row r="576" spans="1:29" ht="9.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row>
    <row r="577" spans="1:29" ht="9.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row>
    <row r="578" spans="1:29" ht="9.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row>
    <row r="579" spans="1:29" ht="9.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row>
    <row r="580" spans="1:29" ht="9.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row>
    <row r="581" spans="1:29" ht="9.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row>
    <row r="582" spans="1:29" ht="9.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row>
    <row r="583" spans="1:29" ht="9.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row>
    <row r="584" spans="1:29" ht="9.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row>
    <row r="585" spans="1:29" ht="9.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row>
    <row r="586" spans="1:29" ht="9.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row>
    <row r="587" spans="1:29" ht="9.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row>
    <row r="588" spans="1:29" ht="9.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row>
    <row r="589" spans="1:29" ht="9.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row>
    <row r="590" spans="1:29" ht="9.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row>
    <row r="591" spans="1:29" ht="9.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row>
    <row r="592" spans="1:29" ht="9.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row>
    <row r="593" spans="1:29" ht="9.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row>
    <row r="594" spans="1:29" ht="9.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row>
    <row r="595" spans="1:29" ht="9.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row>
    <row r="596" spans="1:29" ht="9.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row>
    <row r="597" spans="1:29" ht="9.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row>
    <row r="598" spans="1:29" ht="9.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row>
    <row r="599" spans="1:29" ht="9.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row>
    <row r="600" spans="1:29" ht="9.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row>
    <row r="601" spans="1:29" ht="9.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row>
    <row r="602" spans="1:29" ht="9.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row>
    <row r="603" spans="1:29" ht="9.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row>
    <row r="604" spans="1:29" ht="9.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row>
    <row r="605" spans="1:29" ht="9.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row>
    <row r="606" spans="1:29" ht="9.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row>
    <row r="607" spans="1:29" ht="9.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row>
    <row r="608" spans="1:29" ht="9.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row>
    <row r="609" spans="1:29" ht="9.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row>
    <row r="610" spans="1:29" ht="9.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row>
    <row r="611" spans="1:29" ht="9.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row>
    <row r="612" spans="1:29" ht="9.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row>
    <row r="613" spans="1:29" ht="9.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row>
    <row r="614" spans="1:29" ht="9.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row>
    <row r="615" spans="1:29" ht="9.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row>
    <row r="616" spans="1:29" ht="9.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row>
    <row r="617" spans="1:29" ht="9.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row>
    <row r="618" spans="1:29" ht="9.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row>
    <row r="619" spans="1:29" ht="9.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row>
    <row r="620" spans="1:29" ht="9.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row>
    <row r="621" spans="1:29" ht="9.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row>
    <row r="622" spans="1:29" ht="9.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row>
    <row r="623" spans="1:29" ht="9.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row>
    <row r="624" spans="1:29" ht="9.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row>
    <row r="625" spans="1:29" ht="9.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row>
    <row r="626" spans="1:29" ht="9.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row>
    <row r="627" spans="1:29" ht="9.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row>
    <row r="628" spans="1:29" ht="9.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row>
    <row r="629" spans="1:29" ht="9.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row>
    <row r="630" spans="1:29" ht="9.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row>
    <row r="631" spans="1:29" ht="9.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row>
    <row r="632" spans="1:29" ht="9.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row>
    <row r="633" spans="1:29" ht="9.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row>
    <row r="634" spans="1:29" ht="9.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row>
    <row r="635" spans="1:29" ht="9.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row>
    <row r="636" spans="1:29" ht="9.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row>
    <row r="637" spans="1:29" ht="9.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row>
    <row r="638" spans="1:29" ht="9.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row>
    <row r="639" spans="1:29" ht="9.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row>
    <row r="640" spans="1:29" ht="9.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row>
    <row r="641" spans="1:29" ht="9.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row>
    <row r="642" spans="1:29" ht="9.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row>
    <row r="643" spans="1:29" ht="9.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row>
    <row r="644" spans="1:29" ht="9.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row>
    <row r="645" spans="1:29" ht="9.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row>
    <row r="646" spans="1:29" ht="9.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row>
    <row r="647" spans="1:29" ht="9.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row>
    <row r="648" spans="1:29" ht="9.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row>
    <row r="649" spans="1:29" ht="9.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row>
    <row r="650" spans="1:29" ht="9.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row>
    <row r="651" spans="1:29" ht="9.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row>
    <row r="652" spans="1:29" ht="9.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row>
    <row r="653" spans="1:29" ht="9.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row>
    <row r="654" spans="1:29" ht="9.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row>
    <row r="655" spans="1:29" ht="9.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row>
    <row r="656" spans="1:29" ht="9.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row>
    <row r="657" spans="1:29" ht="9.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row>
    <row r="658" spans="1:29" ht="9.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row>
    <row r="659" spans="1:29" ht="9.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row>
    <row r="660" spans="1:29" ht="9.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row>
    <row r="661" spans="1:29" ht="9.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row>
    <row r="662" spans="1:29" ht="9.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row>
    <row r="663" spans="1:29" ht="9.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row>
    <row r="664" spans="1:29" ht="9.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row>
    <row r="665" spans="1:29" ht="9.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row>
    <row r="666" spans="1:29" ht="9.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row>
    <row r="667" spans="1:29" ht="9.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row>
    <row r="668" spans="1:29" ht="9.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row>
    <row r="669" spans="1:29" ht="9.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row>
    <row r="670" spans="1:29" ht="9.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row>
    <row r="671" spans="1:29" ht="9.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row>
    <row r="672" spans="1:29" ht="9.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row>
    <row r="673" spans="1:29" ht="9.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row>
    <row r="674" spans="1:29" ht="9.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row>
    <row r="675" spans="1:29" ht="9.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row>
    <row r="676" spans="1:29" ht="9.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row>
    <row r="677" spans="1:29" ht="9.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row>
    <row r="678" spans="1:29" ht="9.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row>
    <row r="679" spans="1:29" ht="9.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row>
    <row r="680" spans="1:29" ht="9.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row>
    <row r="681" spans="1:29" ht="9.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row>
    <row r="682" spans="1:29" ht="9.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row>
    <row r="683" spans="1:29" ht="9.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row>
    <row r="684" spans="1:29" ht="9.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row>
    <row r="685" spans="1:29" ht="9.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row>
    <row r="686" spans="1:29" ht="9.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row>
    <row r="687" spans="1:29" ht="9.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row>
    <row r="688" spans="1:29" ht="9.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row>
    <row r="689" spans="1:29" ht="9.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row>
    <row r="690" spans="1:29" ht="9.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row>
    <row r="691" spans="1:29" ht="9.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row>
    <row r="692" spans="1:29" ht="9.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row>
    <row r="693" spans="1:29" ht="9.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row>
    <row r="694" spans="1:29" ht="9.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row>
    <row r="695" spans="1:29" ht="9.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row>
    <row r="696" spans="1:29" ht="9.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row>
    <row r="697" spans="1:29" ht="9.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row>
    <row r="698" spans="1:29" ht="9.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row>
    <row r="699" spans="1:29" ht="9.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row>
    <row r="700" spans="1:29" ht="9.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row>
    <row r="701" spans="1:29" ht="9.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row>
    <row r="702" spans="1:29" ht="9.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row>
    <row r="703" spans="1:29" ht="9.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row>
    <row r="704" spans="1:29" ht="9.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row>
    <row r="705" spans="1:29" ht="9.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row>
    <row r="706" spans="1:29" ht="9.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row>
    <row r="707" spans="1:29" ht="9.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row>
    <row r="708" spans="1:29" ht="9.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row>
    <row r="709" spans="1:29" ht="9.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row>
    <row r="710" spans="1:29" ht="9.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row>
    <row r="711" spans="1:29" ht="9.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row>
    <row r="712" spans="1:29" ht="9.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row>
    <row r="713" spans="1:29" ht="9.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row>
    <row r="714" spans="1:29" ht="9.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row>
    <row r="715" spans="1:29" ht="9.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row>
    <row r="716" spans="1:29" ht="9.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row>
    <row r="717" spans="1:29" ht="9.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row>
    <row r="718" spans="1:29" ht="9.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row>
    <row r="719" spans="1:29" ht="9.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row>
    <row r="720" spans="1:29" ht="9.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row>
    <row r="721" spans="1:29" ht="9.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row>
    <row r="722" spans="1:29" ht="9.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row>
    <row r="723" spans="1:29" ht="9.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row>
    <row r="724" spans="1:29" ht="9.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row>
    <row r="725" spans="1:29" ht="9.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row>
    <row r="726" spans="1:29" ht="9.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row>
    <row r="727" spans="1:29" ht="9.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row>
    <row r="728" spans="1:29" ht="9.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row>
    <row r="729" spans="1:29" ht="9.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row>
    <row r="730" spans="1:29" ht="9.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row>
    <row r="731" spans="1:29" ht="9.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row>
    <row r="732" spans="1:29" ht="9.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row>
    <row r="733" spans="1:29" ht="9.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row>
    <row r="734" spans="1:29" ht="9.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row>
    <row r="735" spans="1:29" ht="9.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row>
    <row r="736" spans="1:29" ht="9.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row>
    <row r="737" spans="1:29" ht="9.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row>
    <row r="738" spans="1:29" ht="9.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row>
    <row r="739" spans="1:29" ht="9.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row>
    <row r="740" spans="1:29" ht="9.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row>
    <row r="741" spans="1:29" ht="9.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row>
    <row r="742" spans="1:29" ht="9.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row>
    <row r="743" spans="1:29" ht="9.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row>
    <row r="744" spans="1:29" ht="9.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row>
    <row r="745" spans="1:29" ht="9.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row>
    <row r="746" spans="1:29" ht="9.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row>
    <row r="747" spans="1:29" ht="9.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row>
    <row r="748" spans="1:29" ht="9.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row>
    <row r="749" spans="1:29" ht="9.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row>
    <row r="750" spans="1:29" ht="9.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row>
    <row r="751" spans="1:29" ht="9.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row>
    <row r="752" spans="1:29" ht="9.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row>
    <row r="753" spans="1:29" ht="9.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row>
    <row r="754" spans="1:29" ht="9.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row>
    <row r="755" spans="1:29" ht="9.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row>
    <row r="756" spans="1:29" ht="9.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row>
    <row r="757" spans="1:29" ht="9.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row>
    <row r="758" spans="1:29" ht="9.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row>
    <row r="759" spans="1:29" ht="9.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row>
    <row r="760" spans="1:29" ht="9.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row>
    <row r="761" spans="1:29" ht="9.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row>
    <row r="762" spans="1:29" ht="9.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row>
    <row r="763" spans="1:29" ht="9.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row>
    <row r="764" spans="1:29" ht="9.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row>
    <row r="765" spans="1:29" ht="9.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row>
    <row r="766" spans="1:29" ht="9.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row>
    <row r="767" spans="1:29" ht="9.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row>
    <row r="768" spans="1:29" ht="9.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row>
    <row r="769" spans="1:29" ht="9.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row>
    <row r="770" spans="1:29" ht="9.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row>
    <row r="771" spans="1:29" ht="9.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row>
    <row r="772" spans="1:29" ht="9.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row>
    <row r="773" spans="1:29" ht="9.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row>
    <row r="774" spans="1:29" ht="9.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row>
    <row r="775" spans="1:29" ht="9.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row>
    <row r="776" spans="1:29" ht="9.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row>
    <row r="777" spans="1:29" ht="9.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row>
    <row r="778" spans="1:29" ht="9.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row>
    <row r="779" spans="1:29" ht="9.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row>
    <row r="780" spans="1:29" ht="9.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row>
    <row r="781" spans="1:29" ht="9.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row>
    <row r="782" spans="1:29" ht="9.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row>
    <row r="783" spans="1:29" ht="9.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row>
    <row r="784" spans="1:29" ht="9.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row>
    <row r="785" spans="1:29" ht="9.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row>
    <row r="786" spans="1:29" ht="9.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row>
    <row r="787" spans="1:29" ht="9.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row>
    <row r="788" spans="1:29" ht="9.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row>
    <row r="789" spans="1:29" ht="9.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row>
    <row r="790" spans="1:29" ht="9.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row>
    <row r="791" spans="1:29" ht="9.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row>
    <row r="792" spans="1:29" ht="9.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row>
    <row r="793" spans="1:29" ht="9.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row>
    <row r="794" spans="1:29" ht="9.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row>
    <row r="795" spans="1:29" ht="9.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row>
    <row r="796" spans="1:29" ht="9.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row>
    <row r="797" spans="1:29" ht="9.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row>
    <row r="798" spans="1:29" ht="9.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row>
    <row r="799" spans="1:29" ht="9.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row>
    <row r="800" spans="1:29" ht="9.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row>
    <row r="801" spans="1:29" ht="9.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row>
    <row r="802" spans="1:29" ht="9.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row>
    <row r="803" spans="1:29" ht="9.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row>
    <row r="804" spans="1:29" ht="9.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row>
    <row r="805" spans="1:29" ht="9.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row>
    <row r="806" spans="1:29" ht="9.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row>
    <row r="807" spans="1:29" ht="9.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row>
    <row r="808" spans="1:29" ht="9.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row>
    <row r="809" spans="1:29" ht="9.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row>
    <row r="810" spans="1:29" ht="9.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row>
    <row r="811" spans="1:29" ht="9.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row>
    <row r="812" spans="1:29" ht="9.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row>
    <row r="813" spans="1:29" ht="9.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row>
    <row r="814" spans="1:29" ht="9.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row>
    <row r="815" spans="1:29" ht="9.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row>
    <row r="816" spans="1:29" ht="9.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row>
    <row r="817" spans="1:29" ht="9.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row>
    <row r="818" spans="1:29" ht="9.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row>
    <row r="819" spans="1:29" ht="9.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row>
    <row r="820" spans="1:29" ht="9.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row>
    <row r="821" spans="1:29" ht="9.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row>
    <row r="822" spans="1:29" ht="9.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row>
    <row r="823" spans="1:29" ht="9.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row>
    <row r="824" spans="1:29" ht="9.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row>
    <row r="825" spans="1:29" ht="9.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row>
    <row r="826" spans="1:29" ht="9.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row>
    <row r="827" spans="1:29" ht="9.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row>
    <row r="828" spans="1:29" ht="9.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row>
    <row r="829" spans="1:29" ht="9.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row>
    <row r="830" spans="1:29" ht="9.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row>
    <row r="831" spans="1:29" ht="9.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row>
    <row r="832" spans="1:29" ht="9.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row>
    <row r="833" spans="1:29" ht="9.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row>
    <row r="834" spans="1:29" ht="9.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row>
    <row r="835" spans="1:29" ht="9.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row>
    <row r="836" spans="1:29" ht="9.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row>
    <row r="837" spans="1:29" ht="9.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row>
    <row r="838" spans="1:29" ht="9.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row>
    <row r="839" spans="1:29" ht="9.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row>
    <row r="840" spans="1:29" ht="9.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row>
    <row r="841" spans="1:29" ht="9.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row>
    <row r="842" spans="1:29" ht="9.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row>
    <row r="843" spans="1:29" ht="9.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row>
    <row r="844" spans="1:29" ht="9.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row>
    <row r="845" spans="1:29" ht="9.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row>
    <row r="846" spans="1:29" ht="9.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row>
    <row r="847" spans="1:29" ht="9.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row>
    <row r="848" spans="1:29" ht="9.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row>
    <row r="849" spans="1:29" ht="9.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row>
    <row r="850" spans="1:29" ht="9.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row>
    <row r="851" spans="1:29" ht="9.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row>
    <row r="852" spans="1:29" ht="9.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row>
    <row r="853" spans="1:29" ht="9.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row>
    <row r="854" spans="1:29" ht="9.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row>
    <row r="855" spans="1:29" ht="9.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row>
    <row r="856" spans="1:29" ht="9.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row>
    <row r="857" spans="1:29" ht="9.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row>
    <row r="858" spans="1:29" ht="9.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row>
    <row r="859" spans="1:29" ht="9.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row>
    <row r="860" spans="1:29" ht="9.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row>
    <row r="861" spans="1:29" ht="9.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row>
    <row r="862" spans="1:29" ht="9.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row>
    <row r="863" spans="1:29" ht="9.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row>
    <row r="864" spans="1:29" ht="9.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row>
    <row r="865" spans="1:29" ht="9.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row>
    <row r="866" spans="1:29" ht="9.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row>
    <row r="867" spans="1:29" ht="9.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row>
    <row r="868" spans="1:29" ht="9.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row>
    <row r="869" spans="1:29" ht="9.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row>
    <row r="870" spans="1:29" ht="9.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row>
    <row r="871" spans="1:29" ht="9.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row>
    <row r="872" spans="1:29" ht="9.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row>
    <row r="873" spans="1:29" ht="9.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row>
    <row r="874" spans="1:29" ht="9.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row>
    <row r="875" spans="1:29" ht="9.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row>
    <row r="876" spans="1:29" ht="9.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row>
    <row r="877" spans="1:29" ht="9.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row>
    <row r="878" spans="1:29" ht="9.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row>
    <row r="879" spans="1:29" ht="9.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row>
    <row r="880" spans="1:29" ht="9.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row>
    <row r="881" spans="1:29" ht="9.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row>
    <row r="882" spans="1:29" ht="9.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row>
    <row r="883" spans="1:29" ht="9.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row>
    <row r="884" spans="1:29" ht="9.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row>
    <row r="885" spans="1:29" ht="9.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row>
    <row r="886" spans="1:29" ht="9.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row>
    <row r="887" spans="1:29" ht="9.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row>
    <row r="888" spans="1:29" ht="9.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row>
    <row r="889" spans="1:29" ht="9.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row>
    <row r="890" spans="1:29" ht="9.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row>
    <row r="891" spans="1:29" ht="9.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row>
    <row r="892" spans="1:29" ht="9.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row>
    <row r="893" spans="1:29" ht="9.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row>
    <row r="894" spans="1:29" ht="9.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row>
    <row r="895" spans="1:29" ht="9.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row>
    <row r="896" spans="1:29" ht="9.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row>
    <row r="897" spans="1:29" ht="9.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row>
    <row r="898" spans="1:29" ht="9.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row>
    <row r="899" spans="1:29" ht="9.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row>
    <row r="900" spans="1:29" ht="9.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row>
    <row r="901" spans="1:29" ht="9.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row>
    <row r="902" spans="1:29" ht="9.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row>
    <row r="903" spans="1:29" ht="9.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row>
    <row r="904" spans="1:29" ht="9.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row>
    <row r="905" spans="1:29" ht="9.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row>
    <row r="906" spans="1:29" ht="9.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row>
    <row r="907" spans="1:29" ht="9.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row>
    <row r="908" spans="1:29" ht="9.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row>
    <row r="909" spans="1:29" ht="9.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row>
    <row r="910" spans="1:29" ht="9.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row>
    <row r="911" spans="1:29" ht="9.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row>
    <row r="912" spans="1:29" ht="9.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row>
    <row r="913" spans="1:29" ht="9.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row>
    <row r="914" spans="1:29" ht="9.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row>
    <row r="915" spans="1:29" ht="9.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row>
    <row r="916" spans="1:29" ht="9.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row>
    <row r="917" spans="1:29" ht="9.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row>
    <row r="918" spans="1:29" ht="9.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row>
    <row r="919" spans="1:29" ht="9.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row>
    <row r="920" spans="1:29" ht="9.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row>
    <row r="921" spans="1:29" ht="9.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row>
    <row r="922" spans="1:29" ht="9.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row>
    <row r="923" spans="1:29" ht="9.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row>
    <row r="924" spans="1:29" ht="9.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row>
    <row r="925" spans="1:29" ht="9.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row>
    <row r="926" spans="1:29" ht="9.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row>
    <row r="927" spans="1:29" ht="9.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row>
    <row r="928" spans="1:29" ht="9.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row>
    <row r="929" spans="1:29" ht="9.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row>
    <row r="930" spans="1:29" ht="9.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row>
    <row r="931" spans="1:29" ht="9.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row>
    <row r="932" spans="1:29" ht="9.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row>
    <row r="933" spans="1:29" ht="9.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row>
    <row r="934" spans="1:29" ht="9.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row>
    <row r="935" spans="1:29" ht="9.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row>
    <row r="936" spans="1:29" ht="9.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row>
    <row r="937" spans="1:29" ht="9.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row>
    <row r="938" spans="1:29" ht="9.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row>
    <row r="939" spans="1:29" ht="9.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row>
    <row r="940" spans="1:29" ht="9.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row>
    <row r="941" spans="1:29" ht="9.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row>
    <row r="942" spans="1:29" ht="9.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row>
    <row r="943" spans="1:29" ht="9.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row>
    <row r="944" spans="1:29" ht="9.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row>
    <row r="945" spans="1:29" ht="9.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row>
    <row r="946" spans="1:29" ht="9.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row>
    <row r="947" spans="1:29" ht="9.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row>
    <row r="948" spans="1:29" ht="9.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row>
    <row r="949" spans="1:29" ht="9.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row>
    <row r="950" spans="1:29" ht="9.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row>
    <row r="951" spans="1:29" ht="9.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row>
    <row r="952" spans="1:29" ht="9.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row>
    <row r="953" spans="1:29" ht="9.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row>
    <row r="954" spans="1:29" ht="9.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row>
    <row r="955" spans="1:29" ht="9.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row>
    <row r="956" spans="1:29" ht="9.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row>
    <row r="957" spans="1:29" ht="9.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row>
    <row r="958" spans="1:29" ht="9.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row>
    <row r="959" spans="1:29" ht="9.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row>
    <row r="960" spans="1:29" ht="9.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row>
    <row r="961" spans="1:29" ht="9.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row>
    <row r="962" spans="1:29" ht="9.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row>
    <row r="963" spans="1:29" ht="9.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row>
    <row r="964" spans="1:29" ht="9.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row>
    <row r="965" spans="1:29" ht="9.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row>
    <row r="966" spans="1:29" ht="9.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row>
    <row r="967" spans="1:29" ht="9.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row>
    <row r="968" spans="1:29" ht="9.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row>
    <row r="969" spans="1:29" ht="9.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row>
    <row r="970" spans="1:29" ht="9.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row>
    <row r="971" spans="1:29" ht="9.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row>
    <row r="972" spans="1:29" ht="9.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row>
    <row r="973" spans="1:29" ht="9.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row>
    <row r="974" spans="1:29" ht="9.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row>
    <row r="975" spans="1:29" ht="9.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row>
    <row r="976" spans="1:29" ht="9.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row>
    <row r="977" spans="1:29" ht="9.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row>
    <row r="978" spans="1:29" ht="9.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row>
    <row r="979" spans="1:29" ht="9.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row>
    <row r="980" spans="1:29" ht="9.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row>
    <row r="981" spans="1:29" ht="9.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row>
    <row r="982" spans="1:29" ht="9.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row>
    <row r="983" spans="1:29" ht="9.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row>
    <row r="984" spans="1:29" ht="9.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row>
    <row r="985" spans="1:29" ht="9.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row>
    <row r="986" spans="1:29" ht="9.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row>
    <row r="987" spans="1:29" ht="9.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row>
    <row r="988" spans="1:29" ht="9.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row>
    <row r="989" spans="1:29" ht="9.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row>
    <row r="990" spans="1:29" ht="9.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row>
    <row r="991" spans="1:29" ht="9.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row>
    <row r="992" spans="1:29" ht="9.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row>
    <row r="993" spans="1:29" ht="9.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row>
    <row r="994" spans="1:29" ht="9.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row>
    <row r="995" spans="1:29" ht="9.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row>
    <row r="996" spans="1:29" ht="9.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row>
    <row r="997" spans="1:29" ht="9.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row>
    <row r="998" spans="1:29" ht="9.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row>
    <row r="999" spans="1:29" ht="9.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row>
    <row r="1000" spans="1:29" ht="9.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row>
    <row r="1001" spans="1:29" ht="9.75" customHeight="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row>
    <row r="1002" spans="1:29" ht="9.75" customHeight="1">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c r="AC1002" s="23"/>
    </row>
    <row r="1003" spans="1:29" ht="9.75" customHeight="1">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c r="AC1003" s="23"/>
    </row>
    <row r="1004" spans="1:29" ht="9.75" customHeight="1">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c r="AC1004" s="23"/>
    </row>
  </sheetData>
  <sheetProtection algorithmName="SHA-512" hashValue="Vl8BNuqJRk6H1+jKgbx7lfuQ1ohs0O2c+/6usa3J8WdePe6A+AyogNnj6kUNsXeTwjd0ui0qKM+IbAC08NAxRA==" saltValue="3dFHAB0jPIoHluGKTo8MdA==" spinCount="100000" sheet="1" objects="1" scenarios="1"/>
  <dataValidations count="1">
    <dataValidation type="list" allowBlank="1" showInputMessage="1" prompt="Select the corresponding asphalt type. " sqref="C49" xr:uid="{00000000-0002-0000-0100-000000000000}">
      <formula1>$B$37:$B$44</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3"/>
  <sheetViews>
    <sheetView workbookViewId="0">
      <selection activeCell="B3" sqref="B2:B3"/>
    </sheetView>
  </sheetViews>
  <sheetFormatPr defaultColWidth="16.7109375" defaultRowHeight="15" customHeight="1"/>
  <cols>
    <col min="1" max="1" width="2.42578125" customWidth="1"/>
    <col min="2" max="2" width="62.28515625" customWidth="1"/>
    <col min="3" max="7" width="45.7109375" customWidth="1"/>
    <col min="8" max="26" width="10.7109375" customWidth="1"/>
  </cols>
  <sheetData>
    <row r="1" spans="1:26" ht="7.5" customHeight="1">
      <c r="A1" s="28"/>
      <c r="B1" s="29"/>
      <c r="C1" s="29"/>
      <c r="D1" s="29"/>
      <c r="E1" s="30"/>
      <c r="F1" s="28"/>
      <c r="G1" s="28"/>
      <c r="H1" s="28"/>
      <c r="I1" s="28"/>
      <c r="J1" s="28"/>
      <c r="K1" s="28"/>
      <c r="L1" s="28"/>
      <c r="M1" s="28"/>
      <c r="N1" s="28"/>
      <c r="O1" s="28"/>
      <c r="P1" s="28"/>
      <c r="Q1" s="28"/>
      <c r="R1" s="28"/>
      <c r="S1" s="28"/>
      <c r="T1" s="28"/>
      <c r="U1" s="28"/>
      <c r="V1" s="28"/>
      <c r="W1" s="28"/>
      <c r="X1" s="28"/>
      <c r="Y1" s="28"/>
      <c r="Z1" s="28"/>
    </row>
    <row r="2" spans="1:26" ht="18" customHeight="1">
      <c r="A2" s="28"/>
      <c r="B2" s="31" t="s">
        <v>75</v>
      </c>
      <c r="C2" s="29"/>
      <c r="D2" s="29"/>
      <c r="E2" s="30"/>
      <c r="F2" s="28"/>
      <c r="G2" s="28"/>
      <c r="H2" s="28"/>
      <c r="I2" s="28"/>
      <c r="J2" s="28"/>
      <c r="K2" s="28"/>
      <c r="L2" s="28"/>
      <c r="M2" s="28"/>
      <c r="N2" s="28"/>
      <c r="O2" s="28"/>
      <c r="P2" s="28"/>
      <c r="Q2" s="28"/>
      <c r="R2" s="28"/>
      <c r="S2" s="28"/>
      <c r="T2" s="28"/>
      <c r="U2" s="28"/>
      <c r="V2" s="28"/>
      <c r="W2" s="28"/>
      <c r="X2" s="28"/>
      <c r="Y2" s="28"/>
      <c r="Z2" s="28"/>
    </row>
    <row r="3" spans="1:26" ht="15.75" customHeight="1">
      <c r="A3" s="28"/>
      <c r="B3" s="29" t="s">
        <v>1490</v>
      </c>
      <c r="C3" s="29"/>
      <c r="D3" s="29"/>
      <c r="E3" s="30"/>
      <c r="F3" s="28"/>
      <c r="G3" s="28"/>
      <c r="H3" s="28"/>
      <c r="I3" s="28"/>
      <c r="J3" s="28"/>
      <c r="K3" s="28"/>
      <c r="L3" s="28"/>
      <c r="M3" s="28"/>
      <c r="N3" s="28"/>
      <c r="O3" s="28"/>
      <c r="P3" s="28"/>
      <c r="Q3" s="28"/>
      <c r="R3" s="28"/>
      <c r="S3" s="28"/>
      <c r="T3" s="28"/>
      <c r="U3" s="28"/>
      <c r="V3" s="28"/>
      <c r="W3" s="28"/>
      <c r="X3" s="28"/>
      <c r="Y3" s="28"/>
      <c r="Z3" s="28"/>
    </row>
    <row r="4" spans="1:26" ht="15.75" customHeight="1">
      <c r="A4" s="28"/>
      <c r="B4" s="29" t="s">
        <v>1383</v>
      </c>
      <c r="C4" s="29"/>
      <c r="D4" s="29"/>
      <c r="E4" s="30"/>
      <c r="F4" s="28"/>
      <c r="G4" s="28"/>
      <c r="H4" s="28"/>
      <c r="I4" s="28"/>
      <c r="J4" s="28"/>
      <c r="K4" s="28"/>
      <c r="L4" s="28"/>
      <c r="M4" s="28"/>
      <c r="N4" s="28"/>
      <c r="O4" s="28"/>
      <c r="P4" s="28"/>
      <c r="Q4" s="28"/>
      <c r="R4" s="28"/>
      <c r="S4" s="28"/>
      <c r="T4" s="28"/>
      <c r="U4" s="28"/>
      <c r="V4" s="28"/>
      <c r="W4" s="28"/>
      <c r="X4" s="28"/>
      <c r="Y4" s="28"/>
      <c r="Z4" s="28"/>
    </row>
    <row r="5" spans="1:26" ht="15.75" customHeight="1">
      <c r="A5" s="28"/>
      <c r="B5" s="29" t="s">
        <v>1491</v>
      </c>
      <c r="C5" s="29"/>
      <c r="D5" s="29"/>
      <c r="E5" s="30"/>
      <c r="F5" s="28"/>
      <c r="G5" s="28"/>
      <c r="H5" s="28"/>
      <c r="I5" s="28"/>
      <c r="J5" s="28"/>
      <c r="K5" s="28"/>
      <c r="L5" s="28"/>
      <c r="M5" s="28"/>
      <c r="N5" s="28"/>
      <c r="O5" s="28"/>
      <c r="P5" s="28"/>
      <c r="Q5" s="28"/>
      <c r="R5" s="28"/>
      <c r="S5" s="28"/>
      <c r="T5" s="28"/>
      <c r="U5" s="28"/>
      <c r="V5" s="28"/>
      <c r="W5" s="28"/>
      <c r="X5" s="28"/>
      <c r="Y5" s="28"/>
      <c r="Z5" s="28"/>
    </row>
    <row r="6" spans="1:26" ht="15.75" customHeight="1">
      <c r="A6" s="28"/>
      <c r="B6" s="29" t="s">
        <v>77</v>
      </c>
      <c r="C6" s="29"/>
      <c r="D6" s="29"/>
      <c r="E6" s="30"/>
      <c r="F6" s="28"/>
      <c r="G6" s="28"/>
      <c r="H6" s="28"/>
      <c r="I6" s="28"/>
      <c r="J6" s="28"/>
      <c r="K6" s="28"/>
      <c r="L6" s="28"/>
      <c r="M6" s="28"/>
      <c r="N6" s="28"/>
      <c r="O6" s="28"/>
      <c r="P6" s="28"/>
      <c r="Q6" s="28"/>
      <c r="R6" s="28"/>
      <c r="S6" s="28"/>
      <c r="T6" s="28"/>
      <c r="U6" s="28"/>
      <c r="V6" s="28"/>
      <c r="W6" s="28"/>
      <c r="X6" s="28"/>
      <c r="Y6" s="28"/>
      <c r="Z6" s="28"/>
    </row>
    <row r="7" spans="1:26" ht="15.75" customHeight="1">
      <c r="A7" s="28"/>
      <c r="B7" s="29" t="s">
        <v>1492</v>
      </c>
      <c r="C7" s="29"/>
      <c r="D7" s="29"/>
      <c r="E7" s="30"/>
      <c r="F7" s="28"/>
      <c r="G7" s="28"/>
      <c r="H7" s="28"/>
      <c r="I7" s="28"/>
      <c r="J7" s="28"/>
      <c r="K7" s="28"/>
      <c r="L7" s="28"/>
      <c r="M7" s="28"/>
      <c r="N7" s="28"/>
      <c r="O7" s="28"/>
      <c r="P7" s="28"/>
      <c r="Q7" s="28"/>
      <c r="R7" s="28"/>
      <c r="S7" s="28"/>
      <c r="T7" s="28"/>
      <c r="U7" s="28"/>
      <c r="V7" s="28"/>
      <c r="W7" s="28"/>
      <c r="X7" s="28"/>
      <c r="Y7" s="28"/>
      <c r="Z7" s="28"/>
    </row>
    <row r="8" spans="1:26" ht="15.75" customHeight="1">
      <c r="A8" s="28"/>
      <c r="B8" s="29" t="s">
        <v>78</v>
      </c>
      <c r="C8" s="29"/>
      <c r="D8" s="29"/>
      <c r="E8" s="30"/>
      <c r="F8" s="28"/>
      <c r="G8" s="28"/>
      <c r="H8" s="28"/>
      <c r="I8" s="28"/>
      <c r="J8" s="28"/>
      <c r="K8" s="28"/>
      <c r="L8" s="28"/>
      <c r="M8" s="28"/>
      <c r="N8" s="28"/>
      <c r="O8" s="28"/>
      <c r="P8" s="28"/>
      <c r="Q8" s="28"/>
      <c r="R8" s="28"/>
      <c r="S8" s="28"/>
      <c r="T8" s="28"/>
      <c r="U8" s="28"/>
      <c r="V8" s="28"/>
      <c r="W8" s="28"/>
      <c r="X8" s="28"/>
      <c r="Y8" s="28"/>
      <c r="Z8" s="28"/>
    </row>
    <row r="9" spans="1:26" ht="15.75" customHeight="1">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2" customHeight="1">
      <c r="A10" s="28"/>
      <c r="B10" s="32" t="s">
        <v>79</v>
      </c>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36" customHeight="1">
      <c r="A11" s="28"/>
      <c r="B11" s="8" t="s">
        <v>1481</v>
      </c>
      <c r="C11" s="8" t="s">
        <v>1441</v>
      </c>
      <c r="D11" s="8" t="s">
        <v>1442</v>
      </c>
      <c r="E11" s="8" t="s">
        <v>41</v>
      </c>
      <c r="F11" s="28"/>
      <c r="G11" s="28"/>
      <c r="H11" s="28"/>
      <c r="I11" s="28"/>
      <c r="J11" s="28"/>
      <c r="K11" s="28"/>
      <c r="L11" s="28"/>
      <c r="M11" s="28"/>
      <c r="N11" s="28"/>
      <c r="O11" s="28"/>
      <c r="P11" s="28"/>
      <c r="Q11" s="28"/>
      <c r="R11" s="28"/>
      <c r="S11" s="28"/>
      <c r="T11" s="28"/>
      <c r="U11" s="28"/>
      <c r="V11" s="28"/>
      <c r="W11" s="28"/>
      <c r="X11" s="28"/>
      <c r="Y11" s="28"/>
      <c r="Z11" s="28"/>
    </row>
    <row r="12" spans="1:26" ht="13.5" customHeight="1">
      <c r="A12" s="28"/>
      <c r="B12" s="17" t="s">
        <v>1408</v>
      </c>
      <c r="C12" s="27">
        <f>SUMIFS($D$23:$D$507,$C$23:$C$507,B12)</f>
        <v>32653.200000000001</v>
      </c>
      <c r="D12" s="27">
        <f>SUMIFS($F$23:$F$507,$C$23:$C$507,B12)</f>
        <v>16326.6</v>
      </c>
      <c r="E12" s="27">
        <f>SUMIFS($G$23:$G$507,$C$23:$C$507,B12)</f>
        <v>4800.0203999999994</v>
      </c>
      <c r="F12" s="28"/>
      <c r="G12" s="28"/>
      <c r="H12" s="28"/>
      <c r="I12" s="28"/>
      <c r="J12" s="28"/>
      <c r="K12" s="28"/>
      <c r="L12" s="28"/>
      <c r="M12" s="28"/>
      <c r="N12" s="28"/>
      <c r="O12" s="28"/>
      <c r="P12" s="28"/>
      <c r="Q12" s="28"/>
      <c r="R12" s="28"/>
      <c r="S12" s="28"/>
      <c r="T12" s="28"/>
      <c r="U12" s="28"/>
      <c r="V12" s="28"/>
      <c r="W12" s="28"/>
      <c r="X12" s="28"/>
      <c r="Y12" s="28"/>
      <c r="Z12" s="28"/>
    </row>
    <row r="13" spans="1:26" ht="13.5" customHeight="1">
      <c r="A13" s="28"/>
      <c r="B13" s="18" t="s">
        <v>1409</v>
      </c>
      <c r="C13" s="27">
        <f>SUMIFS($D$23:$D$507,$C$23:$C$507,B13)</f>
        <v>131632.6</v>
      </c>
      <c r="D13" s="27">
        <f>SUMIFS($F$23:$F$507,$C$23:$C$507,B13)</f>
        <v>122449</v>
      </c>
      <c r="E13" s="27">
        <f>SUMIFS($G$23:$G$507,$C$23:$C$507,B13)</f>
        <v>61346.949000000001</v>
      </c>
      <c r="F13" s="28"/>
      <c r="G13" s="28"/>
      <c r="H13" s="28"/>
      <c r="I13" s="28"/>
      <c r="J13" s="28"/>
      <c r="K13" s="28"/>
      <c r="L13" s="28"/>
      <c r="M13" s="28"/>
      <c r="N13" s="28"/>
      <c r="O13" s="28"/>
      <c r="P13" s="28"/>
      <c r="Q13" s="28"/>
      <c r="R13" s="28"/>
      <c r="S13" s="28"/>
      <c r="T13" s="28"/>
      <c r="U13" s="28"/>
      <c r="V13" s="28"/>
      <c r="W13" s="28"/>
      <c r="X13" s="28"/>
      <c r="Y13" s="28"/>
      <c r="Z13" s="28"/>
    </row>
    <row r="14" spans="1:26" ht="13.5" customHeight="1">
      <c r="A14" s="28"/>
      <c r="B14" s="17" t="s">
        <v>1387</v>
      </c>
      <c r="C14" s="27">
        <f>SUMIFS($D$23:$D$507,$C$23:$C$507,B14)</f>
        <v>4761.8</v>
      </c>
      <c r="D14" s="27">
        <f>SUMIFS($F$23:$F$507,$C$23:$C$507,B14)</f>
        <v>0</v>
      </c>
      <c r="E14" s="27">
        <f>SUMIFS($G$23:$G$507,$C$23:$C$507,B14)</f>
        <v>0</v>
      </c>
      <c r="F14" s="28"/>
      <c r="G14" s="28"/>
      <c r="H14" s="28"/>
      <c r="I14" s="28"/>
      <c r="J14" s="28"/>
      <c r="K14" s="28"/>
      <c r="L14" s="28"/>
      <c r="M14" s="28"/>
      <c r="N14" s="28"/>
      <c r="O14" s="28"/>
      <c r="P14" s="28"/>
      <c r="Q14" s="28"/>
      <c r="R14" s="28"/>
      <c r="S14" s="28"/>
      <c r="T14" s="28"/>
      <c r="U14" s="28"/>
      <c r="V14" s="28"/>
      <c r="W14" s="28"/>
      <c r="X14" s="28"/>
      <c r="Y14" s="28"/>
      <c r="Z14" s="28"/>
    </row>
    <row r="15" spans="1:26" ht="13.5" customHeight="1">
      <c r="A15" s="28"/>
      <c r="B15" s="18" t="s">
        <v>44</v>
      </c>
      <c r="C15" s="27">
        <f>SUMIFS($D$23:$D$507,$C$23:$C$507,B15)</f>
        <v>0</v>
      </c>
      <c r="D15" s="27">
        <f>SUMIFS($F$23:$F$507,$C$23:$C$507,B15)</f>
        <v>0</v>
      </c>
      <c r="E15" s="27">
        <f>SUMIFS($G$23:$G$507,$C$23:$C$507,B15)</f>
        <v>0</v>
      </c>
      <c r="F15" s="28"/>
      <c r="G15" s="28"/>
      <c r="H15" s="28"/>
      <c r="I15" s="28"/>
      <c r="J15" s="28"/>
      <c r="K15" s="28"/>
      <c r="L15" s="28"/>
      <c r="M15" s="28"/>
      <c r="N15" s="28"/>
      <c r="O15" s="28"/>
      <c r="P15" s="28"/>
      <c r="Q15" s="28"/>
      <c r="R15" s="28"/>
      <c r="S15" s="28"/>
      <c r="T15" s="28"/>
      <c r="U15" s="28"/>
      <c r="V15" s="28"/>
      <c r="W15" s="28"/>
      <c r="X15" s="28"/>
      <c r="Y15" s="28"/>
      <c r="Z15" s="28"/>
    </row>
    <row r="16" spans="1:26" ht="13.5" customHeight="1">
      <c r="A16" s="28"/>
      <c r="B16" s="17" t="s">
        <v>43</v>
      </c>
      <c r="C16" s="27">
        <f>SUMIFS($D$23:$D$507,$C$23:$C$507,B16)</f>
        <v>24830.1</v>
      </c>
      <c r="D16" s="27">
        <f>SUMIFS($F$23:$F$507,$C$23:$C$507,B16)</f>
        <v>0</v>
      </c>
      <c r="E16" s="27">
        <f>SUMIFS($G$23:$G$507,$C$23:$C$507,B16)</f>
        <v>0</v>
      </c>
      <c r="F16" s="28"/>
      <c r="G16" s="28"/>
      <c r="H16" s="28"/>
      <c r="I16" s="28"/>
      <c r="J16" s="28"/>
      <c r="K16" s="28"/>
      <c r="L16" s="28"/>
      <c r="M16" s="28"/>
      <c r="N16" s="28"/>
      <c r="O16" s="28"/>
      <c r="P16" s="28"/>
      <c r="Q16" s="28"/>
      <c r="R16" s="28"/>
      <c r="S16" s="28"/>
      <c r="T16" s="28"/>
      <c r="U16" s="28"/>
      <c r="V16" s="28"/>
      <c r="W16" s="28"/>
      <c r="X16" s="28"/>
      <c r="Y16" s="28"/>
      <c r="Z16" s="28"/>
    </row>
    <row r="17" spans="1:26" ht="13.5" customHeight="1">
      <c r="A17" s="28"/>
      <c r="B17" s="18" t="s">
        <v>1411</v>
      </c>
      <c r="C17" s="27">
        <f t="shared" ref="C17:C19" si="0">SUMIFS($D$23:$D$507,$C$23:$C$507,B17)</f>
        <v>0</v>
      </c>
      <c r="D17" s="27">
        <f t="shared" ref="D17:D19" si="1">SUMIFS($F$23:$F$507,$C$23:$C$507,B17)</f>
        <v>0</v>
      </c>
      <c r="E17" s="27">
        <f t="shared" ref="E17:E19" si="2">SUMIFS($G$23:$G$507,$C$23:$C$507,B17)</f>
        <v>0</v>
      </c>
      <c r="F17" s="28"/>
      <c r="G17" s="28"/>
      <c r="H17" s="28"/>
      <c r="I17" s="28"/>
      <c r="J17" s="28"/>
      <c r="K17" s="28"/>
      <c r="L17" s="28"/>
      <c r="M17" s="28"/>
      <c r="N17" s="28"/>
      <c r="O17" s="28"/>
      <c r="P17" s="28"/>
      <c r="Q17" s="28"/>
      <c r="R17" s="28"/>
      <c r="S17" s="28"/>
      <c r="T17" s="28"/>
      <c r="U17" s="28"/>
      <c r="V17" s="28"/>
      <c r="W17" s="28"/>
      <c r="X17" s="28"/>
      <c r="Y17" s="28"/>
      <c r="Z17" s="28"/>
    </row>
    <row r="18" spans="1:26" ht="13.5" customHeight="1">
      <c r="A18" s="28"/>
      <c r="B18" s="17" t="s">
        <v>1410</v>
      </c>
      <c r="C18" s="27">
        <f t="shared" si="0"/>
        <v>0</v>
      </c>
      <c r="D18" s="27">
        <f t="shared" si="1"/>
        <v>0</v>
      </c>
      <c r="E18" s="27">
        <f t="shared" si="2"/>
        <v>0</v>
      </c>
      <c r="F18" s="28"/>
      <c r="G18" s="28"/>
      <c r="H18" s="28"/>
      <c r="I18" s="28"/>
      <c r="J18" s="28"/>
      <c r="K18" s="28"/>
      <c r="L18" s="28"/>
      <c r="M18" s="28"/>
      <c r="N18" s="28"/>
      <c r="O18" s="28"/>
      <c r="P18" s="28"/>
      <c r="Q18" s="28"/>
      <c r="R18" s="28"/>
      <c r="S18" s="28"/>
      <c r="T18" s="28"/>
      <c r="U18" s="28"/>
      <c r="V18" s="28"/>
      <c r="W18" s="28"/>
      <c r="X18" s="28"/>
      <c r="Y18" s="28"/>
      <c r="Z18" s="28"/>
    </row>
    <row r="19" spans="1:26" ht="13.5" customHeight="1">
      <c r="A19" s="28"/>
      <c r="B19" s="18" t="s">
        <v>1392</v>
      </c>
      <c r="C19" s="27">
        <f t="shared" si="0"/>
        <v>0</v>
      </c>
      <c r="D19" s="27">
        <f t="shared" si="1"/>
        <v>0</v>
      </c>
      <c r="E19" s="27">
        <f t="shared" si="2"/>
        <v>0</v>
      </c>
      <c r="F19" s="28"/>
      <c r="G19" s="28"/>
      <c r="H19" s="28"/>
      <c r="I19" s="28"/>
      <c r="J19" s="28"/>
      <c r="K19" s="28"/>
      <c r="L19" s="28"/>
      <c r="M19" s="28"/>
      <c r="N19" s="28"/>
      <c r="O19" s="28"/>
      <c r="P19" s="28"/>
      <c r="Q19" s="28"/>
      <c r="R19" s="28"/>
      <c r="S19" s="28"/>
      <c r="T19" s="28"/>
      <c r="U19" s="28"/>
      <c r="V19" s="28"/>
      <c r="W19" s="28"/>
      <c r="X19" s="28"/>
      <c r="Y19" s="28"/>
      <c r="Z19" s="28"/>
    </row>
    <row r="20" spans="1:26" ht="13.5" customHeight="1">
      <c r="A20" s="28"/>
      <c r="B20" s="8" t="s">
        <v>45</v>
      </c>
      <c r="C20" s="19">
        <f>SUM(C12:C19)</f>
        <v>193877.7</v>
      </c>
      <c r="D20" s="19">
        <f>SUM(D12:D19)</f>
        <v>138775.6</v>
      </c>
      <c r="E20" s="19">
        <f>SUM(E12:E19)</f>
        <v>66146.969400000002</v>
      </c>
      <c r="F20" s="28"/>
      <c r="G20" s="28"/>
      <c r="H20" s="28"/>
      <c r="I20" s="28"/>
      <c r="J20" s="28"/>
      <c r="K20" s="28"/>
      <c r="L20" s="28"/>
      <c r="M20" s="28"/>
      <c r="N20" s="28"/>
      <c r="O20" s="28"/>
      <c r="P20" s="28"/>
      <c r="Q20" s="28"/>
      <c r="R20" s="28"/>
      <c r="S20" s="28"/>
      <c r="T20" s="28"/>
      <c r="U20" s="28"/>
      <c r="V20" s="28"/>
      <c r="W20" s="28"/>
      <c r="X20" s="28"/>
      <c r="Y20" s="28"/>
      <c r="Z20" s="28"/>
    </row>
    <row r="21" spans="1:26" ht="18"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8" customHeight="1">
      <c r="A22" s="28"/>
      <c r="B22" s="32" t="s">
        <v>80</v>
      </c>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3.5" customHeight="1">
      <c r="A23" s="28"/>
      <c r="B23" s="504" t="s">
        <v>81</v>
      </c>
      <c r="C23" s="8" t="s">
        <v>1481</v>
      </c>
      <c r="D23" s="504" t="s">
        <v>82</v>
      </c>
      <c r="E23" s="504" t="s">
        <v>1493</v>
      </c>
      <c r="F23" s="504" t="s">
        <v>83</v>
      </c>
      <c r="G23" s="504" t="s">
        <v>84</v>
      </c>
      <c r="H23" s="28"/>
      <c r="I23" s="28"/>
      <c r="J23" s="28"/>
      <c r="K23" s="28"/>
      <c r="L23" s="28"/>
      <c r="M23" s="28"/>
      <c r="N23" s="28"/>
      <c r="O23" s="28"/>
      <c r="P23" s="28"/>
      <c r="Q23" s="28"/>
      <c r="R23" s="28"/>
      <c r="S23" s="28"/>
      <c r="T23" s="28"/>
      <c r="U23" s="28"/>
      <c r="V23" s="28"/>
      <c r="W23" s="28"/>
      <c r="X23" s="28"/>
      <c r="Y23" s="28"/>
      <c r="Z23" s="28"/>
    </row>
    <row r="24" spans="1:26" ht="13.5" customHeight="1">
      <c r="A24" s="28"/>
      <c r="B24" s="708" t="s">
        <v>85</v>
      </c>
      <c r="C24" s="708" t="s">
        <v>1408</v>
      </c>
      <c r="D24" s="708">
        <v>8163.3</v>
      </c>
      <c r="E24" s="709">
        <v>0</v>
      </c>
      <c r="F24" s="33">
        <f t="shared" ref="F24:F174" si="3">IF(GESTEP(E24,0.0001),D24,0)</f>
        <v>0</v>
      </c>
      <c r="G24" s="33">
        <f t="shared" ref="G24:G174" si="4">D24*E24</f>
        <v>0</v>
      </c>
      <c r="H24" s="28"/>
      <c r="I24" s="28"/>
      <c r="J24" s="28"/>
      <c r="K24" s="28"/>
      <c r="L24" s="28"/>
      <c r="M24" s="28"/>
      <c r="N24" s="28"/>
      <c r="O24" s="28"/>
      <c r="P24" s="28"/>
      <c r="Q24" s="28"/>
      <c r="R24" s="28"/>
      <c r="S24" s="28"/>
      <c r="T24" s="28"/>
      <c r="U24" s="28"/>
      <c r="V24" s="28"/>
      <c r="W24" s="28"/>
      <c r="X24" s="28"/>
      <c r="Y24" s="28"/>
      <c r="Z24" s="28"/>
    </row>
    <row r="25" spans="1:26" ht="13.5" customHeight="1">
      <c r="A25" s="28"/>
      <c r="B25" s="708" t="s">
        <v>86</v>
      </c>
      <c r="C25" s="708" t="s">
        <v>1408</v>
      </c>
      <c r="D25" s="708">
        <v>8163.3</v>
      </c>
      <c r="E25" s="709">
        <v>0.29399999999999998</v>
      </c>
      <c r="F25" s="33">
        <f t="shared" si="3"/>
        <v>8163.3</v>
      </c>
      <c r="G25" s="33">
        <f t="shared" si="4"/>
        <v>2400.0101999999997</v>
      </c>
      <c r="H25" s="28"/>
      <c r="I25" s="28"/>
      <c r="J25" s="28"/>
      <c r="K25" s="28"/>
      <c r="L25" s="28"/>
      <c r="M25" s="28"/>
      <c r="N25" s="28"/>
      <c r="O25" s="28"/>
      <c r="P25" s="28"/>
      <c r="Q25" s="28"/>
      <c r="R25" s="28"/>
      <c r="S25" s="28"/>
      <c r="T25" s="28"/>
      <c r="U25" s="28"/>
      <c r="V25" s="28"/>
      <c r="W25" s="28"/>
      <c r="X25" s="28"/>
      <c r="Y25" s="28"/>
      <c r="Z25" s="28"/>
    </row>
    <row r="26" spans="1:26" ht="13.5" customHeight="1">
      <c r="A26" s="28"/>
      <c r="B26" s="708" t="s">
        <v>87</v>
      </c>
      <c r="C26" s="708" t="s">
        <v>1408</v>
      </c>
      <c r="D26" s="708">
        <v>8163.3</v>
      </c>
      <c r="E26" s="709">
        <v>0</v>
      </c>
      <c r="F26" s="33">
        <f t="shared" si="3"/>
        <v>0</v>
      </c>
      <c r="G26" s="33">
        <f t="shared" si="4"/>
        <v>0</v>
      </c>
      <c r="H26" s="28"/>
      <c r="I26" s="28"/>
      <c r="J26" s="28"/>
      <c r="K26" s="28"/>
      <c r="L26" s="28"/>
      <c r="M26" s="28"/>
      <c r="N26" s="28"/>
      <c r="O26" s="28"/>
      <c r="P26" s="28"/>
      <c r="Q26" s="28"/>
      <c r="R26" s="28"/>
      <c r="S26" s="28"/>
      <c r="T26" s="28"/>
      <c r="U26" s="28"/>
      <c r="V26" s="28"/>
      <c r="W26" s="28"/>
      <c r="X26" s="28"/>
      <c r="Y26" s="28"/>
      <c r="Z26" s="28"/>
    </row>
    <row r="27" spans="1:26" ht="13.5" customHeight="1">
      <c r="A27" s="28"/>
      <c r="B27" s="708" t="s">
        <v>88</v>
      </c>
      <c r="C27" s="708" t="s">
        <v>1408</v>
      </c>
      <c r="D27" s="710">
        <v>8163.3</v>
      </c>
      <c r="E27" s="709">
        <v>0.29399999999999998</v>
      </c>
      <c r="F27" s="33">
        <f t="shared" si="3"/>
        <v>8163.3</v>
      </c>
      <c r="G27" s="33">
        <f t="shared" si="4"/>
        <v>2400.0101999999997</v>
      </c>
      <c r="H27" s="28"/>
      <c r="I27" s="28"/>
      <c r="J27" s="28"/>
      <c r="K27" s="28"/>
      <c r="L27" s="28"/>
      <c r="M27" s="28"/>
      <c r="N27" s="28"/>
      <c r="O27" s="28"/>
      <c r="P27" s="28"/>
      <c r="Q27" s="28"/>
      <c r="R27" s="28"/>
      <c r="S27" s="28"/>
      <c r="T27" s="28"/>
      <c r="U27" s="28"/>
      <c r="V27" s="28"/>
      <c r="W27" s="28"/>
      <c r="X27" s="28"/>
      <c r="Y27" s="28"/>
      <c r="Z27" s="28"/>
    </row>
    <row r="28" spans="1:26" ht="13.5" customHeight="1">
      <c r="A28" s="28"/>
      <c r="B28" s="711" t="s">
        <v>89</v>
      </c>
      <c r="C28" s="711" t="s">
        <v>1409</v>
      </c>
      <c r="D28" s="712">
        <v>61224.5</v>
      </c>
      <c r="E28" s="713">
        <v>0.501</v>
      </c>
      <c r="F28" s="33">
        <f>IF(GESTEP(E28,0.0001),D28,0)</f>
        <v>61224.5</v>
      </c>
      <c r="G28" s="33">
        <f t="shared" si="4"/>
        <v>30673.4745</v>
      </c>
      <c r="H28" s="28"/>
      <c r="I28" s="28"/>
      <c r="J28" s="28"/>
      <c r="K28" s="28"/>
      <c r="L28" s="28"/>
      <c r="M28" s="28"/>
      <c r="N28" s="28"/>
      <c r="O28" s="28"/>
      <c r="P28" s="28"/>
      <c r="Q28" s="28"/>
      <c r="R28" s="28"/>
      <c r="S28" s="28"/>
      <c r="T28" s="28"/>
      <c r="U28" s="28"/>
      <c r="V28" s="28"/>
      <c r="W28" s="28"/>
      <c r="X28" s="28"/>
      <c r="Y28" s="28"/>
      <c r="Z28" s="28"/>
    </row>
    <row r="29" spans="1:26" ht="13.5" customHeight="1">
      <c r="A29" s="28"/>
      <c r="B29" s="711" t="s">
        <v>90</v>
      </c>
      <c r="C29" s="711" t="s">
        <v>1409</v>
      </c>
      <c r="D29" s="714">
        <v>61224.5</v>
      </c>
      <c r="E29" s="709">
        <v>0.501</v>
      </c>
      <c r="F29" s="33">
        <f t="shared" si="3"/>
        <v>61224.5</v>
      </c>
      <c r="G29" s="33">
        <f t="shared" si="4"/>
        <v>30673.4745</v>
      </c>
      <c r="H29" s="28"/>
      <c r="I29" s="28"/>
      <c r="J29" s="28"/>
      <c r="K29" s="28"/>
      <c r="L29" s="28"/>
      <c r="M29" s="28"/>
      <c r="N29" s="28"/>
      <c r="O29" s="28"/>
      <c r="P29" s="28"/>
      <c r="Q29" s="28"/>
      <c r="R29" s="28"/>
      <c r="S29" s="28"/>
      <c r="T29" s="28"/>
      <c r="U29" s="28"/>
      <c r="V29" s="28"/>
      <c r="W29" s="28"/>
      <c r="X29" s="28"/>
      <c r="Y29" s="28"/>
      <c r="Z29" s="28"/>
    </row>
    <row r="30" spans="1:26" ht="13.5" customHeight="1">
      <c r="A30" s="28"/>
      <c r="B30" s="711" t="s">
        <v>91</v>
      </c>
      <c r="C30" s="711" t="s">
        <v>1409</v>
      </c>
      <c r="D30" s="708">
        <v>3061.2</v>
      </c>
      <c r="E30" s="709">
        <v>0</v>
      </c>
      <c r="F30" s="33">
        <f t="shared" si="3"/>
        <v>0</v>
      </c>
      <c r="G30" s="33">
        <f t="shared" si="4"/>
        <v>0</v>
      </c>
      <c r="H30" s="28"/>
      <c r="I30" s="28"/>
      <c r="J30" s="28"/>
      <c r="K30" s="28"/>
      <c r="L30" s="28"/>
      <c r="M30" s="28"/>
      <c r="N30" s="28"/>
      <c r="O30" s="28"/>
      <c r="P30" s="28"/>
      <c r="Q30" s="28"/>
      <c r="R30" s="28"/>
      <c r="S30" s="28"/>
      <c r="T30" s="28"/>
      <c r="U30" s="28"/>
      <c r="V30" s="28"/>
      <c r="W30" s="28"/>
      <c r="X30" s="28"/>
      <c r="Y30" s="28"/>
      <c r="Z30" s="28"/>
    </row>
    <row r="31" spans="1:26" ht="13.5" customHeight="1">
      <c r="A31" s="28"/>
      <c r="B31" s="711" t="s">
        <v>92</v>
      </c>
      <c r="C31" s="711" t="s">
        <v>1409</v>
      </c>
      <c r="D31" s="708">
        <v>3061.2</v>
      </c>
      <c r="E31" s="709">
        <v>0</v>
      </c>
      <c r="F31" s="33">
        <f t="shared" si="3"/>
        <v>0</v>
      </c>
      <c r="G31" s="33">
        <f t="shared" si="4"/>
        <v>0</v>
      </c>
      <c r="H31" s="28"/>
      <c r="I31" s="28"/>
      <c r="J31" s="28"/>
      <c r="K31" s="28"/>
      <c r="L31" s="28"/>
      <c r="M31" s="28"/>
      <c r="N31" s="28"/>
      <c r="O31" s="28"/>
      <c r="P31" s="28"/>
      <c r="Q31" s="28"/>
      <c r="R31" s="28"/>
      <c r="S31" s="28"/>
      <c r="T31" s="28"/>
      <c r="U31" s="28"/>
      <c r="V31" s="28"/>
      <c r="W31" s="28"/>
      <c r="X31" s="28"/>
      <c r="Y31" s="28"/>
      <c r="Z31" s="28"/>
    </row>
    <row r="32" spans="1:26" ht="13.5" customHeight="1">
      <c r="A32" s="28"/>
      <c r="B32" s="711" t="s">
        <v>93</v>
      </c>
      <c r="C32" s="711" t="s">
        <v>1409</v>
      </c>
      <c r="D32" s="708">
        <v>3061.2</v>
      </c>
      <c r="E32" s="709">
        <v>0</v>
      </c>
      <c r="F32" s="33">
        <f t="shared" si="3"/>
        <v>0</v>
      </c>
      <c r="G32" s="33">
        <f t="shared" si="4"/>
        <v>0</v>
      </c>
      <c r="H32" s="28"/>
      <c r="I32" s="28"/>
      <c r="J32" s="28"/>
      <c r="K32" s="28"/>
      <c r="L32" s="28"/>
      <c r="M32" s="28"/>
      <c r="N32" s="28"/>
      <c r="O32" s="28"/>
      <c r="P32" s="28"/>
      <c r="Q32" s="28"/>
      <c r="R32" s="28"/>
      <c r="S32" s="28"/>
      <c r="T32" s="28"/>
      <c r="U32" s="28"/>
      <c r="V32" s="28"/>
      <c r="W32" s="28"/>
      <c r="X32" s="28"/>
      <c r="Y32" s="28"/>
      <c r="Z32" s="28"/>
    </row>
    <row r="33" spans="1:26" ht="13.5" customHeight="1">
      <c r="A33" s="28"/>
      <c r="B33" s="708" t="s">
        <v>94</v>
      </c>
      <c r="C33" s="708" t="s">
        <v>43</v>
      </c>
      <c r="D33" s="708">
        <v>3061.2</v>
      </c>
      <c r="E33" s="709">
        <v>0</v>
      </c>
      <c r="F33" s="33">
        <f t="shared" si="3"/>
        <v>0</v>
      </c>
      <c r="G33" s="33">
        <f t="shared" si="4"/>
        <v>0</v>
      </c>
      <c r="H33" s="28"/>
      <c r="I33" s="28"/>
      <c r="J33" s="28"/>
      <c r="K33" s="28"/>
      <c r="L33" s="28"/>
      <c r="M33" s="28"/>
      <c r="N33" s="28"/>
      <c r="O33" s="28"/>
      <c r="P33" s="28"/>
      <c r="Q33" s="28"/>
      <c r="R33" s="28"/>
      <c r="S33" s="28"/>
      <c r="T33" s="28"/>
      <c r="U33" s="28"/>
      <c r="V33" s="28"/>
      <c r="W33" s="28"/>
      <c r="X33" s="28"/>
      <c r="Y33" s="28"/>
      <c r="Z33" s="28"/>
    </row>
    <row r="34" spans="1:26" ht="13.5" customHeight="1">
      <c r="A34" s="28"/>
      <c r="B34" s="708" t="s">
        <v>95</v>
      </c>
      <c r="C34" s="708" t="s">
        <v>43</v>
      </c>
      <c r="D34" s="708">
        <v>6802.8</v>
      </c>
      <c r="E34" s="709">
        <v>0</v>
      </c>
      <c r="F34" s="33">
        <f t="shared" si="3"/>
        <v>0</v>
      </c>
      <c r="G34" s="33">
        <f t="shared" si="4"/>
        <v>0</v>
      </c>
      <c r="H34" s="28"/>
      <c r="I34" s="28"/>
      <c r="J34" s="28"/>
      <c r="K34" s="28"/>
      <c r="L34" s="28"/>
      <c r="M34" s="28"/>
      <c r="N34" s="28"/>
      <c r="O34" s="28"/>
      <c r="P34" s="28"/>
      <c r="Q34" s="28"/>
      <c r="R34" s="28"/>
      <c r="S34" s="28"/>
      <c r="T34" s="28"/>
      <c r="U34" s="28"/>
      <c r="V34" s="28"/>
      <c r="W34" s="28"/>
      <c r="X34" s="28"/>
      <c r="Y34" s="28"/>
      <c r="Z34" s="28"/>
    </row>
    <row r="35" spans="1:26" ht="13.5" customHeight="1">
      <c r="A35" s="28"/>
      <c r="B35" s="708" t="s">
        <v>96</v>
      </c>
      <c r="C35" s="708" t="s">
        <v>43</v>
      </c>
      <c r="D35" s="708">
        <v>6802.8</v>
      </c>
      <c r="E35" s="709">
        <v>0</v>
      </c>
      <c r="F35" s="33">
        <f t="shared" si="3"/>
        <v>0</v>
      </c>
      <c r="G35" s="33">
        <f t="shared" si="4"/>
        <v>0</v>
      </c>
      <c r="H35" s="28"/>
      <c r="I35" s="28"/>
      <c r="J35" s="28"/>
      <c r="K35" s="28"/>
      <c r="L35" s="28"/>
      <c r="M35" s="28"/>
      <c r="N35" s="28"/>
      <c r="O35" s="28"/>
      <c r="P35" s="28"/>
      <c r="Q35" s="28"/>
      <c r="R35" s="28"/>
      <c r="S35" s="28"/>
      <c r="T35" s="28"/>
      <c r="U35" s="28"/>
      <c r="V35" s="28"/>
      <c r="W35" s="28"/>
      <c r="X35" s="28"/>
      <c r="Y35" s="28"/>
      <c r="Z35" s="28"/>
    </row>
    <row r="36" spans="1:26" ht="13.5" customHeight="1">
      <c r="A36" s="28"/>
      <c r="B36" s="708" t="s">
        <v>97</v>
      </c>
      <c r="C36" s="708" t="s">
        <v>43</v>
      </c>
      <c r="D36" s="708">
        <v>6802.8</v>
      </c>
      <c r="E36" s="709">
        <v>0</v>
      </c>
      <c r="F36" s="33">
        <f t="shared" si="3"/>
        <v>0</v>
      </c>
      <c r="G36" s="33">
        <f t="shared" si="4"/>
        <v>0</v>
      </c>
      <c r="H36" s="28"/>
      <c r="I36" s="28"/>
      <c r="J36" s="28"/>
      <c r="K36" s="28"/>
      <c r="L36" s="28"/>
      <c r="M36" s="28"/>
      <c r="N36" s="28"/>
      <c r="O36" s="28"/>
      <c r="P36" s="28"/>
      <c r="Q36" s="28"/>
      <c r="R36" s="28"/>
      <c r="S36" s="28"/>
      <c r="T36" s="28"/>
      <c r="U36" s="28"/>
      <c r="V36" s="28"/>
      <c r="W36" s="28"/>
      <c r="X36" s="28"/>
      <c r="Y36" s="28"/>
      <c r="Z36" s="28"/>
    </row>
    <row r="37" spans="1:26" ht="13.5" customHeight="1">
      <c r="A37" s="28"/>
      <c r="B37" s="708" t="s">
        <v>98</v>
      </c>
      <c r="C37" s="708" t="s">
        <v>43</v>
      </c>
      <c r="D37" s="708">
        <v>1360.5</v>
      </c>
      <c r="E37" s="709">
        <v>0</v>
      </c>
      <c r="F37" s="33">
        <f t="shared" si="3"/>
        <v>0</v>
      </c>
      <c r="G37" s="33">
        <f t="shared" si="4"/>
        <v>0</v>
      </c>
      <c r="H37" s="28"/>
      <c r="I37" s="28"/>
      <c r="J37" s="28"/>
      <c r="K37" s="28"/>
      <c r="L37" s="28"/>
      <c r="M37" s="28"/>
      <c r="N37" s="28"/>
      <c r="O37" s="28"/>
      <c r="P37" s="28"/>
      <c r="Q37" s="28"/>
      <c r="R37" s="28"/>
      <c r="S37" s="28"/>
      <c r="T37" s="28"/>
      <c r="U37" s="28"/>
      <c r="V37" s="28"/>
      <c r="W37" s="28"/>
      <c r="X37" s="28"/>
      <c r="Y37" s="28"/>
      <c r="Z37" s="28"/>
    </row>
    <row r="38" spans="1:26" ht="13.5" customHeight="1">
      <c r="A38" s="28"/>
      <c r="B38" s="708" t="s">
        <v>99</v>
      </c>
      <c r="C38" s="708" t="s">
        <v>1387</v>
      </c>
      <c r="D38" s="708">
        <v>1360.5</v>
      </c>
      <c r="E38" s="709">
        <v>0</v>
      </c>
      <c r="F38" s="33">
        <f t="shared" si="3"/>
        <v>0</v>
      </c>
      <c r="G38" s="33">
        <f t="shared" si="4"/>
        <v>0</v>
      </c>
      <c r="H38" s="28"/>
      <c r="I38" s="28"/>
      <c r="J38" s="28"/>
      <c r="K38" s="28"/>
      <c r="L38" s="28"/>
      <c r="M38" s="28"/>
      <c r="N38" s="28"/>
      <c r="O38" s="28"/>
      <c r="P38" s="28"/>
      <c r="Q38" s="28"/>
      <c r="R38" s="28"/>
      <c r="S38" s="28"/>
      <c r="T38" s="28"/>
      <c r="U38" s="28"/>
      <c r="V38" s="28"/>
      <c r="W38" s="28"/>
      <c r="X38" s="28"/>
      <c r="Y38" s="28"/>
      <c r="Z38" s="28"/>
    </row>
    <row r="39" spans="1:26" ht="13.5" customHeight="1">
      <c r="A39" s="28"/>
      <c r="B39" s="708" t="s">
        <v>100</v>
      </c>
      <c r="C39" s="708" t="s">
        <v>1387</v>
      </c>
      <c r="D39" s="708">
        <v>2040.8</v>
      </c>
      <c r="E39" s="709">
        <v>0</v>
      </c>
      <c r="F39" s="33">
        <f t="shared" si="3"/>
        <v>0</v>
      </c>
      <c r="G39" s="33">
        <f t="shared" si="4"/>
        <v>0</v>
      </c>
      <c r="H39" s="28"/>
      <c r="I39" s="28"/>
      <c r="J39" s="28"/>
      <c r="K39" s="28"/>
      <c r="L39" s="28"/>
      <c r="M39" s="28"/>
      <c r="N39" s="28"/>
      <c r="O39" s="28"/>
      <c r="P39" s="28"/>
      <c r="Q39" s="28"/>
      <c r="R39" s="28"/>
      <c r="S39" s="28"/>
      <c r="T39" s="28"/>
      <c r="U39" s="28"/>
      <c r="V39" s="28"/>
      <c r="W39" s="28"/>
      <c r="X39" s="28"/>
      <c r="Y39" s="28"/>
      <c r="Z39" s="28"/>
    </row>
    <row r="40" spans="1:26" ht="13.5" customHeight="1">
      <c r="A40" s="28"/>
      <c r="B40" s="708" t="s">
        <v>101</v>
      </c>
      <c r="C40" s="708" t="s">
        <v>1387</v>
      </c>
      <c r="D40" s="708">
        <v>1360.5</v>
      </c>
      <c r="E40" s="709">
        <v>0</v>
      </c>
      <c r="F40" s="33">
        <f t="shared" si="3"/>
        <v>0</v>
      </c>
      <c r="G40" s="33">
        <f t="shared" si="4"/>
        <v>0</v>
      </c>
      <c r="H40" s="28"/>
      <c r="I40" s="28"/>
      <c r="J40" s="28"/>
      <c r="K40" s="28"/>
      <c r="L40" s="28"/>
      <c r="M40" s="28"/>
      <c r="N40" s="28"/>
      <c r="O40" s="28"/>
      <c r="P40" s="28"/>
      <c r="Q40" s="28"/>
      <c r="R40" s="28"/>
      <c r="S40" s="28"/>
      <c r="T40" s="28"/>
      <c r="U40" s="28"/>
      <c r="V40" s="28"/>
      <c r="W40" s="28"/>
      <c r="X40" s="28"/>
      <c r="Y40" s="28"/>
      <c r="Z40" s="28"/>
    </row>
    <row r="41" spans="1:26" ht="13.5" customHeight="1">
      <c r="A41" s="28"/>
      <c r="B41" s="715"/>
      <c r="C41" s="708"/>
      <c r="D41" s="708"/>
      <c r="E41" s="709"/>
      <c r="F41" s="33">
        <f t="shared" ref="F41:F42" si="5">IF(GESTEP(E41,0.0001),D41,0)</f>
        <v>0</v>
      </c>
      <c r="G41" s="33">
        <f t="shared" ref="G41:G42" si="6">D41*E41</f>
        <v>0</v>
      </c>
      <c r="H41" s="28"/>
      <c r="I41" s="28"/>
      <c r="J41" s="28"/>
      <c r="K41" s="28"/>
      <c r="L41" s="28"/>
      <c r="M41" s="28"/>
      <c r="N41" s="28"/>
      <c r="O41" s="28"/>
      <c r="P41" s="28"/>
      <c r="Q41" s="28"/>
      <c r="R41" s="28"/>
      <c r="S41" s="28"/>
      <c r="T41" s="28"/>
      <c r="U41" s="28"/>
      <c r="V41" s="28"/>
      <c r="W41" s="28"/>
      <c r="X41" s="28"/>
      <c r="Y41" s="28"/>
      <c r="Z41" s="28"/>
    </row>
    <row r="42" spans="1:26" ht="13.5" customHeight="1">
      <c r="A42" s="28"/>
      <c r="B42" s="715"/>
      <c r="C42" s="708"/>
      <c r="D42" s="708"/>
      <c r="E42" s="709"/>
      <c r="F42" s="33">
        <f t="shared" si="5"/>
        <v>0</v>
      </c>
      <c r="G42" s="33">
        <f t="shared" si="6"/>
        <v>0</v>
      </c>
      <c r="H42" s="28"/>
      <c r="I42" s="28"/>
      <c r="J42" s="28"/>
      <c r="K42" s="28"/>
      <c r="L42" s="28"/>
      <c r="M42" s="28"/>
      <c r="N42" s="28"/>
      <c r="O42" s="28"/>
      <c r="P42" s="28"/>
      <c r="Q42" s="28"/>
      <c r="R42" s="28"/>
      <c r="S42" s="28"/>
      <c r="T42" s="28"/>
      <c r="U42" s="28"/>
      <c r="V42" s="28"/>
      <c r="W42" s="28"/>
      <c r="X42" s="28"/>
      <c r="Y42" s="28"/>
      <c r="Z42" s="28"/>
    </row>
    <row r="43" spans="1:26" ht="13.5" customHeight="1">
      <c r="A43" s="28"/>
      <c r="B43" s="708"/>
      <c r="C43" s="708"/>
      <c r="D43" s="708"/>
      <c r="E43" s="709"/>
      <c r="F43" s="33">
        <f t="shared" si="3"/>
        <v>0</v>
      </c>
      <c r="G43" s="33">
        <f t="shared" si="4"/>
        <v>0</v>
      </c>
      <c r="H43" s="28"/>
      <c r="I43" s="28"/>
      <c r="J43" s="28"/>
      <c r="K43" s="28"/>
      <c r="L43" s="28"/>
      <c r="M43" s="28"/>
      <c r="N43" s="28"/>
      <c r="O43" s="28"/>
      <c r="P43" s="28"/>
      <c r="Q43" s="28"/>
      <c r="R43" s="28"/>
      <c r="S43" s="28"/>
      <c r="T43" s="28"/>
      <c r="U43" s="28"/>
      <c r="V43" s="28"/>
      <c r="W43" s="28"/>
      <c r="X43" s="28"/>
      <c r="Y43" s="28"/>
      <c r="Z43" s="28"/>
    </row>
    <row r="44" spans="1:26" ht="13.5" customHeight="1">
      <c r="A44" s="28"/>
      <c r="B44" s="708"/>
      <c r="C44" s="708"/>
      <c r="D44" s="708"/>
      <c r="E44" s="709"/>
      <c r="F44" s="33">
        <f t="shared" si="3"/>
        <v>0</v>
      </c>
      <c r="G44" s="33">
        <f t="shared" si="4"/>
        <v>0</v>
      </c>
      <c r="H44" s="28"/>
      <c r="I44" s="28"/>
      <c r="J44" s="28"/>
      <c r="K44" s="28"/>
      <c r="L44" s="28"/>
      <c r="M44" s="28"/>
      <c r="N44" s="28"/>
      <c r="O44" s="28"/>
      <c r="P44" s="28"/>
      <c r="Q44" s="28"/>
      <c r="R44" s="28"/>
      <c r="S44" s="28"/>
      <c r="T44" s="28"/>
      <c r="U44" s="28"/>
      <c r="V44" s="28"/>
      <c r="W44" s="28"/>
      <c r="X44" s="28"/>
      <c r="Y44" s="28"/>
      <c r="Z44" s="28"/>
    </row>
    <row r="45" spans="1:26" ht="13.5" customHeight="1">
      <c r="A45" s="28"/>
      <c r="B45" s="708"/>
      <c r="C45" s="708"/>
      <c r="D45" s="708"/>
      <c r="E45" s="709"/>
      <c r="F45" s="33">
        <f t="shared" si="3"/>
        <v>0</v>
      </c>
      <c r="G45" s="33">
        <f t="shared" si="4"/>
        <v>0</v>
      </c>
      <c r="H45" s="28"/>
      <c r="I45" s="28"/>
      <c r="J45" s="28"/>
      <c r="K45" s="28"/>
      <c r="L45" s="28"/>
      <c r="M45" s="28"/>
      <c r="N45" s="28"/>
      <c r="O45" s="28"/>
      <c r="P45" s="28"/>
      <c r="Q45" s="28"/>
      <c r="R45" s="28"/>
      <c r="S45" s="28"/>
      <c r="T45" s="28"/>
      <c r="U45" s="28"/>
      <c r="V45" s="28"/>
      <c r="W45" s="28"/>
      <c r="X45" s="28"/>
      <c r="Y45" s="28"/>
      <c r="Z45" s="28"/>
    </row>
    <row r="46" spans="1:26" ht="13.5" customHeight="1">
      <c r="A46" s="28"/>
      <c r="B46" s="708"/>
      <c r="C46" s="708"/>
      <c r="D46" s="708"/>
      <c r="E46" s="709"/>
      <c r="F46" s="33">
        <f t="shared" si="3"/>
        <v>0</v>
      </c>
      <c r="G46" s="33">
        <f t="shared" si="4"/>
        <v>0</v>
      </c>
      <c r="H46" s="28"/>
      <c r="I46" s="28"/>
      <c r="J46" s="28"/>
      <c r="K46" s="28"/>
      <c r="L46" s="28"/>
      <c r="M46" s="28"/>
      <c r="N46" s="28"/>
      <c r="O46" s="28"/>
      <c r="P46" s="28"/>
      <c r="Q46" s="28"/>
      <c r="R46" s="28"/>
      <c r="S46" s="28"/>
      <c r="T46" s="28"/>
      <c r="U46" s="28"/>
      <c r="V46" s="28"/>
      <c r="W46" s="28"/>
      <c r="X46" s="28"/>
      <c r="Y46" s="28"/>
      <c r="Z46" s="28"/>
    </row>
    <row r="47" spans="1:26" ht="13.5" customHeight="1">
      <c r="A47" s="28"/>
      <c r="B47" s="708"/>
      <c r="C47" s="708"/>
      <c r="D47" s="708"/>
      <c r="E47" s="709"/>
      <c r="F47" s="33">
        <f t="shared" si="3"/>
        <v>0</v>
      </c>
      <c r="G47" s="33">
        <f t="shared" si="4"/>
        <v>0</v>
      </c>
      <c r="H47" s="28"/>
      <c r="I47" s="28"/>
      <c r="J47" s="28"/>
      <c r="K47" s="28"/>
      <c r="L47" s="28"/>
      <c r="M47" s="28"/>
      <c r="N47" s="28"/>
      <c r="O47" s="28"/>
      <c r="P47" s="28"/>
      <c r="Q47" s="28"/>
      <c r="R47" s="28"/>
      <c r="S47" s="28"/>
      <c r="T47" s="28"/>
      <c r="U47" s="28"/>
      <c r="V47" s="28"/>
      <c r="W47" s="28"/>
      <c r="X47" s="28"/>
      <c r="Y47" s="28"/>
      <c r="Z47" s="28"/>
    </row>
    <row r="48" spans="1:26" ht="13.5" customHeight="1">
      <c r="A48" s="28"/>
      <c r="B48" s="708"/>
      <c r="C48" s="708"/>
      <c r="D48" s="708"/>
      <c r="E48" s="709"/>
      <c r="F48" s="33">
        <f t="shared" si="3"/>
        <v>0</v>
      </c>
      <c r="G48" s="33">
        <f t="shared" si="4"/>
        <v>0</v>
      </c>
      <c r="H48" s="28"/>
      <c r="I48" s="28"/>
      <c r="J48" s="28"/>
      <c r="K48" s="28"/>
      <c r="L48" s="28"/>
      <c r="M48" s="28"/>
      <c r="N48" s="28"/>
      <c r="O48" s="28"/>
      <c r="P48" s="28"/>
      <c r="Q48" s="28"/>
      <c r="R48" s="28"/>
      <c r="S48" s="28"/>
      <c r="T48" s="28"/>
      <c r="U48" s="28"/>
      <c r="V48" s="28"/>
      <c r="W48" s="28"/>
      <c r="X48" s="28"/>
      <c r="Y48" s="28"/>
      <c r="Z48" s="28"/>
    </row>
    <row r="49" spans="1:26" ht="13.5" customHeight="1">
      <c r="A49" s="28"/>
      <c r="B49" s="708"/>
      <c r="C49" s="708"/>
      <c r="D49" s="708"/>
      <c r="E49" s="709"/>
      <c r="F49" s="33">
        <f t="shared" si="3"/>
        <v>0</v>
      </c>
      <c r="G49" s="33">
        <f t="shared" si="4"/>
        <v>0</v>
      </c>
      <c r="H49" s="28"/>
      <c r="I49" s="28"/>
      <c r="J49" s="28"/>
      <c r="K49" s="28"/>
      <c r="L49" s="28"/>
      <c r="M49" s="28"/>
      <c r="N49" s="28"/>
      <c r="O49" s="28"/>
      <c r="P49" s="28"/>
      <c r="Q49" s="28"/>
      <c r="R49" s="28"/>
      <c r="S49" s="28"/>
      <c r="T49" s="28"/>
      <c r="U49" s="28"/>
      <c r="V49" s="28"/>
      <c r="W49" s="28"/>
      <c r="X49" s="28"/>
      <c r="Y49" s="28"/>
      <c r="Z49" s="28"/>
    </row>
    <row r="50" spans="1:26" ht="13.5" customHeight="1">
      <c r="A50" s="28"/>
      <c r="B50" s="708"/>
      <c r="C50" s="708"/>
      <c r="D50" s="708"/>
      <c r="E50" s="709"/>
      <c r="F50" s="33">
        <f t="shared" si="3"/>
        <v>0</v>
      </c>
      <c r="G50" s="33">
        <f t="shared" si="4"/>
        <v>0</v>
      </c>
      <c r="H50" s="28"/>
      <c r="I50" s="28"/>
      <c r="J50" s="28"/>
      <c r="K50" s="28"/>
      <c r="L50" s="28"/>
      <c r="M50" s="28"/>
      <c r="N50" s="28"/>
      <c r="O50" s="28"/>
      <c r="P50" s="28"/>
      <c r="Q50" s="28"/>
      <c r="R50" s="28"/>
      <c r="S50" s="28"/>
      <c r="T50" s="28"/>
      <c r="U50" s="28"/>
      <c r="V50" s="28"/>
      <c r="W50" s="28"/>
      <c r="X50" s="28"/>
      <c r="Y50" s="28"/>
      <c r="Z50" s="28"/>
    </row>
    <row r="51" spans="1:26" ht="13.5" customHeight="1">
      <c r="A51" s="28"/>
      <c r="B51" s="708"/>
      <c r="C51" s="708"/>
      <c r="D51" s="708"/>
      <c r="E51" s="709"/>
      <c r="F51" s="33">
        <f t="shared" si="3"/>
        <v>0</v>
      </c>
      <c r="G51" s="33">
        <f t="shared" si="4"/>
        <v>0</v>
      </c>
      <c r="H51" s="28"/>
      <c r="I51" s="28"/>
      <c r="J51" s="28"/>
      <c r="K51" s="28"/>
      <c r="L51" s="28"/>
      <c r="M51" s="28"/>
      <c r="N51" s="28"/>
      <c r="O51" s="28"/>
      <c r="P51" s="28"/>
      <c r="Q51" s="28"/>
      <c r="R51" s="28"/>
      <c r="S51" s="28"/>
      <c r="T51" s="28"/>
      <c r="U51" s="28"/>
      <c r="V51" s="28"/>
      <c r="W51" s="28"/>
      <c r="X51" s="28"/>
      <c r="Y51" s="28"/>
      <c r="Z51" s="28"/>
    </row>
    <row r="52" spans="1:26" ht="13.5" customHeight="1">
      <c r="A52" s="28"/>
      <c r="B52" s="708"/>
      <c r="C52" s="708"/>
      <c r="D52" s="708"/>
      <c r="E52" s="709"/>
      <c r="F52" s="33">
        <f t="shared" si="3"/>
        <v>0</v>
      </c>
      <c r="G52" s="33">
        <f t="shared" si="4"/>
        <v>0</v>
      </c>
      <c r="H52" s="28"/>
      <c r="I52" s="28"/>
      <c r="J52" s="28"/>
      <c r="K52" s="28"/>
      <c r="L52" s="28"/>
      <c r="M52" s="28"/>
      <c r="N52" s="28"/>
      <c r="O52" s="28"/>
      <c r="P52" s="28"/>
      <c r="Q52" s="28"/>
      <c r="R52" s="28"/>
      <c r="S52" s="28"/>
      <c r="T52" s="28"/>
      <c r="U52" s="28"/>
      <c r="V52" s="28"/>
      <c r="W52" s="28"/>
      <c r="X52" s="28"/>
      <c r="Y52" s="28"/>
      <c r="Z52" s="28"/>
    </row>
    <row r="53" spans="1:26" ht="13.5" customHeight="1">
      <c r="A53" s="28"/>
      <c r="B53" s="708"/>
      <c r="C53" s="708"/>
      <c r="D53" s="708"/>
      <c r="E53" s="709"/>
      <c r="F53" s="33">
        <f t="shared" si="3"/>
        <v>0</v>
      </c>
      <c r="G53" s="33">
        <f t="shared" si="4"/>
        <v>0</v>
      </c>
      <c r="H53" s="28"/>
      <c r="I53" s="28"/>
      <c r="J53" s="28"/>
      <c r="K53" s="28"/>
      <c r="L53" s="28"/>
      <c r="M53" s="28"/>
      <c r="N53" s="28"/>
      <c r="O53" s="28"/>
      <c r="P53" s="28"/>
      <c r="Q53" s="28"/>
      <c r="R53" s="28"/>
      <c r="S53" s="28"/>
      <c r="T53" s="28"/>
      <c r="U53" s="28"/>
      <c r="V53" s="28"/>
      <c r="W53" s="28"/>
      <c r="X53" s="28"/>
      <c r="Y53" s="28"/>
      <c r="Z53" s="28"/>
    </row>
    <row r="54" spans="1:26" ht="13.5" customHeight="1">
      <c r="A54" s="28"/>
      <c r="B54" s="708"/>
      <c r="C54" s="708"/>
      <c r="D54" s="708"/>
      <c r="E54" s="709"/>
      <c r="F54" s="33">
        <f t="shared" si="3"/>
        <v>0</v>
      </c>
      <c r="G54" s="33">
        <f t="shared" si="4"/>
        <v>0</v>
      </c>
      <c r="H54" s="28"/>
      <c r="I54" s="28"/>
      <c r="J54" s="28"/>
      <c r="K54" s="28"/>
      <c r="L54" s="28"/>
      <c r="M54" s="28"/>
      <c r="N54" s="28"/>
      <c r="O54" s="28"/>
      <c r="P54" s="28"/>
      <c r="Q54" s="28"/>
      <c r="R54" s="28"/>
      <c r="S54" s="28"/>
      <c r="T54" s="28"/>
      <c r="U54" s="28"/>
      <c r="V54" s="28"/>
      <c r="W54" s="28"/>
      <c r="X54" s="28"/>
      <c r="Y54" s="28"/>
      <c r="Z54" s="28"/>
    </row>
    <row r="55" spans="1:26" ht="13.5" customHeight="1">
      <c r="A55" s="28"/>
      <c r="B55" s="708"/>
      <c r="C55" s="708"/>
      <c r="D55" s="708"/>
      <c r="E55" s="709"/>
      <c r="F55" s="33">
        <f t="shared" si="3"/>
        <v>0</v>
      </c>
      <c r="G55" s="33">
        <f t="shared" si="4"/>
        <v>0</v>
      </c>
      <c r="H55" s="28"/>
      <c r="I55" s="28"/>
      <c r="J55" s="28"/>
      <c r="K55" s="28"/>
      <c r="L55" s="28"/>
      <c r="M55" s="28"/>
      <c r="N55" s="28"/>
      <c r="O55" s="28"/>
      <c r="P55" s="28"/>
      <c r="Q55" s="28"/>
      <c r="R55" s="28"/>
      <c r="S55" s="28"/>
      <c r="T55" s="28"/>
      <c r="U55" s="28"/>
      <c r="V55" s="28"/>
      <c r="W55" s="28"/>
      <c r="X55" s="28"/>
      <c r="Y55" s="28"/>
      <c r="Z55" s="28"/>
    </row>
    <row r="56" spans="1:26" ht="13.5" customHeight="1">
      <c r="A56" s="28"/>
      <c r="B56" s="708"/>
      <c r="C56" s="708"/>
      <c r="D56" s="708"/>
      <c r="E56" s="709"/>
      <c r="F56" s="33">
        <f t="shared" si="3"/>
        <v>0</v>
      </c>
      <c r="G56" s="33">
        <f t="shared" si="4"/>
        <v>0</v>
      </c>
      <c r="H56" s="28"/>
      <c r="I56" s="28"/>
      <c r="J56" s="28"/>
      <c r="K56" s="28"/>
      <c r="L56" s="28"/>
      <c r="M56" s="28"/>
      <c r="N56" s="28"/>
      <c r="O56" s="28"/>
      <c r="P56" s="28"/>
      <c r="Q56" s="28"/>
      <c r="R56" s="28"/>
      <c r="S56" s="28"/>
      <c r="T56" s="28"/>
      <c r="U56" s="28"/>
      <c r="V56" s="28"/>
      <c r="W56" s="28"/>
      <c r="X56" s="28"/>
      <c r="Y56" s="28"/>
      <c r="Z56" s="28"/>
    </row>
    <row r="57" spans="1:26" ht="13.5" customHeight="1">
      <c r="A57" s="28"/>
      <c r="B57" s="708"/>
      <c r="C57" s="708"/>
      <c r="D57" s="708"/>
      <c r="E57" s="709"/>
      <c r="F57" s="33">
        <f t="shared" si="3"/>
        <v>0</v>
      </c>
      <c r="G57" s="33">
        <f t="shared" si="4"/>
        <v>0</v>
      </c>
      <c r="H57" s="28"/>
      <c r="I57" s="28"/>
      <c r="J57" s="28"/>
      <c r="K57" s="28"/>
      <c r="L57" s="28"/>
      <c r="M57" s="28"/>
      <c r="N57" s="28"/>
      <c r="O57" s="28"/>
      <c r="P57" s="28"/>
      <c r="Q57" s="28"/>
      <c r="R57" s="28"/>
      <c r="S57" s="28"/>
      <c r="T57" s="28"/>
      <c r="U57" s="28"/>
      <c r="V57" s="28"/>
      <c r="W57" s="28"/>
      <c r="X57" s="28"/>
      <c r="Y57" s="28"/>
      <c r="Z57" s="28"/>
    </row>
    <row r="58" spans="1:26" ht="13.5" customHeight="1">
      <c r="A58" s="28"/>
      <c r="B58" s="708"/>
      <c r="C58" s="708"/>
      <c r="D58" s="708"/>
      <c r="E58" s="709"/>
      <c r="F58" s="33">
        <f t="shared" si="3"/>
        <v>0</v>
      </c>
      <c r="G58" s="33">
        <f t="shared" si="4"/>
        <v>0</v>
      </c>
      <c r="H58" s="28"/>
      <c r="I58" s="28"/>
      <c r="J58" s="28"/>
      <c r="K58" s="28"/>
      <c r="L58" s="28"/>
      <c r="M58" s="28"/>
      <c r="N58" s="28"/>
      <c r="O58" s="28"/>
      <c r="P58" s="28"/>
      <c r="Q58" s="28"/>
      <c r="R58" s="28"/>
      <c r="S58" s="28"/>
      <c r="T58" s="28"/>
      <c r="U58" s="28"/>
      <c r="V58" s="28"/>
      <c r="W58" s="28"/>
      <c r="X58" s="28"/>
      <c r="Y58" s="28"/>
      <c r="Z58" s="28"/>
    </row>
    <row r="59" spans="1:26" ht="13.5" customHeight="1">
      <c r="A59" s="28"/>
      <c r="B59" s="708"/>
      <c r="C59" s="708"/>
      <c r="D59" s="708"/>
      <c r="E59" s="709"/>
      <c r="F59" s="33">
        <f t="shared" si="3"/>
        <v>0</v>
      </c>
      <c r="G59" s="33">
        <f t="shared" si="4"/>
        <v>0</v>
      </c>
      <c r="H59" s="28"/>
      <c r="I59" s="28"/>
      <c r="J59" s="28"/>
      <c r="K59" s="28"/>
      <c r="L59" s="28"/>
      <c r="M59" s="28"/>
      <c r="N59" s="28"/>
      <c r="O59" s="28"/>
      <c r="P59" s="28"/>
      <c r="Q59" s="28"/>
      <c r="R59" s="28"/>
      <c r="S59" s="28"/>
      <c r="T59" s="28"/>
      <c r="U59" s="28"/>
      <c r="V59" s="28"/>
      <c r="W59" s="28"/>
      <c r="X59" s="28"/>
      <c r="Y59" s="28"/>
      <c r="Z59" s="28"/>
    </row>
    <row r="60" spans="1:26" ht="13.5" customHeight="1">
      <c r="A60" s="28"/>
      <c r="B60" s="708"/>
      <c r="C60" s="708"/>
      <c r="D60" s="708"/>
      <c r="E60" s="709"/>
      <c r="F60" s="33">
        <f t="shared" si="3"/>
        <v>0</v>
      </c>
      <c r="G60" s="33">
        <f t="shared" si="4"/>
        <v>0</v>
      </c>
      <c r="H60" s="28"/>
      <c r="I60" s="28"/>
      <c r="J60" s="28"/>
      <c r="K60" s="28"/>
      <c r="L60" s="28"/>
      <c r="M60" s="28"/>
      <c r="N60" s="28"/>
      <c r="O60" s="28"/>
      <c r="P60" s="28"/>
      <c r="Q60" s="28"/>
      <c r="R60" s="28"/>
      <c r="S60" s="28"/>
      <c r="T60" s="28"/>
      <c r="U60" s="28"/>
      <c r="V60" s="28"/>
      <c r="W60" s="28"/>
      <c r="X60" s="28"/>
      <c r="Y60" s="28"/>
      <c r="Z60" s="28"/>
    </row>
    <row r="61" spans="1:26" ht="13.5" customHeight="1">
      <c r="A61" s="28"/>
      <c r="B61" s="708"/>
      <c r="C61" s="708"/>
      <c r="D61" s="708"/>
      <c r="E61" s="709"/>
      <c r="F61" s="33">
        <f t="shared" si="3"/>
        <v>0</v>
      </c>
      <c r="G61" s="33">
        <f t="shared" si="4"/>
        <v>0</v>
      </c>
      <c r="H61" s="28"/>
      <c r="I61" s="28"/>
      <c r="J61" s="28"/>
      <c r="K61" s="28"/>
      <c r="L61" s="28"/>
      <c r="M61" s="28"/>
      <c r="N61" s="28"/>
      <c r="O61" s="28"/>
      <c r="P61" s="28"/>
      <c r="Q61" s="28"/>
      <c r="R61" s="28"/>
      <c r="S61" s="28"/>
      <c r="T61" s="28"/>
      <c r="U61" s="28"/>
      <c r="V61" s="28"/>
      <c r="W61" s="28"/>
      <c r="X61" s="28"/>
      <c r="Y61" s="28"/>
      <c r="Z61" s="28"/>
    </row>
    <row r="62" spans="1:26" ht="13.5" customHeight="1">
      <c r="A62" s="28"/>
      <c r="B62" s="708"/>
      <c r="C62" s="708"/>
      <c r="D62" s="708"/>
      <c r="E62" s="709"/>
      <c r="F62" s="33">
        <f t="shared" si="3"/>
        <v>0</v>
      </c>
      <c r="G62" s="33">
        <f t="shared" si="4"/>
        <v>0</v>
      </c>
      <c r="H62" s="28"/>
      <c r="I62" s="28"/>
      <c r="J62" s="28"/>
      <c r="K62" s="28"/>
      <c r="L62" s="28"/>
      <c r="M62" s="28"/>
      <c r="N62" s="28"/>
      <c r="O62" s="28"/>
      <c r="P62" s="28"/>
      <c r="Q62" s="28"/>
      <c r="R62" s="28"/>
      <c r="S62" s="28"/>
      <c r="T62" s="28"/>
      <c r="U62" s="28"/>
      <c r="V62" s="28"/>
      <c r="W62" s="28"/>
      <c r="X62" s="28"/>
      <c r="Y62" s="28"/>
      <c r="Z62" s="28"/>
    </row>
    <row r="63" spans="1:26" ht="13.5" customHeight="1">
      <c r="A63" s="28"/>
      <c r="B63" s="708"/>
      <c r="C63" s="708"/>
      <c r="D63" s="708"/>
      <c r="E63" s="709"/>
      <c r="F63" s="33">
        <f t="shared" si="3"/>
        <v>0</v>
      </c>
      <c r="G63" s="33">
        <f t="shared" si="4"/>
        <v>0</v>
      </c>
      <c r="H63" s="28"/>
      <c r="I63" s="28"/>
      <c r="J63" s="28"/>
      <c r="K63" s="28"/>
      <c r="L63" s="28"/>
      <c r="M63" s="28"/>
      <c r="N63" s="28"/>
      <c r="O63" s="28"/>
      <c r="P63" s="28"/>
      <c r="Q63" s="28"/>
      <c r="R63" s="28"/>
      <c r="S63" s="28"/>
      <c r="T63" s="28"/>
      <c r="U63" s="28"/>
      <c r="V63" s="28"/>
      <c r="W63" s="28"/>
      <c r="X63" s="28"/>
      <c r="Y63" s="28"/>
      <c r="Z63" s="28"/>
    </row>
    <row r="64" spans="1:26" ht="13.5" customHeight="1">
      <c r="A64" s="28"/>
      <c r="B64" s="708"/>
      <c r="C64" s="708"/>
      <c r="D64" s="708"/>
      <c r="E64" s="709"/>
      <c r="F64" s="33">
        <f t="shared" si="3"/>
        <v>0</v>
      </c>
      <c r="G64" s="33">
        <f t="shared" si="4"/>
        <v>0</v>
      </c>
      <c r="H64" s="28"/>
      <c r="I64" s="28"/>
      <c r="J64" s="28"/>
      <c r="K64" s="28"/>
      <c r="L64" s="28"/>
      <c r="M64" s="28"/>
      <c r="N64" s="28"/>
      <c r="O64" s="28"/>
      <c r="P64" s="28"/>
      <c r="Q64" s="28"/>
      <c r="R64" s="28"/>
      <c r="S64" s="28"/>
      <c r="T64" s="28"/>
      <c r="U64" s="28"/>
      <c r="V64" s="28"/>
      <c r="W64" s="28"/>
      <c r="X64" s="28"/>
      <c r="Y64" s="28"/>
      <c r="Z64" s="28"/>
    </row>
    <row r="65" spans="1:26" ht="13.5" customHeight="1">
      <c r="A65" s="28"/>
      <c r="B65" s="708"/>
      <c r="C65" s="708"/>
      <c r="D65" s="708"/>
      <c r="E65" s="709"/>
      <c r="F65" s="33">
        <f t="shared" si="3"/>
        <v>0</v>
      </c>
      <c r="G65" s="33">
        <f t="shared" si="4"/>
        <v>0</v>
      </c>
      <c r="H65" s="28"/>
      <c r="I65" s="28"/>
      <c r="J65" s="28"/>
      <c r="K65" s="28"/>
      <c r="L65" s="28"/>
      <c r="M65" s="28"/>
      <c r="N65" s="28"/>
      <c r="O65" s="28"/>
      <c r="P65" s="28"/>
      <c r="Q65" s="28"/>
      <c r="R65" s="28"/>
      <c r="S65" s="28"/>
      <c r="T65" s="28"/>
      <c r="U65" s="28"/>
      <c r="V65" s="28"/>
      <c r="W65" s="28"/>
      <c r="X65" s="28"/>
      <c r="Y65" s="28"/>
      <c r="Z65" s="28"/>
    </row>
    <row r="66" spans="1:26" ht="13.5" customHeight="1">
      <c r="A66" s="28"/>
      <c r="B66" s="708"/>
      <c r="C66" s="708"/>
      <c r="D66" s="708"/>
      <c r="E66" s="709"/>
      <c r="F66" s="33">
        <f t="shared" si="3"/>
        <v>0</v>
      </c>
      <c r="G66" s="33">
        <f t="shared" si="4"/>
        <v>0</v>
      </c>
      <c r="H66" s="28"/>
      <c r="I66" s="28"/>
      <c r="J66" s="28"/>
      <c r="K66" s="28"/>
      <c r="L66" s="28"/>
      <c r="M66" s="28"/>
      <c r="N66" s="28"/>
      <c r="O66" s="28"/>
      <c r="P66" s="28"/>
      <c r="Q66" s="28"/>
      <c r="R66" s="28"/>
      <c r="S66" s="28"/>
      <c r="T66" s="28"/>
      <c r="U66" s="28"/>
      <c r="V66" s="28"/>
      <c r="W66" s="28"/>
      <c r="X66" s="28"/>
      <c r="Y66" s="28"/>
      <c r="Z66" s="28"/>
    </row>
    <row r="67" spans="1:26" ht="13.5" customHeight="1">
      <c r="A67" s="28"/>
      <c r="B67" s="708"/>
      <c r="C67" s="708"/>
      <c r="D67" s="708"/>
      <c r="E67" s="709"/>
      <c r="F67" s="33">
        <f t="shared" si="3"/>
        <v>0</v>
      </c>
      <c r="G67" s="33">
        <f t="shared" si="4"/>
        <v>0</v>
      </c>
      <c r="H67" s="28"/>
      <c r="I67" s="28"/>
      <c r="J67" s="28"/>
      <c r="K67" s="28"/>
      <c r="L67" s="28"/>
      <c r="M67" s="28"/>
      <c r="N67" s="28"/>
      <c r="O67" s="28"/>
      <c r="P67" s="28"/>
      <c r="Q67" s="28"/>
      <c r="R67" s="28"/>
      <c r="S67" s="28"/>
      <c r="T67" s="28"/>
      <c r="U67" s="28"/>
      <c r="V67" s="28"/>
      <c r="W67" s="28"/>
      <c r="X67" s="28"/>
      <c r="Y67" s="28"/>
      <c r="Z67" s="28"/>
    </row>
    <row r="68" spans="1:26" ht="13.5" customHeight="1">
      <c r="A68" s="28"/>
      <c r="B68" s="708"/>
      <c r="C68" s="708"/>
      <c r="D68" s="708"/>
      <c r="E68" s="709"/>
      <c r="F68" s="33">
        <f t="shared" si="3"/>
        <v>0</v>
      </c>
      <c r="G68" s="33">
        <f t="shared" si="4"/>
        <v>0</v>
      </c>
      <c r="H68" s="28"/>
      <c r="I68" s="28"/>
      <c r="J68" s="28"/>
      <c r="K68" s="28"/>
      <c r="L68" s="28"/>
      <c r="M68" s="28"/>
      <c r="N68" s="28"/>
      <c r="O68" s="28"/>
      <c r="P68" s="28"/>
      <c r="Q68" s="28"/>
      <c r="R68" s="28"/>
      <c r="S68" s="28"/>
      <c r="T68" s="28"/>
      <c r="U68" s="28"/>
      <c r="V68" s="28"/>
      <c r="W68" s="28"/>
      <c r="X68" s="28"/>
      <c r="Y68" s="28"/>
      <c r="Z68" s="28"/>
    </row>
    <row r="69" spans="1:26" ht="13.5" customHeight="1">
      <c r="A69" s="28"/>
      <c r="B69" s="708"/>
      <c r="C69" s="708"/>
      <c r="D69" s="708"/>
      <c r="E69" s="709"/>
      <c r="F69" s="33">
        <f t="shared" si="3"/>
        <v>0</v>
      </c>
      <c r="G69" s="33">
        <f t="shared" si="4"/>
        <v>0</v>
      </c>
      <c r="H69" s="28"/>
      <c r="I69" s="28"/>
      <c r="J69" s="28"/>
      <c r="K69" s="28"/>
      <c r="L69" s="28"/>
      <c r="M69" s="28"/>
      <c r="N69" s="28"/>
      <c r="O69" s="28"/>
      <c r="P69" s="28"/>
      <c r="Q69" s="28"/>
      <c r="R69" s="28"/>
      <c r="S69" s="28"/>
      <c r="T69" s="28"/>
      <c r="U69" s="28"/>
      <c r="V69" s="28"/>
      <c r="W69" s="28"/>
      <c r="X69" s="28"/>
      <c r="Y69" s="28"/>
      <c r="Z69" s="28"/>
    </row>
    <row r="70" spans="1:26" ht="13.5" customHeight="1">
      <c r="A70" s="28"/>
      <c r="B70" s="708"/>
      <c r="C70" s="708"/>
      <c r="D70" s="708"/>
      <c r="E70" s="709"/>
      <c r="F70" s="33">
        <f t="shared" si="3"/>
        <v>0</v>
      </c>
      <c r="G70" s="33">
        <f t="shared" si="4"/>
        <v>0</v>
      </c>
      <c r="H70" s="28"/>
      <c r="I70" s="28"/>
      <c r="J70" s="28"/>
      <c r="K70" s="28"/>
      <c r="L70" s="28"/>
      <c r="M70" s="28"/>
      <c r="N70" s="28"/>
      <c r="O70" s="28"/>
      <c r="P70" s="28"/>
      <c r="Q70" s="28"/>
      <c r="R70" s="28"/>
      <c r="S70" s="28"/>
      <c r="T70" s="28"/>
      <c r="U70" s="28"/>
      <c r="V70" s="28"/>
      <c r="W70" s="28"/>
      <c r="X70" s="28"/>
      <c r="Y70" s="28"/>
      <c r="Z70" s="28"/>
    </row>
    <row r="71" spans="1:26" ht="13.5" customHeight="1">
      <c r="A71" s="28"/>
      <c r="B71" s="708"/>
      <c r="C71" s="708"/>
      <c r="D71" s="708"/>
      <c r="E71" s="709"/>
      <c r="F71" s="33">
        <f t="shared" si="3"/>
        <v>0</v>
      </c>
      <c r="G71" s="33">
        <f t="shared" si="4"/>
        <v>0</v>
      </c>
      <c r="H71" s="28"/>
      <c r="I71" s="28"/>
      <c r="J71" s="28"/>
      <c r="K71" s="28"/>
      <c r="L71" s="28"/>
      <c r="M71" s="28"/>
      <c r="N71" s="28"/>
      <c r="O71" s="28"/>
      <c r="P71" s="28"/>
      <c r="Q71" s="28"/>
      <c r="R71" s="28"/>
      <c r="S71" s="28"/>
      <c r="T71" s="28"/>
      <c r="U71" s="28"/>
      <c r="V71" s="28"/>
      <c r="W71" s="28"/>
      <c r="X71" s="28"/>
      <c r="Y71" s="28"/>
      <c r="Z71" s="28"/>
    </row>
    <row r="72" spans="1:26" ht="13.5" customHeight="1">
      <c r="A72" s="28"/>
      <c r="B72" s="708"/>
      <c r="C72" s="708"/>
      <c r="D72" s="708"/>
      <c r="E72" s="709"/>
      <c r="F72" s="33">
        <f t="shared" si="3"/>
        <v>0</v>
      </c>
      <c r="G72" s="33">
        <f t="shared" si="4"/>
        <v>0</v>
      </c>
      <c r="H72" s="28"/>
      <c r="I72" s="28"/>
      <c r="J72" s="28"/>
      <c r="K72" s="28"/>
      <c r="L72" s="28"/>
      <c r="M72" s="28"/>
      <c r="N72" s="28"/>
      <c r="O72" s="28"/>
      <c r="P72" s="28"/>
      <c r="Q72" s="28"/>
      <c r="R72" s="28"/>
      <c r="S72" s="28"/>
      <c r="T72" s="28"/>
      <c r="U72" s="28"/>
      <c r="V72" s="28"/>
      <c r="W72" s="28"/>
      <c r="X72" s="28"/>
      <c r="Y72" s="28"/>
      <c r="Z72" s="28"/>
    </row>
    <row r="73" spans="1:26" ht="13.5" customHeight="1">
      <c r="A73" s="28"/>
      <c r="B73" s="708"/>
      <c r="C73" s="708"/>
      <c r="D73" s="708"/>
      <c r="E73" s="709"/>
      <c r="F73" s="33">
        <f t="shared" si="3"/>
        <v>0</v>
      </c>
      <c r="G73" s="33">
        <f t="shared" si="4"/>
        <v>0</v>
      </c>
      <c r="H73" s="28"/>
      <c r="I73" s="28"/>
      <c r="J73" s="28"/>
      <c r="K73" s="28"/>
      <c r="L73" s="28"/>
      <c r="M73" s="28"/>
      <c r="N73" s="28"/>
      <c r="O73" s="28"/>
      <c r="P73" s="28"/>
      <c r="Q73" s="28"/>
      <c r="R73" s="28"/>
      <c r="S73" s="28"/>
      <c r="T73" s="28"/>
      <c r="U73" s="28"/>
      <c r="V73" s="28"/>
      <c r="W73" s="28"/>
      <c r="X73" s="28"/>
      <c r="Y73" s="28"/>
      <c r="Z73" s="28"/>
    </row>
    <row r="74" spans="1:26" ht="13.5" customHeight="1">
      <c r="A74" s="28"/>
      <c r="B74" s="708"/>
      <c r="C74" s="708"/>
      <c r="D74" s="708"/>
      <c r="E74" s="709"/>
      <c r="F74" s="33">
        <f t="shared" si="3"/>
        <v>0</v>
      </c>
      <c r="G74" s="33">
        <f t="shared" si="4"/>
        <v>0</v>
      </c>
      <c r="H74" s="28"/>
      <c r="I74" s="28"/>
      <c r="J74" s="28"/>
      <c r="K74" s="28"/>
      <c r="L74" s="28"/>
      <c r="M74" s="28"/>
      <c r="N74" s="28"/>
      <c r="O74" s="28"/>
      <c r="P74" s="28"/>
      <c r="Q74" s="28"/>
      <c r="R74" s="28"/>
      <c r="S74" s="28"/>
      <c r="T74" s="28"/>
      <c r="U74" s="28"/>
      <c r="V74" s="28"/>
      <c r="W74" s="28"/>
      <c r="X74" s="28"/>
      <c r="Y74" s="28"/>
      <c r="Z74" s="28"/>
    </row>
    <row r="75" spans="1:26" ht="13.5" customHeight="1">
      <c r="A75" s="28"/>
      <c r="B75" s="708"/>
      <c r="C75" s="708"/>
      <c r="D75" s="708"/>
      <c r="E75" s="709"/>
      <c r="F75" s="33">
        <f t="shared" si="3"/>
        <v>0</v>
      </c>
      <c r="G75" s="33">
        <f t="shared" si="4"/>
        <v>0</v>
      </c>
      <c r="H75" s="28"/>
      <c r="I75" s="28"/>
      <c r="J75" s="28"/>
      <c r="K75" s="28"/>
      <c r="L75" s="28"/>
      <c r="M75" s="28"/>
      <c r="N75" s="28"/>
      <c r="O75" s="28"/>
      <c r="P75" s="28"/>
      <c r="Q75" s="28"/>
      <c r="R75" s="28"/>
      <c r="S75" s="28"/>
      <c r="T75" s="28"/>
      <c r="U75" s="28"/>
      <c r="V75" s="28"/>
      <c r="W75" s="28"/>
      <c r="X75" s="28"/>
      <c r="Y75" s="28"/>
      <c r="Z75" s="28"/>
    </row>
    <row r="76" spans="1:26" ht="13.5" customHeight="1">
      <c r="A76" s="28"/>
      <c r="B76" s="708"/>
      <c r="C76" s="708"/>
      <c r="D76" s="708"/>
      <c r="E76" s="709"/>
      <c r="F76" s="33">
        <f t="shared" si="3"/>
        <v>0</v>
      </c>
      <c r="G76" s="33">
        <f t="shared" si="4"/>
        <v>0</v>
      </c>
      <c r="H76" s="28"/>
      <c r="I76" s="28"/>
      <c r="J76" s="28"/>
      <c r="K76" s="28"/>
      <c r="L76" s="28"/>
      <c r="M76" s="28"/>
      <c r="N76" s="28"/>
      <c r="O76" s="28"/>
      <c r="P76" s="28"/>
      <c r="Q76" s="28"/>
      <c r="R76" s="28"/>
      <c r="S76" s="28"/>
      <c r="T76" s="28"/>
      <c r="U76" s="28"/>
      <c r="V76" s="28"/>
      <c r="W76" s="28"/>
      <c r="X76" s="28"/>
      <c r="Y76" s="28"/>
      <c r="Z76" s="28"/>
    </row>
    <row r="77" spans="1:26" ht="13.5" customHeight="1">
      <c r="A77" s="28"/>
      <c r="B77" s="708"/>
      <c r="C77" s="708"/>
      <c r="D77" s="708"/>
      <c r="E77" s="709"/>
      <c r="F77" s="33">
        <f t="shared" si="3"/>
        <v>0</v>
      </c>
      <c r="G77" s="33">
        <f t="shared" si="4"/>
        <v>0</v>
      </c>
      <c r="H77" s="28"/>
      <c r="I77" s="28"/>
      <c r="J77" s="28"/>
      <c r="K77" s="28"/>
      <c r="L77" s="28"/>
      <c r="M77" s="28"/>
      <c r="N77" s="28"/>
      <c r="O77" s="28"/>
      <c r="P77" s="28"/>
      <c r="Q77" s="28"/>
      <c r="R77" s="28"/>
      <c r="S77" s="28"/>
      <c r="T77" s="28"/>
      <c r="U77" s="28"/>
      <c r="V77" s="28"/>
      <c r="W77" s="28"/>
      <c r="X77" s="28"/>
      <c r="Y77" s="28"/>
      <c r="Z77" s="28"/>
    </row>
    <row r="78" spans="1:26" ht="13.5" customHeight="1">
      <c r="A78" s="28"/>
      <c r="B78" s="708"/>
      <c r="C78" s="708"/>
      <c r="D78" s="708"/>
      <c r="E78" s="709"/>
      <c r="F78" s="33">
        <f t="shared" si="3"/>
        <v>0</v>
      </c>
      <c r="G78" s="33">
        <f t="shared" si="4"/>
        <v>0</v>
      </c>
      <c r="H78" s="28"/>
      <c r="I78" s="28"/>
      <c r="J78" s="28"/>
      <c r="K78" s="28"/>
      <c r="L78" s="28"/>
      <c r="M78" s="28"/>
      <c r="N78" s="28"/>
      <c r="O78" s="28"/>
      <c r="P78" s="28"/>
      <c r="Q78" s="28"/>
      <c r="R78" s="28"/>
      <c r="S78" s="28"/>
      <c r="T78" s="28"/>
      <c r="U78" s="28"/>
      <c r="V78" s="28"/>
      <c r="W78" s="28"/>
      <c r="X78" s="28"/>
      <c r="Y78" s="28"/>
      <c r="Z78" s="28"/>
    </row>
    <row r="79" spans="1:26" ht="13.5" customHeight="1">
      <c r="A79" s="28"/>
      <c r="B79" s="708"/>
      <c r="C79" s="708"/>
      <c r="D79" s="708"/>
      <c r="E79" s="709"/>
      <c r="F79" s="33">
        <f t="shared" si="3"/>
        <v>0</v>
      </c>
      <c r="G79" s="33">
        <f t="shared" si="4"/>
        <v>0</v>
      </c>
      <c r="H79" s="28"/>
      <c r="I79" s="28"/>
      <c r="J79" s="28"/>
      <c r="K79" s="28"/>
      <c r="L79" s="28"/>
      <c r="M79" s="28"/>
      <c r="N79" s="28"/>
      <c r="O79" s="28"/>
      <c r="P79" s="28"/>
      <c r="Q79" s="28"/>
      <c r="R79" s="28"/>
      <c r="S79" s="28"/>
      <c r="T79" s="28"/>
      <c r="U79" s="28"/>
      <c r="V79" s="28"/>
      <c r="W79" s="28"/>
      <c r="X79" s="28"/>
      <c r="Y79" s="28"/>
      <c r="Z79" s="28"/>
    </row>
    <row r="80" spans="1:26" ht="15.75" customHeight="1">
      <c r="A80" s="28"/>
      <c r="B80" s="708"/>
      <c r="C80" s="708"/>
      <c r="D80" s="708"/>
      <c r="E80" s="709"/>
      <c r="F80" s="33">
        <f t="shared" si="3"/>
        <v>0</v>
      </c>
      <c r="G80" s="33">
        <f t="shared" si="4"/>
        <v>0</v>
      </c>
      <c r="H80" s="28"/>
      <c r="I80" s="28"/>
      <c r="J80" s="28"/>
      <c r="K80" s="28"/>
      <c r="L80" s="28"/>
      <c r="M80" s="28"/>
      <c r="N80" s="28"/>
      <c r="O80" s="28"/>
      <c r="P80" s="28"/>
      <c r="Q80" s="28"/>
      <c r="R80" s="28"/>
      <c r="S80" s="28"/>
      <c r="T80" s="28"/>
      <c r="U80" s="28"/>
      <c r="V80" s="28"/>
      <c r="W80" s="28"/>
      <c r="X80" s="28"/>
      <c r="Y80" s="28"/>
      <c r="Z80" s="28"/>
    </row>
    <row r="81" spans="1:26" ht="15.75" customHeight="1">
      <c r="A81" s="28"/>
      <c r="B81" s="708"/>
      <c r="C81" s="708"/>
      <c r="D81" s="708"/>
      <c r="E81" s="709"/>
      <c r="F81" s="33">
        <f t="shared" si="3"/>
        <v>0</v>
      </c>
      <c r="G81" s="33">
        <f t="shared" si="4"/>
        <v>0</v>
      </c>
      <c r="H81" s="28"/>
      <c r="I81" s="28"/>
      <c r="J81" s="28"/>
      <c r="K81" s="28"/>
      <c r="L81" s="28"/>
      <c r="M81" s="28"/>
      <c r="N81" s="28"/>
      <c r="O81" s="28"/>
      <c r="P81" s="28"/>
      <c r="Q81" s="28"/>
      <c r="R81" s="28"/>
      <c r="S81" s="28"/>
      <c r="T81" s="28"/>
      <c r="U81" s="28"/>
      <c r="V81" s="28"/>
      <c r="W81" s="28"/>
      <c r="X81" s="28"/>
      <c r="Y81" s="28"/>
      <c r="Z81" s="28"/>
    </row>
    <row r="82" spans="1:26" ht="15.75" customHeight="1">
      <c r="A82" s="28"/>
      <c r="B82" s="708"/>
      <c r="C82" s="708"/>
      <c r="D82" s="708"/>
      <c r="E82" s="709"/>
      <c r="F82" s="33">
        <f t="shared" si="3"/>
        <v>0</v>
      </c>
      <c r="G82" s="33">
        <f t="shared" si="4"/>
        <v>0</v>
      </c>
      <c r="H82" s="28"/>
      <c r="I82" s="28"/>
      <c r="J82" s="28"/>
      <c r="K82" s="28"/>
      <c r="L82" s="28"/>
      <c r="M82" s="28"/>
      <c r="N82" s="28"/>
      <c r="O82" s="28"/>
      <c r="P82" s="28"/>
      <c r="Q82" s="28"/>
      <c r="R82" s="28"/>
      <c r="S82" s="28"/>
      <c r="T82" s="28"/>
      <c r="U82" s="28"/>
      <c r="V82" s="28"/>
      <c r="W82" s="28"/>
      <c r="X82" s="28"/>
      <c r="Y82" s="28"/>
      <c r="Z82" s="28"/>
    </row>
    <row r="83" spans="1:26" ht="15.75" customHeight="1">
      <c r="A83" s="28"/>
      <c r="B83" s="708"/>
      <c r="C83" s="708"/>
      <c r="D83" s="708"/>
      <c r="E83" s="709"/>
      <c r="F83" s="33">
        <f t="shared" si="3"/>
        <v>0</v>
      </c>
      <c r="G83" s="33">
        <f t="shared" si="4"/>
        <v>0</v>
      </c>
      <c r="H83" s="28"/>
      <c r="I83" s="28"/>
      <c r="J83" s="28"/>
      <c r="K83" s="28"/>
      <c r="L83" s="28"/>
      <c r="M83" s="28"/>
      <c r="N83" s="28"/>
      <c r="O83" s="28"/>
      <c r="P83" s="28"/>
      <c r="Q83" s="28"/>
      <c r="R83" s="28"/>
      <c r="S83" s="28"/>
      <c r="T83" s="28"/>
      <c r="U83" s="28"/>
      <c r="V83" s="28"/>
      <c r="W83" s="28"/>
      <c r="X83" s="28"/>
      <c r="Y83" s="28"/>
      <c r="Z83" s="28"/>
    </row>
    <row r="84" spans="1:26" ht="15.75" customHeight="1">
      <c r="A84" s="28"/>
      <c r="B84" s="708"/>
      <c r="C84" s="708"/>
      <c r="D84" s="708"/>
      <c r="E84" s="709"/>
      <c r="F84" s="33">
        <f t="shared" si="3"/>
        <v>0</v>
      </c>
      <c r="G84" s="33">
        <f t="shared" si="4"/>
        <v>0</v>
      </c>
      <c r="H84" s="28"/>
      <c r="I84" s="28"/>
      <c r="J84" s="28"/>
      <c r="K84" s="28"/>
      <c r="L84" s="28"/>
      <c r="M84" s="28"/>
      <c r="N84" s="28"/>
      <c r="O84" s="28"/>
      <c r="P84" s="28"/>
      <c r="Q84" s="28"/>
      <c r="R84" s="28"/>
      <c r="S84" s="28"/>
      <c r="T84" s="28"/>
      <c r="U84" s="28"/>
      <c r="V84" s="28"/>
      <c r="W84" s="28"/>
      <c r="X84" s="28"/>
      <c r="Y84" s="28"/>
      <c r="Z84" s="28"/>
    </row>
    <row r="85" spans="1:26" ht="15.75" customHeight="1">
      <c r="A85" s="28"/>
      <c r="B85" s="708"/>
      <c r="C85" s="708"/>
      <c r="D85" s="708"/>
      <c r="E85" s="709"/>
      <c r="F85" s="33">
        <f t="shared" si="3"/>
        <v>0</v>
      </c>
      <c r="G85" s="33">
        <f t="shared" si="4"/>
        <v>0</v>
      </c>
      <c r="H85" s="28"/>
      <c r="I85" s="28"/>
      <c r="J85" s="28"/>
      <c r="K85" s="28"/>
      <c r="L85" s="28"/>
      <c r="M85" s="28"/>
      <c r="N85" s="28"/>
      <c r="O85" s="28"/>
      <c r="P85" s="28"/>
      <c r="Q85" s="28"/>
      <c r="R85" s="28"/>
      <c r="S85" s="28"/>
      <c r="T85" s="28"/>
      <c r="U85" s="28"/>
      <c r="V85" s="28"/>
      <c r="W85" s="28"/>
      <c r="X85" s="28"/>
      <c r="Y85" s="28"/>
      <c r="Z85" s="28"/>
    </row>
    <row r="86" spans="1:26" ht="15.75" customHeight="1">
      <c r="A86" s="28"/>
      <c r="B86" s="708"/>
      <c r="C86" s="708"/>
      <c r="D86" s="708"/>
      <c r="E86" s="709"/>
      <c r="F86" s="33">
        <f t="shared" si="3"/>
        <v>0</v>
      </c>
      <c r="G86" s="33">
        <f t="shared" si="4"/>
        <v>0</v>
      </c>
      <c r="H86" s="28"/>
      <c r="I86" s="28"/>
      <c r="J86" s="28"/>
      <c r="K86" s="28"/>
      <c r="L86" s="28"/>
      <c r="M86" s="28"/>
      <c r="N86" s="28"/>
      <c r="O86" s="28"/>
      <c r="P86" s="28"/>
      <c r="Q86" s="28"/>
      <c r="R86" s="28"/>
      <c r="S86" s="28"/>
      <c r="T86" s="28"/>
      <c r="U86" s="28"/>
      <c r="V86" s="28"/>
      <c r="W86" s="28"/>
      <c r="X86" s="28"/>
      <c r="Y86" s="28"/>
      <c r="Z86" s="28"/>
    </row>
    <row r="87" spans="1:26" ht="15.75" customHeight="1">
      <c r="A87" s="28"/>
      <c r="B87" s="708"/>
      <c r="C87" s="708"/>
      <c r="D87" s="708"/>
      <c r="E87" s="709"/>
      <c r="F87" s="33">
        <f t="shared" si="3"/>
        <v>0</v>
      </c>
      <c r="G87" s="33">
        <f t="shared" si="4"/>
        <v>0</v>
      </c>
      <c r="H87" s="28"/>
      <c r="I87" s="28"/>
      <c r="J87" s="28"/>
      <c r="K87" s="28"/>
      <c r="L87" s="28"/>
      <c r="M87" s="28"/>
      <c r="N87" s="28"/>
      <c r="O87" s="28"/>
      <c r="P87" s="28"/>
      <c r="Q87" s="28"/>
      <c r="R87" s="28"/>
      <c r="S87" s="28"/>
      <c r="T87" s="28"/>
      <c r="U87" s="28"/>
      <c r="V87" s="28"/>
      <c r="W87" s="28"/>
      <c r="X87" s="28"/>
      <c r="Y87" s="28"/>
      <c r="Z87" s="28"/>
    </row>
    <row r="88" spans="1:26" ht="15.75" customHeight="1">
      <c r="A88" s="28"/>
      <c r="B88" s="708"/>
      <c r="C88" s="708"/>
      <c r="D88" s="708"/>
      <c r="E88" s="709"/>
      <c r="F88" s="33">
        <f t="shared" si="3"/>
        <v>0</v>
      </c>
      <c r="G88" s="33">
        <f t="shared" si="4"/>
        <v>0</v>
      </c>
      <c r="H88" s="28"/>
      <c r="I88" s="28"/>
      <c r="J88" s="28"/>
      <c r="K88" s="28"/>
      <c r="L88" s="28"/>
      <c r="M88" s="28"/>
      <c r="N88" s="28"/>
      <c r="O88" s="28"/>
      <c r="P88" s="28"/>
      <c r="Q88" s="28"/>
      <c r="R88" s="28"/>
      <c r="S88" s="28"/>
      <c r="T88" s="28"/>
      <c r="U88" s="28"/>
      <c r="V88" s="28"/>
      <c r="W88" s="28"/>
      <c r="X88" s="28"/>
      <c r="Y88" s="28"/>
      <c r="Z88" s="28"/>
    </row>
    <row r="89" spans="1:26" ht="15.75" customHeight="1">
      <c r="A89" s="28"/>
      <c r="B89" s="708"/>
      <c r="C89" s="708"/>
      <c r="D89" s="708"/>
      <c r="E89" s="709"/>
      <c r="F89" s="33">
        <f t="shared" si="3"/>
        <v>0</v>
      </c>
      <c r="G89" s="33">
        <f t="shared" si="4"/>
        <v>0</v>
      </c>
      <c r="H89" s="28"/>
      <c r="I89" s="28"/>
      <c r="J89" s="28"/>
      <c r="K89" s="28"/>
      <c r="L89" s="28"/>
      <c r="M89" s="28"/>
      <c r="N89" s="28"/>
      <c r="O89" s="28"/>
      <c r="P89" s="28"/>
      <c r="Q89" s="28"/>
      <c r="R89" s="28"/>
      <c r="S89" s="28"/>
      <c r="T89" s="28"/>
      <c r="U89" s="28"/>
      <c r="V89" s="28"/>
      <c r="W89" s="28"/>
      <c r="X89" s="28"/>
      <c r="Y89" s="28"/>
      <c r="Z89" s="28"/>
    </row>
    <row r="90" spans="1:26" ht="15.75" customHeight="1">
      <c r="A90" s="28"/>
      <c r="B90" s="708"/>
      <c r="C90" s="708"/>
      <c r="D90" s="708"/>
      <c r="E90" s="709"/>
      <c r="F90" s="33">
        <f t="shared" si="3"/>
        <v>0</v>
      </c>
      <c r="G90" s="33">
        <f t="shared" si="4"/>
        <v>0</v>
      </c>
      <c r="H90" s="28"/>
      <c r="I90" s="28"/>
      <c r="J90" s="28"/>
      <c r="K90" s="28"/>
      <c r="L90" s="28"/>
      <c r="M90" s="28"/>
      <c r="N90" s="28"/>
      <c r="O90" s="28"/>
      <c r="P90" s="28"/>
      <c r="Q90" s="28"/>
      <c r="R90" s="28"/>
      <c r="S90" s="28"/>
      <c r="T90" s="28"/>
      <c r="U90" s="28"/>
      <c r="V90" s="28"/>
      <c r="W90" s="28"/>
      <c r="X90" s="28"/>
      <c r="Y90" s="28"/>
      <c r="Z90" s="28"/>
    </row>
    <row r="91" spans="1:26" ht="15.75" customHeight="1">
      <c r="A91" s="28"/>
      <c r="B91" s="708"/>
      <c r="C91" s="708"/>
      <c r="D91" s="708"/>
      <c r="E91" s="709"/>
      <c r="F91" s="33">
        <f t="shared" si="3"/>
        <v>0</v>
      </c>
      <c r="G91" s="33">
        <f t="shared" si="4"/>
        <v>0</v>
      </c>
      <c r="H91" s="28"/>
      <c r="I91" s="28"/>
      <c r="J91" s="28"/>
      <c r="K91" s="28"/>
      <c r="L91" s="28"/>
      <c r="M91" s="28"/>
      <c r="N91" s="28"/>
      <c r="O91" s="28"/>
      <c r="P91" s="28"/>
      <c r="Q91" s="28"/>
      <c r="R91" s="28"/>
      <c r="S91" s="28"/>
      <c r="T91" s="28"/>
      <c r="U91" s="28"/>
      <c r="V91" s="28"/>
      <c r="W91" s="28"/>
      <c r="X91" s="28"/>
      <c r="Y91" s="28"/>
      <c r="Z91" s="28"/>
    </row>
    <row r="92" spans="1:26" ht="15.75" customHeight="1">
      <c r="A92" s="28"/>
      <c r="B92" s="708"/>
      <c r="C92" s="708"/>
      <c r="D92" s="708"/>
      <c r="E92" s="709"/>
      <c r="F92" s="33">
        <f t="shared" si="3"/>
        <v>0</v>
      </c>
      <c r="G92" s="33">
        <f t="shared" si="4"/>
        <v>0</v>
      </c>
      <c r="H92" s="28"/>
      <c r="I92" s="28"/>
      <c r="J92" s="28"/>
      <c r="K92" s="28"/>
      <c r="L92" s="28"/>
      <c r="M92" s="28"/>
      <c r="N92" s="28"/>
      <c r="O92" s="28"/>
      <c r="P92" s="28"/>
      <c r="Q92" s="28"/>
      <c r="R92" s="28"/>
      <c r="S92" s="28"/>
      <c r="T92" s="28"/>
      <c r="U92" s="28"/>
      <c r="V92" s="28"/>
      <c r="W92" s="28"/>
      <c r="X92" s="28"/>
      <c r="Y92" s="28"/>
      <c r="Z92" s="28"/>
    </row>
    <row r="93" spans="1:26" ht="15.75" customHeight="1">
      <c r="A93" s="28"/>
      <c r="B93" s="708"/>
      <c r="C93" s="708"/>
      <c r="D93" s="708"/>
      <c r="E93" s="709"/>
      <c r="F93" s="33">
        <f t="shared" si="3"/>
        <v>0</v>
      </c>
      <c r="G93" s="33">
        <f t="shared" si="4"/>
        <v>0</v>
      </c>
      <c r="H93" s="28"/>
      <c r="I93" s="28"/>
      <c r="J93" s="28"/>
      <c r="K93" s="28"/>
      <c r="L93" s="28"/>
      <c r="M93" s="28"/>
      <c r="N93" s="28"/>
      <c r="O93" s="28"/>
      <c r="P93" s="28"/>
      <c r="Q93" s="28"/>
      <c r="R93" s="28"/>
      <c r="S93" s="28"/>
      <c r="T93" s="28"/>
      <c r="U93" s="28"/>
      <c r="V93" s="28"/>
      <c r="W93" s="28"/>
      <c r="X93" s="28"/>
      <c r="Y93" s="28"/>
      <c r="Z93" s="28"/>
    </row>
    <row r="94" spans="1:26" ht="15.75" customHeight="1">
      <c r="A94" s="28"/>
      <c r="B94" s="708"/>
      <c r="C94" s="708"/>
      <c r="D94" s="708"/>
      <c r="E94" s="709"/>
      <c r="F94" s="33">
        <f t="shared" si="3"/>
        <v>0</v>
      </c>
      <c r="G94" s="33">
        <f t="shared" si="4"/>
        <v>0</v>
      </c>
      <c r="H94" s="28"/>
      <c r="I94" s="28"/>
      <c r="J94" s="28"/>
      <c r="K94" s="28"/>
      <c r="L94" s="28"/>
      <c r="M94" s="28"/>
      <c r="N94" s="28"/>
      <c r="O94" s="28"/>
      <c r="P94" s="28"/>
      <c r="Q94" s="28"/>
      <c r="R94" s="28"/>
      <c r="S94" s="28"/>
      <c r="T94" s="28"/>
      <c r="U94" s="28"/>
      <c r="V94" s="28"/>
      <c r="W94" s="28"/>
      <c r="X94" s="28"/>
      <c r="Y94" s="28"/>
      <c r="Z94" s="28"/>
    </row>
    <row r="95" spans="1:26" ht="15.75" customHeight="1">
      <c r="A95" s="28"/>
      <c r="B95" s="708"/>
      <c r="C95" s="708"/>
      <c r="D95" s="708"/>
      <c r="E95" s="709"/>
      <c r="F95" s="33">
        <f t="shared" si="3"/>
        <v>0</v>
      </c>
      <c r="G95" s="33">
        <f t="shared" si="4"/>
        <v>0</v>
      </c>
      <c r="H95" s="28"/>
      <c r="I95" s="28"/>
      <c r="J95" s="28"/>
      <c r="K95" s="28"/>
      <c r="L95" s="28"/>
      <c r="M95" s="28"/>
      <c r="N95" s="28"/>
      <c r="O95" s="28"/>
      <c r="P95" s="28"/>
      <c r="Q95" s="28"/>
      <c r="R95" s="28"/>
      <c r="S95" s="28"/>
      <c r="T95" s="28"/>
      <c r="U95" s="28"/>
      <c r="V95" s="28"/>
      <c r="W95" s="28"/>
      <c r="X95" s="28"/>
      <c r="Y95" s="28"/>
      <c r="Z95" s="28"/>
    </row>
    <row r="96" spans="1:26" ht="15.75" customHeight="1">
      <c r="A96" s="28"/>
      <c r="B96" s="708"/>
      <c r="C96" s="708"/>
      <c r="D96" s="708"/>
      <c r="E96" s="709"/>
      <c r="F96" s="33">
        <f t="shared" si="3"/>
        <v>0</v>
      </c>
      <c r="G96" s="33">
        <f t="shared" si="4"/>
        <v>0</v>
      </c>
      <c r="H96" s="28"/>
      <c r="I96" s="28"/>
      <c r="J96" s="28"/>
      <c r="K96" s="28"/>
      <c r="L96" s="28"/>
      <c r="M96" s="28"/>
      <c r="N96" s="28"/>
      <c r="O96" s="28"/>
      <c r="P96" s="28"/>
      <c r="Q96" s="28"/>
      <c r="R96" s="28"/>
      <c r="S96" s="28"/>
      <c r="T96" s="28"/>
      <c r="U96" s="28"/>
      <c r="V96" s="28"/>
      <c r="W96" s="28"/>
      <c r="X96" s="28"/>
      <c r="Y96" s="28"/>
      <c r="Z96" s="28"/>
    </row>
    <row r="97" spans="1:26" ht="15.75" customHeight="1">
      <c r="A97" s="28"/>
      <c r="B97" s="708"/>
      <c r="C97" s="708"/>
      <c r="D97" s="708"/>
      <c r="E97" s="709"/>
      <c r="F97" s="33">
        <f t="shared" si="3"/>
        <v>0</v>
      </c>
      <c r="G97" s="33">
        <f t="shared" si="4"/>
        <v>0</v>
      </c>
      <c r="H97" s="28"/>
      <c r="I97" s="28"/>
      <c r="J97" s="28"/>
      <c r="K97" s="28"/>
      <c r="L97" s="28"/>
      <c r="M97" s="28"/>
      <c r="N97" s="28"/>
      <c r="O97" s="28"/>
      <c r="P97" s="28"/>
      <c r="Q97" s="28"/>
      <c r="R97" s="28"/>
      <c r="S97" s="28"/>
      <c r="T97" s="28"/>
      <c r="U97" s="28"/>
      <c r="V97" s="28"/>
      <c r="W97" s="28"/>
      <c r="X97" s="28"/>
      <c r="Y97" s="28"/>
      <c r="Z97" s="28"/>
    </row>
    <row r="98" spans="1:26" ht="15.75" customHeight="1">
      <c r="A98" s="28"/>
      <c r="B98" s="708"/>
      <c r="C98" s="708"/>
      <c r="D98" s="708"/>
      <c r="E98" s="709"/>
      <c r="F98" s="33">
        <f t="shared" si="3"/>
        <v>0</v>
      </c>
      <c r="G98" s="33">
        <f t="shared" si="4"/>
        <v>0</v>
      </c>
      <c r="H98" s="28"/>
      <c r="I98" s="28"/>
      <c r="J98" s="28"/>
      <c r="K98" s="28"/>
      <c r="L98" s="28"/>
      <c r="M98" s="28"/>
      <c r="N98" s="28"/>
      <c r="O98" s="28"/>
      <c r="P98" s="28"/>
      <c r="Q98" s="28"/>
      <c r="R98" s="28"/>
      <c r="S98" s="28"/>
      <c r="T98" s="28"/>
      <c r="U98" s="28"/>
      <c r="V98" s="28"/>
      <c r="W98" s="28"/>
      <c r="X98" s="28"/>
      <c r="Y98" s="28"/>
      <c r="Z98" s="28"/>
    </row>
    <row r="99" spans="1:26" ht="15.75" customHeight="1">
      <c r="A99" s="28"/>
      <c r="B99" s="708"/>
      <c r="C99" s="708"/>
      <c r="D99" s="708"/>
      <c r="E99" s="709"/>
      <c r="F99" s="33">
        <f t="shared" si="3"/>
        <v>0</v>
      </c>
      <c r="G99" s="33">
        <f t="shared" si="4"/>
        <v>0</v>
      </c>
      <c r="H99" s="28"/>
      <c r="I99" s="28"/>
      <c r="J99" s="28"/>
      <c r="K99" s="28"/>
      <c r="L99" s="28"/>
      <c r="M99" s="28"/>
      <c r="N99" s="28"/>
      <c r="O99" s="28"/>
      <c r="P99" s="28"/>
      <c r="Q99" s="28"/>
      <c r="R99" s="28"/>
      <c r="S99" s="28"/>
      <c r="T99" s="28"/>
      <c r="U99" s="28"/>
      <c r="V99" s="28"/>
      <c r="W99" s="28"/>
      <c r="X99" s="28"/>
      <c r="Y99" s="28"/>
      <c r="Z99" s="28"/>
    </row>
    <row r="100" spans="1:26" ht="15.75" customHeight="1">
      <c r="A100" s="28"/>
      <c r="B100" s="708"/>
      <c r="C100" s="708"/>
      <c r="D100" s="708"/>
      <c r="E100" s="709"/>
      <c r="F100" s="33">
        <f t="shared" si="3"/>
        <v>0</v>
      </c>
      <c r="G100" s="33">
        <f t="shared" si="4"/>
        <v>0</v>
      </c>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708"/>
      <c r="C101" s="708"/>
      <c r="D101" s="708"/>
      <c r="E101" s="709"/>
      <c r="F101" s="33">
        <f t="shared" si="3"/>
        <v>0</v>
      </c>
      <c r="G101" s="33">
        <f t="shared" si="4"/>
        <v>0</v>
      </c>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8"/>
      <c r="B102" s="708"/>
      <c r="C102" s="708"/>
      <c r="D102" s="708"/>
      <c r="E102" s="709"/>
      <c r="F102" s="33">
        <f t="shared" si="3"/>
        <v>0</v>
      </c>
      <c r="G102" s="33">
        <f t="shared" si="4"/>
        <v>0</v>
      </c>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8"/>
      <c r="B103" s="708"/>
      <c r="C103" s="708"/>
      <c r="D103" s="708"/>
      <c r="E103" s="709"/>
      <c r="F103" s="33">
        <f t="shared" si="3"/>
        <v>0</v>
      </c>
      <c r="G103" s="33">
        <f t="shared" si="4"/>
        <v>0</v>
      </c>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8"/>
      <c r="B104" s="708"/>
      <c r="C104" s="708"/>
      <c r="D104" s="708"/>
      <c r="E104" s="709"/>
      <c r="F104" s="33">
        <f t="shared" si="3"/>
        <v>0</v>
      </c>
      <c r="G104" s="33">
        <f t="shared" si="4"/>
        <v>0</v>
      </c>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8"/>
      <c r="B105" s="708"/>
      <c r="C105" s="708"/>
      <c r="D105" s="708"/>
      <c r="E105" s="709"/>
      <c r="F105" s="33">
        <f t="shared" si="3"/>
        <v>0</v>
      </c>
      <c r="G105" s="33">
        <f t="shared" si="4"/>
        <v>0</v>
      </c>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8"/>
      <c r="B106" s="708"/>
      <c r="C106" s="708"/>
      <c r="D106" s="708"/>
      <c r="E106" s="709"/>
      <c r="F106" s="33">
        <f t="shared" si="3"/>
        <v>0</v>
      </c>
      <c r="G106" s="33">
        <f t="shared" si="4"/>
        <v>0</v>
      </c>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8"/>
      <c r="B107" s="708"/>
      <c r="C107" s="708"/>
      <c r="D107" s="708"/>
      <c r="E107" s="709"/>
      <c r="F107" s="33">
        <f t="shared" si="3"/>
        <v>0</v>
      </c>
      <c r="G107" s="33">
        <f t="shared" si="4"/>
        <v>0</v>
      </c>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8"/>
      <c r="B108" s="708"/>
      <c r="C108" s="708"/>
      <c r="D108" s="708"/>
      <c r="E108" s="709"/>
      <c r="F108" s="33">
        <f t="shared" si="3"/>
        <v>0</v>
      </c>
      <c r="G108" s="33">
        <f t="shared" si="4"/>
        <v>0</v>
      </c>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8"/>
      <c r="B109" s="708"/>
      <c r="C109" s="708"/>
      <c r="D109" s="708"/>
      <c r="E109" s="709"/>
      <c r="F109" s="33">
        <f t="shared" si="3"/>
        <v>0</v>
      </c>
      <c r="G109" s="33">
        <f t="shared" si="4"/>
        <v>0</v>
      </c>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8"/>
      <c r="B110" s="708"/>
      <c r="C110" s="708"/>
      <c r="D110" s="708"/>
      <c r="E110" s="709"/>
      <c r="F110" s="33">
        <f t="shared" si="3"/>
        <v>0</v>
      </c>
      <c r="G110" s="33">
        <f t="shared" si="4"/>
        <v>0</v>
      </c>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8"/>
      <c r="B111" s="708"/>
      <c r="C111" s="708"/>
      <c r="D111" s="708"/>
      <c r="E111" s="709"/>
      <c r="F111" s="33">
        <f t="shared" si="3"/>
        <v>0</v>
      </c>
      <c r="G111" s="33">
        <f t="shared" si="4"/>
        <v>0</v>
      </c>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8"/>
      <c r="B112" s="708"/>
      <c r="C112" s="708"/>
      <c r="D112" s="708"/>
      <c r="E112" s="709"/>
      <c r="F112" s="33">
        <f t="shared" si="3"/>
        <v>0</v>
      </c>
      <c r="G112" s="33">
        <f t="shared" si="4"/>
        <v>0</v>
      </c>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8"/>
      <c r="B113" s="708"/>
      <c r="C113" s="708"/>
      <c r="D113" s="708"/>
      <c r="E113" s="709"/>
      <c r="F113" s="33">
        <f t="shared" si="3"/>
        <v>0</v>
      </c>
      <c r="G113" s="33">
        <f t="shared" si="4"/>
        <v>0</v>
      </c>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8"/>
      <c r="B114" s="708"/>
      <c r="C114" s="708"/>
      <c r="D114" s="708"/>
      <c r="E114" s="709"/>
      <c r="F114" s="33">
        <f t="shared" si="3"/>
        <v>0</v>
      </c>
      <c r="G114" s="33">
        <f t="shared" si="4"/>
        <v>0</v>
      </c>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8"/>
      <c r="B115" s="708"/>
      <c r="C115" s="708"/>
      <c r="D115" s="708"/>
      <c r="E115" s="709"/>
      <c r="F115" s="33">
        <f t="shared" si="3"/>
        <v>0</v>
      </c>
      <c r="G115" s="33">
        <f t="shared" si="4"/>
        <v>0</v>
      </c>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8"/>
      <c r="B116" s="708"/>
      <c r="C116" s="708"/>
      <c r="D116" s="708"/>
      <c r="E116" s="709"/>
      <c r="F116" s="33">
        <f t="shared" si="3"/>
        <v>0</v>
      </c>
      <c r="G116" s="33">
        <f t="shared" si="4"/>
        <v>0</v>
      </c>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8"/>
      <c r="B117" s="708"/>
      <c r="C117" s="708"/>
      <c r="D117" s="708"/>
      <c r="E117" s="709"/>
      <c r="F117" s="33">
        <f t="shared" si="3"/>
        <v>0</v>
      </c>
      <c r="G117" s="33">
        <f t="shared" si="4"/>
        <v>0</v>
      </c>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8"/>
      <c r="B118" s="708"/>
      <c r="C118" s="708"/>
      <c r="D118" s="708"/>
      <c r="E118" s="709"/>
      <c r="F118" s="33">
        <f t="shared" si="3"/>
        <v>0</v>
      </c>
      <c r="G118" s="33">
        <f t="shared" si="4"/>
        <v>0</v>
      </c>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8"/>
      <c r="B119" s="708"/>
      <c r="C119" s="708"/>
      <c r="D119" s="708"/>
      <c r="E119" s="709"/>
      <c r="F119" s="33">
        <f t="shared" si="3"/>
        <v>0</v>
      </c>
      <c r="G119" s="33">
        <f t="shared" si="4"/>
        <v>0</v>
      </c>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8"/>
      <c r="B120" s="708"/>
      <c r="C120" s="708"/>
      <c r="D120" s="708"/>
      <c r="E120" s="709"/>
      <c r="F120" s="33">
        <f t="shared" si="3"/>
        <v>0</v>
      </c>
      <c r="G120" s="33">
        <f t="shared" si="4"/>
        <v>0</v>
      </c>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8"/>
      <c r="B121" s="708"/>
      <c r="C121" s="708"/>
      <c r="D121" s="708"/>
      <c r="E121" s="709"/>
      <c r="F121" s="33">
        <f t="shared" si="3"/>
        <v>0</v>
      </c>
      <c r="G121" s="33">
        <f t="shared" si="4"/>
        <v>0</v>
      </c>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8"/>
      <c r="B122" s="708"/>
      <c r="C122" s="708"/>
      <c r="D122" s="708"/>
      <c r="E122" s="709"/>
      <c r="F122" s="33">
        <f t="shared" si="3"/>
        <v>0</v>
      </c>
      <c r="G122" s="33">
        <f t="shared" si="4"/>
        <v>0</v>
      </c>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8"/>
      <c r="B123" s="708"/>
      <c r="C123" s="708"/>
      <c r="D123" s="708"/>
      <c r="E123" s="709"/>
      <c r="F123" s="33">
        <f t="shared" si="3"/>
        <v>0</v>
      </c>
      <c r="G123" s="33">
        <f t="shared" si="4"/>
        <v>0</v>
      </c>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8"/>
      <c r="B124" s="708"/>
      <c r="C124" s="708"/>
      <c r="D124" s="708"/>
      <c r="E124" s="709"/>
      <c r="F124" s="33">
        <f t="shared" si="3"/>
        <v>0</v>
      </c>
      <c r="G124" s="33">
        <f t="shared" si="4"/>
        <v>0</v>
      </c>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8"/>
      <c r="B125" s="708"/>
      <c r="C125" s="708"/>
      <c r="D125" s="708"/>
      <c r="E125" s="709"/>
      <c r="F125" s="33">
        <f t="shared" si="3"/>
        <v>0</v>
      </c>
      <c r="G125" s="33">
        <f t="shared" si="4"/>
        <v>0</v>
      </c>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8"/>
      <c r="B126" s="708"/>
      <c r="C126" s="708"/>
      <c r="D126" s="708"/>
      <c r="E126" s="709"/>
      <c r="F126" s="33">
        <f t="shared" si="3"/>
        <v>0</v>
      </c>
      <c r="G126" s="33">
        <f t="shared" si="4"/>
        <v>0</v>
      </c>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8"/>
      <c r="B127" s="708"/>
      <c r="C127" s="708"/>
      <c r="D127" s="708"/>
      <c r="E127" s="709"/>
      <c r="F127" s="33">
        <f t="shared" si="3"/>
        <v>0</v>
      </c>
      <c r="G127" s="33">
        <f t="shared" si="4"/>
        <v>0</v>
      </c>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8"/>
      <c r="B128" s="708"/>
      <c r="C128" s="708"/>
      <c r="D128" s="708"/>
      <c r="E128" s="709"/>
      <c r="F128" s="33">
        <f t="shared" si="3"/>
        <v>0</v>
      </c>
      <c r="G128" s="33">
        <f t="shared" si="4"/>
        <v>0</v>
      </c>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8"/>
      <c r="B129" s="708"/>
      <c r="C129" s="708"/>
      <c r="D129" s="708"/>
      <c r="E129" s="709"/>
      <c r="F129" s="33">
        <f t="shared" si="3"/>
        <v>0</v>
      </c>
      <c r="G129" s="33">
        <f t="shared" si="4"/>
        <v>0</v>
      </c>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8"/>
      <c r="B130" s="708"/>
      <c r="C130" s="708"/>
      <c r="D130" s="708"/>
      <c r="E130" s="709"/>
      <c r="F130" s="33">
        <f t="shared" si="3"/>
        <v>0</v>
      </c>
      <c r="G130" s="33">
        <f t="shared" si="4"/>
        <v>0</v>
      </c>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8"/>
      <c r="B131" s="708"/>
      <c r="C131" s="708"/>
      <c r="D131" s="708"/>
      <c r="E131" s="709"/>
      <c r="F131" s="33">
        <f t="shared" si="3"/>
        <v>0</v>
      </c>
      <c r="G131" s="33">
        <f t="shared" si="4"/>
        <v>0</v>
      </c>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8"/>
      <c r="B132" s="708"/>
      <c r="C132" s="708"/>
      <c r="D132" s="708"/>
      <c r="E132" s="709"/>
      <c r="F132" s="33">
        <f t="shared" si="3"/>
        <v>0</v>
      </c>
      <c r="G132" s="33">
        <f t="shared" si="4"/>
        <v>0</v>
      </c>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8"/>
      <c r="B133" s="708"/>
      <c r="C133" s="708"/>
      <c r="D133" s="708"/>
      <c r="E133" s="709"/>
      <c r="F133" s="33">
        <f t="shared" si="3"/>
        <v>0</v>
      </c>
      <c r="G133" s="33">
        <f t="shared" si="4"/>
        <v>0</v>
      </c>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8"/>
      <c r="B134" s="708"/>
      <c r="C134" s="708"/>
      <c r="D134" s="708"/>
      <c r="E134" s="709"/>
      <c r="F134" s="33">
        <f t="shared" si="3"/>
        <v>0</v>
      </c>
      <c r="G134" s="33">
        <f t="shared" si="4"/>
        <v>0</v>
      </c>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8"/>
      <c r="B135" s="708"/>
      <c r="C135" s="708"/>
      <c r="D135" s="708"/>
      <c r="E135" s="709"/>
      <c r="F135" s="33">
        <f t="shared" si="3"/>
        <v>0</v>
      </c>
      <c r="G135" s="33">
        <f t="shared" si="4"/>
        <v>0</v>
      </c>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8"/>
      <c r="B136" s="708"/>
      <c r="C136" s="708"/>
      <c r="D136" s="708"/>
      <c r="E136" s="709"/>
      <c r="F136" s="33">
        <f t="shared" si="3"/>
        <v>0</v>
      </c>
      <c r="G136" s="33">
        <f t="shared" si="4"/>
        <v>0</v>
      </c>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8"/>
      <c r="B137" s="708"/>
      <c r="C137" s="708"/>
      <c r="D137" s="708"/>
      <c r="E137" s="709"/>
      <c r="F137" s="33">
        <f t="shared" si="3"/>
        <v>0</v>
      </c>
      <c r="G137" s="33">
        <f t="shared" si="4"/>
        <v>0</v>
      </c>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8"/>
      <c r="B138" s="708"/>
      <c r="C138" s="708"/>
      <c r="D138" s="708"/>
      <c r="E138" s="709"/>
      <c r="F138" s="33">
        <f t="shared" si="3"/>
        <v>0</v>
      </c>
      <c r="G138" s="33">
        <f t="shared" si="4"/>
        <v>0</v>
      </c>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8"/>
      <c r="B139" s="708"/>
      <c r="C139" s="708"/>
      <c r="D139" s="708"/>
      <c r="E139" s="709"/>
      <c r="F139" s="33">
        <f t="shared" si="3"/>
        <v>0</v>
      </c>
      <c r="G139" s="33">
        <f t="shared" si="4"/>
        <v>0</v>
      </c>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8"/>
      <c r="B140" s="708"/>
      <c r="C140" s="708"/>
      <c r="D140" s="708"/>
      <c r="E140" s="709"/>
      <c r="F140" s="33">
        <f t="shared" si="3"/>
        <v>0</v>
      </c>
      <c r="G140" s="33">
        <f t="shared" si="4"/>
        <v>0</v>
      </c>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8"/>
      <c r="B141" s="708"/>
      <c r="C141" s="708"/>
      <c r="D141" s="708"/>
      <c r="E141" s="709"/>
      <c r="F141" s="33">
        <f t="shared" si="3"/>
        <v>0</v>
      </c>
      <c r="G141" s="33">
        <f t="shared" si="4"/>
        <v>0</v>
      </c>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8"/>
      <c r="B142" s="708"/>
      <c r="C142" s="708"/>
      <c r="D142" s="708"/>
      <c r="E142" s="709"/>
      <c r="F142" s="33">
        <f t="shared" si="3"/>
        <v>0</v>
      </c>
      <c r="G142" s="33">
        <f t="shared" si="4"/>
        <v>0</v>
      </c>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8"/>
      <c r="B143" s="708"/>
      <c r="C143" s="708"/>
      <c r="D143" s="708"/>
      <c r="E143" s="709"/>
      <c r="F143" s="33">
        <f t="shared" si="3"/>
        <v>0</v>
      </c>
      <c r="G143" s="33">
        <f t="shared" si="4"/>
        <v>0</v>
      </c>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8"/>
      <c r="B144" s="708"/>
      <c r="C144" s="708"/>
      <c r="D144" s="708"/>
      <c r="E144" s="709"/>
      <c r="F144" s="33">
        <f t="shared" si="3"/>
        <v>0</v>
      </c>
      <c r="G144" s="33">
        <f t="shared" si="4"/>
        <v>0</v>
      </c>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8"/>
      <c r="B145" s="708"/>
      <c r="C145" s="708"/>
      <c r="D145" s="708"/>
      <c r="E145" s="709"/>
      <c r="F145" s="33">
        <f t="shared" si="3"/>
        <v>0</v>
      </c>
      <c r="G145" s="33">
        <f t="shared" si="4"/>
        <v>0</v>
      </c>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8"/>
      <c r="B146" s="708"/>
      <c r="C146" s="708"/>
      <c r="D146" s="708"/>
      <c r="E146" s="709"/>
      <c r="F146" s="33">
        <f t="shared" si="3"/>
        <v>0</v>
      </c>
      <c r="G146" s="33">
        <f t="shared" si="4"/>
        <v>0</v>
      </c>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8"/>
      <c r="B147" s="708"/>
      <c r="C147" s="708"/>
      <c r="D147" s="708"/>
      <c r="E147" s="709"/>
      <c r="F147" s="33">
        <f t="shared" si="3"/>
        <v>0</v>
      </c>
      <c r="G147" s="33">
        <f t="shared" si="4"/>
        <v>0</v>
      </c>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8"/>
      <c r="B148" s="708"/>
      <c r="C148" s="708"/>
      <c r="D148" s="708"/>
      <c r="E148" s="709"/>
      <c r="F148" s="33">
        <f t="shared" si="3"/>
        <v>0</v>
      </c>
      <c r="G148" s="33">
        <f t="shared" si="4"/>
        <v>0</v>
      </c>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8"/>
      <c r="B149" s="708"/>
      <c r="C149" s="708"/>
      <c r="D149" s="708"/>
      <c r="E149" s="709"/>
      <c r="F149" s="33">
        <f t="shared" si="3"/>
        <v>0</v>
      </c>
      <c r="G149" s="33">
        <f t="shared" si="4"/>
        <v>0</v>
      </c>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8"/>
      <c r="B150" s="708"/>
      <c r="C150" s="708"/>
      <c r="D150" s="708"/>
      <c r="E150" s="709"/>
      <c r="F150" s="33">
        <f t="shared" si="3"/>
        <v>0</v>
      </c>
      <c r="G150" s="33">
        <f t="shared" si="4"/>
        <v>0</v>
      </c>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8"/>
      <c r="B151" s="708"/>
      <c r="C151" s="708"/>
      <c r="D151" s="708"/>
      <c r="E151" s="709"/>
      <c r="F151" s="33">
        <f t="shared" si="3"/>
        <v>0</v>
      </c>
      <c r="G151" s="33">
        <f t="shared" si="4"/>
        <v>0</v>
      </c>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8"/>
      <c r="B152" s="708"/>
      <c r="C152" s="708"/>
      <c r="D152" s="708"/>
      <c r="E152" s="709"/>
      <c r="F152" s="33">
        <f t="shared" si="3"/>
        <v>0</v>
      </c>
      <c r="G152" s="33">
        <f t="shared" si="4"/>
        <v>0</v>
      </c>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8"/>
      <c r="B153" s="708"/>
      <c r="C153" s="708"/>
      <c r="D153" s="708"/>
      <c r="E153" s="709"/>
      <c r="F153" s="33">
        <f t="shared" si="3"/>
        <v>0</v>
      </c>
      <c r="G153" s="33">
        <f t="shared" si="4"/>
        <v>0</v>
      </c>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8"/>
      <c r="B154" s="708"/>
      <c r="C154" s="708"/>
      <c r="D154" s="708"/>
      <c r="E154" s="709"/>
      <c r="F154" s="33">
        <f t="shared" si="3"/>
        <v>0</v>
      </c>
      <c r="G154" s="33">
        <f t="shared" si="4"/>
        <v>0</v>
      </c>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8"/>
      <c r="B155" s="708"/>
      <c r="C155" s="708"/>
      <c r="D155" s="708"/>
      <c r="E155" s="709"/>
      <c r="F155" s="33">
        <f t="shared" si="3"/>
        <v>0</v>
      </c>
      <c r="G155" s="33">
        <f t="shared" si="4"/>
        <v>0</v>
      </c>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8"/>
      <c r="B156" s="708"/>
      <c r="C156" s="708"/>
      <c r="D156" s="708"/>
      <c r="E156" s="709"/>
      <c r="F156" s="33">
        <f t="shared" si="3"/>
        <v>0</v>
      </c>
      <c r="G156" s="33">
        <f t="shared" si="4"/>
        <v>0</v>
      </c>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8"/>
      <c r="B157" s="708"/>
      <c r="C157" s="708"/>
      <c r="D157" s="708"/>
      <c r="E157" s="709"/>
      <c r="F157" s="33">
        <f t="shared" si="3"/>
        <v>0</v>
      </c>
      <c r="G157" s="33">
        <f t="shared" si="4"/>
        <v>0</v>
      </c>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8"/>
      <c r="B158" s="708"/>
      <c r="C158" s="708"/>
      <c r="D158" s="708"/>
      <c r="E158" s="709"/>
      <c r="F158" s="33">
        <f t="shared" si="3"/>
        <v>0</v>
      </c>
      <c r="G158" s="33">
        <f t="shared" si="4"/>
        <v>0</v>
      </c>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8"/>
      <c r="B159" s="708"/>
      <c r="C159" s="708"/>
      <c r="D159" s="708"/>
      <c r="E159" s="709"/>
      <c r="F159" s="33">
        <f t="shared" si="3"/>
        <v>0</v>
      </c>
      <c r="G159" s="33">
        <f t="shared" si="4"/>
        <v>0</v>
      </c>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8"/>
      <c r="B160" s="708"/>
      <c r="C160" s="708"/>
      <c r="D160" s="708"/>
      <c r="E160" s="709"/>
      <c r="F160" s="33">
        <f t="shared" si="3"/>
        <v>0</v>
      </c>
      <c r="G160" s="33">
        <f t="shared" si="4"/>
        <v>0</v>
      </c>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8"/>
      <c r="B161" s="708"/>
      <c r="C161" s="708"/>
      <c r="D161" s="708"/>
      <c r="E161" s="709"/>
      <c r="F161" s="33">
        <f t="shared" si="3"/>
        <v>0</v>
      </c>
      <c r="G161" s="33">
        <f t="shared" si="4"/>
        <v>0</v>
      </c>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8"/>
      <c r="B162" s="708"/>
      <c r="C162" s="708"/>
      <c r="D162" s="708"/>
      <c r="E162" s="709"/>
      <c r="F162" s="33">
        <f t="shared" si="3"/>
        <v>0</v>
      </c>
      <c r="G162" s="33">
        <f t="shared" si="4"/>
        <v>0</v>
      </c>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8"/>
      <c r="B163" s="708"/>
      <c r="C163" s="708"/>
      <c r="D163" s="708"/>
      <c r="E163" s="709"/>
      <c r="F163" s="33">
        <f t="shared" si="3"/>
        <v>0</v>
      </c>
      <c r="G163" s="33">
        <f t="shared" si="4"/>
        <v>0</v>
      </c>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8"/>
      <c r="B164" s="708"/>
      <c r="C164" s="708"/>
      <c r="D164" s="708"/>
      <c r="E164" s="709"/>
      <c r="F164" s="33">
        <f t="shared" si="3"/>
        <v>0</v>
      </c>
      <c r="G164" s="33">
        <f t="shared" si="4"/>
        <v>0</v>
      </c>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8"/>
      <c r="B165" s="708"/>
      <c r="C165" s="708"/>
      <c r="D165" s="708"/>
      <c r="E165" s="709"/>
      <c r="F165" s="33">
        <f t="shared" si="3"/>
        <v>0</v>
      </c>
      <c r="G165" s="33">
        <f t="shared" si="4"/>
        <v>0</v>
      </c>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8"/>
      <c r="B166" s="708"/>
      <c r="C166" s="708"/>
      <c r="D166" s="708"/>
      <c r="E166" s="709"/>
      <c r="F166" s="33">
        <f t="shared" si="3"/>
        <v>0</v>
      </c>
      <c r="G166" s="33">
        <f t="shared" si="4"/>
        <v>0</v>
      </c>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8"/>
      <c r="B167" s="708"/>
      <c r="C167" s="708"/>
      <c r="D167" s="708"/>
      <c r="E167" s="709"/>
      <c r="F167" s="33">
        <f t="shared" si="3"/>
        <v>0</v>
      </c>
      <c r="G167" s="33">
        <f t="shared" si="4"/>
        <v>0</v>
      </c>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8"/>
      <c r="B168" s="708"/>
      <c r="C168" s="708"/>
      <c r="D168" s="708"/>
      <c r="E168" s="709"/>
      <c r="F168" s="33">
        <f t="shared" si="3"/>
        <v>0</v>
      </c>
      <c r="G168" s="33">
        <f t="shared" si="4"/>
        <v>0</v>
      </c>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8"/>
      <c r="B169" s="708"/>
      <c r="C169" s="708"/>
      <c r="D169" s="708"/>
      <c r="E169" s="709"/>
      <c r="F169" s="33">
        <f t="shared" si="3"/>
        <v>0</v>
      </c>
      <c r="G169" s="33">
        <f t="shared" si="4"/>
        <v>0</v>
      </c>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8"/>
      <c r="B170" s="708"/>
      <c r="C170" s="708"/>
      <c r="D170" s="708"/>
      <c r="E170" s="709"/>
      <c r="F170" s="33">
        <f t="shared" si="3"/>
        <v>0</v>
      </c>
      <c r="G170" s="33">
        <f t="shared" si="4"/>
        <v>0</v>
      </c>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8"/>
      <c r="B171" s="708"/>
      <c r="C171" s="708"/>
      <c r="D171" s="708"/>
      <c r="E171" s="709"/>
      <c r="F171" s="33">
        <f t="shared" si="3"/>
        <v>0</v>
      </c>
      <c r="G171" s="33">
        <f t="shared" si="4"/>
        <v>0</v>
      </c>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8"/>
      <c r="B172" s="708"/>
      <c r="C172" s="708"/>
      <c r="D172" s="708"/>
      <c r="E172" s="709"/>
      <c r="F172" s="33">
        <f t="shared" si="3"/>
        <v>0</v>
      </c>
      <c r="G172" s="33">
        <f t="shared" si="4"/>
        <v>0</v>
      </c>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8"/>
      <c r="B173" s="708"/>
      <c r="C173" s="708"/>
      <c r="D173" s="708"/>
      <c r="E173" s="709"/>
      <c r="F173" s="33">
        <f t="shared" si="3"/>
        <v>0</v>
      </c>
      <c r="G173" s="33">
        <f t="shared" si="4"/>
        <v>0</v>
      </c>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8"/>
      <c r="B174" s="708"/>
      <c r="C174" s="708"/>
      <c r="D174" s="708"/>
      <c r="E174" s="709"/>
      <c r="F174" s="33">
        <f t="shared" si="3"/>
        <v>0</v>
      </c>
      <c r="G174" s="33">
        <f t="shared" si="4"/>
        <v>0</v>
      </c>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8"/>
      <c r="B175" s="29"/>
      <c r="C175" s="29"/>
      <c r="D175" s="29"/>
      <c r="E175" s="30"/>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8"/>
      <c r="B176" s="29"/>
      <c r="C176" s="29"/>
      <c r="D176" s="29"/>
      <c r="E176" s="30"/>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8"/>
      <c r="B177" s="29"/>
      <c r="C177" s="29"/>
      <c r="D177" s="29"/>
      <c r="E177" s="30"/>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8"/>
      <c r="B178" s="29"/>
      <c r="C178" s="29"/>
      <c r="D178" s="29"/>
      <c r="E178" s="30"/>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8"/>
      <c r="B179" s="29"/>
      <c r="C179" s="29"/>
      <c r="D179" s="29"/>
      <c r="E179" s="30"/>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8"/>
      <c r="B180" s="29"/>
      <c r="C180" s="29"/>
      <c r="D180" s="29"/>
      <c r="E180" s="30"/>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8"/>
      <c r="B181" s="29"/>
      <c r="C181" s="29"/>
      <c r="D181" s="29"/>
      <c r="E181" s="30"/>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8"/>
      <c r="B182" s="29"/>
      <c r="C182" s="29"/>
      <c r="D182" s="29"/>
      <c r="E182" s="30"/>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8"/>
      <c r="B183" s="29"/>
      <c r="C183" s="29"/>
      <c r="D183" s="29"/>
      <c r="E183" s="30"/>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8"/>
      <c r="B184" s="29"/>
      <c r="C184" s="29"/>
      <c r="D184" s="29"/>
      <c r="E184" s="30"/>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8"/>
      <c r="B185" s="29"/>
      <c r="C185" s="29"/>
      <c r="D185" s="29"/>
      <c r="E185" s="30"/>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8"/>
      <c r="B186" s="29"/>
      <c r="C186" s="29"/>
      <c r="D186" s="29"/>
      <c r="E186" s="30"/>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8"/>
      <c r="B187" s="29"/>
      <c r="C187" s="29"/>
      <c r="D187" s="29"/>
      <c r="E187" s="30"/>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8"/>
      <c r="B188" s="29"/>
      <c r="C188" s="29"/>
      <c r="D188" s="29"/>
      <c r="E188" s="30"/>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8"/>
      <c r="B189" s="29"/>
      <c r="C189" s="29"/>
      <c r="D189" s="29"/>
      <c r="E189" s="30"/>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8"/>
      <c r="B190" s="29"/>
      <c r="C190" s="29"/>
      <c r="D190" s="29"/>
      <c r="E190" s="30"/>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8"/>
      <c r="B191" s="29"/>
      <c r="C191" s="29"/>
      <c r="D191" s="29"/>
      <c r="E191" s="30"/>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8"/>
      <c r="B192" s="29"/>
      <c r="C192" s="29"/>
      <c r="D192" s="29"/>
      <c r="E192" s="30"/>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8"/>
      <c r="B193" s="29"/>
      <c r="C193" s="29"/>
      <c r="D193" s="29"/>
      <c r="E193" s="30"/>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8"/>
      <c r="B194" s="29"/>
      <c r="C194" s="29"/>
      <c r="D194" s="29"/>
      <c r="E194" s="30"/>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8"/>
      <c r="B195" s="29"/>
      <c r="C195" s="29"/>
      <c r="D195" s="29"/>
      <c r="E195" s="30"/>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8"/>
      <c r="B196" s="29"/>
      <c r="C196" s="29"/>
      <c r="D196" s="29"/>
      <c r="E196" s="30"/>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8"/>
      <c r="B197" s="29"/>
      <c r="C197" s="29"/>
      <c r="D197" s="29"/>
      <c r="E197" s="30"/>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8"/>
      <c r="B198" s="29"/>
      <c r="C198" s="29"/>
      <c r="D198" s="29"/>
      <c r="E198" s="30"/>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8"/>
      <c r="B199" s="29"/>
      <c r="C199" s="29"/>
      <c r="D199" s="29"/>
      <c r="E199" s="30"/>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8"/>
      <c r="B200" s="29"/>
      <c r="C200" s="29"/>
      <c r="D200" s="29"/>
      <c r="E200" s="30"/>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8"/>
      <c r="B201" s="29"/>
      <c r="C201" s="29"/>
      <c r="D201" s="29"/>
      <c r="E201" s="30"/>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8"/>
      <c r="B202" s="29"/>
      <c r="C202" s="29"/>
      <c r="D202" s="29"/>
      <c r="E202" s="30"/>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8"/>
      <c r="B203" s="29"/>
      <c r="C203" s="29"/>
      <c r="D203" s="29"/>
      <c r="E203" s="30"/>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8"/>
      <c r="B204" s="29"/>
      <c r="C204" s="29"/>
      <c r="D204" s="29"/>
      <c r="E204" s="30"/>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8"/>
      <c r="B205" s="29"/>
      <c r="C205" s="29"/>
      <c r="D205" s="29"/>
      <c r="E205" s="30"/>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8"/>
      <c r="B206" s="29"/>
      <c r="C206" s="29"/>
      <c r="D206" s="29"/>
      <c r="E206" s="30"/>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8"/>
      <c r="B207" s="29"/>
      <c r="C207" s="29"/>
      <c r="D207" s="29"/>
      <c r="E207" s="30"/>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8"/>
      <c r="B208" s="29"/>
      <c r="C208" s="29"/>
      <c r="D208" s="29"/>
      <c r="E208" s="30"/>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8"/>
      <c r="B209" s="29"/>
      <c r="C209" s="29"/>
      <c r="D209" s="29"/>
      <c r="E209" s="30"/>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8"/>
      <c r="B210" s="29"/>
      <c r="C210" s="29"/>
      <c r="D210" s="29"/>
      <c r="E210" s="30"/>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8"/>
      <c r="B211" s="29"/>
      <c r="C211" s="29"/>
      <c r="D211" s="29"/>
      <c r="E211" s="30"/>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8"/>
      <c r="B212" s="29"/>
      <c r="C212" s="29"/>
      <c r="D212" s="29"/>
      <c r="E212" s="30"/>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8"/>
      <c r="B213" s="29"/>
      <c r="C213" s="29"/>
      <c r="D213" s="29"/>
      <c r="E213" s="30"/>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8"/>
      <c r="B214" s="29"/>
      <c r="C214" s="29"/>
      <c r="D214" s="29"/>
      <c r="E214" s="30"/>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8"/>
      <c r="B215" s="29"/>
      <c r="C215" s="29"/>
      <c r="D215" s="29"/>
      <c r="E215" s="30"/>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8"/>
      <c r="B216" s="29"/>
      <c r="C216" s="29"/>
      <c r="D216" s="29"/>
      <c r="E216" s="30"/>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8"/>
      <c r="B217" s="29"/>
      <c r="C217" s="29"/>
      <c r="D217" s="29"/>
      <c r="E217" s="30"/>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8"/>
      <c r="B218" s="29"/>
      <c r="C218" s="29"/>
      <c r="D218" s="29"/>
      <c r="E218" s="30"/>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8"/>
      <c r="B219" s="29"/>
      <c r="C219" s="29"/>
      <c r="D219" s="29"/>
      <c r="E219" s="30"/>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8"/>
      <c r="B220" s="29"/>
      <c r="C220" s="29"/>
      <c r="D220" s="29"/>
      <c r="E220" s="30"/>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8"/>
      <c r="B221" s="29"/>
      <c r="C221" s="29"/>
      <c r="D221" s="29"/>
      <c r="E221" s="30"/>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8"/>
      <c r="B222" s="29"/>
      <c r="C222" s="29"/>
      <c r="D222" s="29"/>
      <c r="E222" s="30"/>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8"/>
      <c r="B223" s="29"/>
      <c r="C223" s="29"/>
      <c r="D223" s="29"/>
      <c r="E223" s="30"/>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8"/>
      <c r="B224" s="29"/>
      <c r="C224" s="29"/>
      <c r="D224" s="29"/>
      <c r="E224" s="30"/>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8"/>
      <c r="B225" s="29"/>
      <c r="C225" s="29"/>
      <c r="D225" s="29"/>
      <c r="E225" s="30"/>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8"/>
      <c r="B226" s="29"/>
      <c r="C226" s="29"/>
      <c r="D226" s="29"/>
      <c r="E226" s="30"/>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8"/>
      <c r="B227" s="29"/>
      <c r="C227" s="29"/>
      <c r="D227" s="29"/>
      <c r="E227" s="30"/>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8"/>
      <c r="B228" s="29"/>
      <c r="C228" s="29"/>
      <c r="D228" s="29"/>
      <c r="E228" s="30"/>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8"/>
      <c r="B229" s="29"/>
      <c r="C229" s="29"/>
      <c r="D229" s="29"/>
      <c r="E229" s="30"/>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9"/>
      <c r="C230" s="29"/>
      <c r="D230" s="29"/>
      <c r="E230" s="30"/>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9"/>
      <c r="C231" s="29"/>
      <c r="D231" s="29"/>
      <c r="E231" s="30"/>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9"/>
      <c r="C232" s="29"/>
      <c r="D232" s="29"/>
      <c r="E232" s="30"/>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9"/>
      <c r="C233" s="29"/>
      <c r="D233" s="29"/>
      <c r="E233" s="30"/>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9"/>
      <c r="C234" s="29"/>
      <c r="D234" s="29"/>
      <c r="E234" s="30"/>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9"/>
      <c r="C235" s="29"/>
      <c r="D235" s="29"/>
      <c r="E235" s="30"/>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9"/>
      <c r="C236" s="29"/>
      <c r="D236" s="29"/>
      <c r="E236" s="30"/>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9"/>
      <c r="C237" s="29"/>
      <c r="D237" s="29"/>
      <c r="E237" s="30"/>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9"/>
      <c r="C238" s="29"/>
      <c r="D238" s="29"/>
      <c r="E238" s="30"/>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9"/>
      <c r="C239" s="29"/>
      <c r="D239" s="29"/>
      <c r="E239" s="30"/>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9"/>
      <c r="C240" s="29"/>
      <c r="D240" s="29"/>
      <c r="E240" s="30"/>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9"/>
      <c r="C241" s="29"/>
      <c r="D241" s="29"/>
      <c r="E241" s="30"/>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9"/>
      <c r="C242" s="29"/>
      <c r="D242" s="29"/>
      <c r="E242" s="30"/>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9"/>
      <c r="C243" s="29"/>
      <c r="D243" s="29"/>
      <c r="E243" s="30"/>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9"/>
      <c r="C244" s="29"/>
      <c r="D244" s="29"/>
      <c r="E244" s="30"/>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9"/>
      <c r="C245" s="29"/>
      <c r="D245" s="29"/>
      <c r="E245" s="30"/>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9"/>
      <c r="C246" s="29"/>
      <c r="D246" s="29"/>
      <c r="E246" s="30"/>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9"/>
      <c r="C247" s="29"/>
      <c r="D247" s="29"/>
      <c r="E247" s="30"/>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9"/>
      <c r="C248" s="29"/>
      <c r="D248" s="29"/>
      <c r="E248" s="30"/>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9"/>
      <c r="C249" s="29"/>
      <c r="D249" s="29"/>
      <c r="E249" s="30"/>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9"/>
      <c r="C250" s="29"/>
      <c r="D250" s="29"/>
      <c r="E250" s="30"/>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9"/>
      <c r="C251" s="29"/>
      <c r="D251" s="29"/>
      <c r="E251" s="30"/>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9"/>
      <c r="C252" s="29"/>
      <c r="D252" s="29"/>
      <c r="E252" s="30"/>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9"/>
      <c r="C253" s="29"/>
      <c r="D253" s="29"/>
      <c r="E253" s="30"/>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9"/>
      <c r="C254" s="29"/>
      <c r="D254" s="29"/>
      <c r="E254" s="30"/>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9"/>
      <c r="C255" s="29"/>
      <c r="D255" s="29"/>
      <c r="E255" s="30"/>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9"/>
      <c r="C256" s="29"/>
      <c r="D256" s="29"/>
      <c r="E256" s="30"/>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9"/>
      <c r="C257" s="29"/>
      <c r="D257" s="29"/>
      <c r="E257" s="30"/>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9"/>
      <c r="C258" s="29"/>
      <c r="D258" s="29"/>
      <c r="E258" s="30"/>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9"/>
      <c r="C259" s="29"/>
      <c r="D259" s="29"/>
      <c r="E259" s="30"/>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9"/>
      <c r="C260" s="29"/>
      <c r="D260" s="29"/>
      <c r="E260" s="30"/>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9"/>
      <c r="C261" s="29"/>
      <c r="D261" s="29"/>
      <c r="E261" s="30"/>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9"/>
      <c r="C262" s="29"/>
      <c r="D262" s="29"/>
      <c r="E262" s="30"/>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9"/>
      <c r="C263" s="29"/>
      <c r="D263" s="29"/>
      <c r="E263" s="30"/>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9"/>
      <c r="C264" s="29"/>
      <c r="D264" s="29"/>
      <c r="E264" s="30"/>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9"/>
      <c r="C265" s="29"/>
      <c r="D265" s="29"/>
      <c r="E265" s="30"/>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9"/>
      <c r="C266" s="29"/>
      <c r="D266" s="29"/>
      <c r="E266" s="30"/>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9"/>
      <c r="C267" s="29"/>
      <c r="D267" s="29"/>
      <c r="E267" s="30"/>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9"/>
      <c r="C268" s="29"/>
      <c r="D268" s="29"/>
      <c r="E268" s="30"/>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9"/>
      <c r="C269" s="29"/>
      <c r="D269" s="29"/>
      <c r="E269" s="30"/>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9"/>
      <c r="C270" s="29"/>
      <c r="D270" s="29"/>
      <c r="E270" s="30"/>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9"/>
      <c r="C271" s="29"/>
      <c r="D271" s="29"/>
      <c r="E271" s="30"/>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9"/>
      <c r="C272" s="29"/>
      <c r="D272" s="29"/>
      <c r="E272" s="30"/>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9"/>
      <c r="C273" s="29"/>
      <c r="D273" s="29"/>
      <c r="E273" s="30"/>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9"/>
      <c r="C274" s="29"/>
      <c r="D274" s="29"/>
      <c r="E274" s="30"/>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9"/>
      <c r="C275" s="29"/>
      <c r="D275" s="29"/>
      <c r="E275" s="30"/>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9"/>
      <c r="C276" s="29"/>
      <c r="D276" s="29"/>
      <c r="E276" s="30"/>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9"/>
      <c r="C277" s="29"/>
      <c r="D277" s="29"/>
      <c r="E277" s="30"/>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9"/>
      <c r="C278" s="29"/>
      <c r="D278" s="29"/>
      <c r="E278" s="30"/>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9"/>
      <c r="C279" s="29"/>
      <c r="D279" s="29"/>
      <c r="E279" s="30"/>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9"/>
      <c r="C280" s="29"/>
      <c r="D280" s="29"/>
      <c r="E280" s="30"/>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9"/>
      <c r="C281" s="29"/>
      <c r="D281" s="29"/>
      <c r="E281" s="30"/>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9"/>
      <c r="C282" s="29"/>
      <c r="D282" s="29"/>
      <c r="E282" s="30"/>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9"/>
      <c r="C283" s="29"/>
      <c r="D283" s="29"/>
      <c r="E283" s="30"/>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9"/>
      <c r="C284" s="29"/>
      <c r="D284" s="29"/>
      <c r="E284" s="30"/>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9"/>
      <c r="C285" s="29"/>
      <c r="D285" s="29"/>
      <c r="E285" s="30"/>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9"/>
      <c r="C286" s="29"/>
      <c r="D286" s="29"/>
      <c r="E286" s="30"/>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9"/>
      <c r="C287" s="29"/>
      <c r="D287" s="29"/>
      <c r="E287" s="30"/>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9"/>
      <c r="C288" s="29"/>
      <c r="D288" s="29"/>
      <c r="E288" s="30"/>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9"/>
      <c r="C289" s="29"/>
      <c r="D289" s="29"/>
      <c r="E289" s="30"/>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9"/>
      <c r="C290" s="29"/>
      <c r="D290" s="29"/>
      <c r="E290" s="30"/>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9"/>
      <c r="C291" s="29"/>
      <c r="D291" s="29"/>
      <c r="E291" s="30"/>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9"/>
      <c r="C292" s="29"/>
      <c r="D292" s="29"/>
      <c r="E292" s="30"/>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9"/>
      <c r="C293" s="29"/>
      <c r="D293" s="29"/>
      <c r="E293" s="30"/>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9"/>
      <c r="C294" s="29"/>
      <c r="D294" s="29"/>
      <c r="E294" s="30"/>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9"/>
      <c r="C295" s="29"/>
      <c r="D295" s="29"/>
      <c r="E295" s="30"/>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9"/>
      <c r="C296" s="29"/>
      <c r="D296" s="29"/>
      <c r="E296" s="30"/>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9"/>
      <c r="C297" s="29"/>
      <c r="D297" s="29"/>
      <c r="E297" s="30"/>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9"/>
      <c r="C298" s="29"/>
      <c r="D298" s="29"/>
      <c r="E298" s="30"/>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9"/>
      <c r="C299" s="29"/>
      <c r="D299" s="29"/>
      <c r="E299" s="30"/>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9"/>
      <c r="C300" s="29"/>
      <c r="D300" s="29"/>
      <c r="E300" s="30"/>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9"/>
      <c r="C301" s="29"/>
      <c r="D301" s="29"/>
      <c r="E301" s="30"/>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9"/>
      <c r="C302" s="29"/>
      <c r="D302" s="29"/>
      <c r="E302" s="30"/>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9"/>
      <c r="C303" s="29"/>
      <c r="D303" s="29"/>
      <c r="E303" s="30"/>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9"/>
      <c r="C304" s="29"/>
      <c r="D304" s="29"/>
      <c r="E304" s="30"/>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9"/>
      <c r="C305" s="29"/>
      <c r="D305" s="29"/>
      <c r="E305" s="30"/>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9"/>
      <c r="C306" s="29"/>
      <c r="D306" s="29"/>
      <c r="E306" s="30"/>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9"/>
      <c r="C307" s="29"/>
      <c r="D307" s="29"/>
      <c r="E307" s="30"/>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9"/>
      <c r="C308" s="29"/>
      <c r="D308" s="29"/>
      <c r="E308" s="30"/>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9"/>
      <c r="C309" s="29"/>
      <c r="D309" s="29"/>
      <c r="E309" s="30"/>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9"/>
      <c r="C310" s="29"/>
      <c r="D310" s="29"/>
      <c r="E310" s="30"/>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9"/>
      <c r="C311" s="29"/>
      <c r="D311" s="29"/>
      <c r="E311" s="30"/>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9"/>
      <c r="C312" s="29"/>
      <c r="D312" s="29"/>
      <c r="E312" s="30"/>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9"/>
      <c r="C313" s="29"/>
      <c r="D313" s="29"/>
      <c r="E313" s="30"/>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9"/>
      <c r="C314" s="29"/>
      <c r="D314" s="29"/>
      <c r="E314" s="30"/>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9"/>
      <c r="C315" s="29"/>
      <c r="D315" s="29"/>
      <c r="E315" s="30"/>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9"/>
      <c r="C316" s="29"/>
      <c r="D316" s="29"/>
      <c r="E316" s="30"/>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9"/>
      <c r="C317" s="29"/>
      <c r="D317" s="29"/>
      <c r="E317" s="30"/>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9"/>
      <c r="C318" s="29"/>
      <c r="D318" s="29"/>
      <c r="E318" s="30"/>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9"/>
      <c r="C319" s="29"/>
      <c r="D319" s="29"/>
      <c r="E319" s="30"/>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9"/>
      <c r="C320" s="29"/>
      <c r="D320" s="29"/>
      <c r="E320" s="30"/>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9"/>
      <c r="C321" s="29"/>
      <c r="D321" s="29"/>
      <c r="E321" s="30"/>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9"/>
      <c r="C322" s="29"/>
      <c r="D322" s="29"/>
      <c r="E322" s="30"/>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9"/>
      <c r="C323" s="29"/>
      <c r="D323" s="29"/>
      <c r="E323" s="30"/>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9"/>
      <c r="C324" s="29"/>
      <c r="D324" s="29"/>
      <c r="E324" s="30"/>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9"/>
      <c r="C325" s="29"/>
      <c r="D325" s="29"/>
      <c r="E325" s="30"/>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9"/>
      <c r="C326" s="29"/>
      <c r="D326" s="29"/>
      <c r="E326" s="30"/>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9"/>
      <c r="C327" s="29"/>
      <c r="D327" s="29"/>
      <c r="E327" s="30"/>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9"/>
      <c r="C328" s="29"/>
      <c r="D328" s="29"/>
      <c r="E328" s="30"/>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9"/>
      <c r="C329" s="29"/>
      <c r="D329" s="29"/>
      <c r="E329" s="30"/>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9"/>
      <c r="C330" s="29"/>
      <c r="D330" s="29"/>
      <c r="E330" s="30"/>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9"/>
      <c r="C331" s="29"/>
      <c r="D331" s="29"/>
      <c r="E331" s="30"/>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9"/>
      <c r="C332" s="29"/>
      <c r="D332" s="29"/>
      <c r="E332" s="30"/>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9"/>
      <c r="C333" s="29"/>
      <c r="D333" s="29"/>
      <c r="E333" s="30"/>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9"/>
      <c r="C334" s="29"/>
      <c r="D334" s="29"/>
      <c r="E334" s="30"/>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9"/>
      <c r="C335" s="29"/>
      <c r="D335" s="29"/>
      <c r="E335" s="30"/>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9"/>
      <c r="C336" s="29"/>
      <c r="D336" s="29"/>
      <c r="E336" s="30"/>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9"/>
      <c r="C337" s="29"/>
      <c r="D337" s="29"/>
      <c r="E337" s="30"/>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9"/>
      <c r="C338" s="29"/>
      <c r="D338" s="29"/>
      <c r="E338" s="30"/>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9"/>
      <c r="C339" s="29"/>
      <c r="D339" s="29"/>
      <c r="E339" s="30"/>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9"/>
      <c r="C340" s="29"/>
      <c r="D340" s="29"/>
      <c r="E340" s="30"/>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9"/>
      <c r="C341" s="29"/>
      <c r="D341" s="29"/>
      <c r="E341" s="30"/>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9"/>
      <c r="C342" s="29"/>
      <c r="D342" s="29"/>
      <c r="E342" s="30"/>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9"/>
      <c r="C343" s="29"/>
      <c r="D343" s="29"/>
      <c r="E343" s="30"/>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9"/>
      <c r="C344" s="29"/>
      <c r="D344" s="29"/>
      <c r="E344" s="30"/>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9"/>
      <c r="C345" s="29"/>
      <c r="D345" s="29"/>
      <c r="E345" s="30"/>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9"/>
      <c r="C346" s="29"/>
      <c r="D346" s="29"/>
      <c r="E346" s="30"/>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9"/>
      <c r="C347" s="29"/>
      <c r="D347" s="29"/>
      <c r="E347" s="30"/>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9"/>
      <c r="C348" s="29"/>
      <c r="D348" s="29"/>
      <c r="E348" s="30"/>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9"/>
      <c r="C349" s="29"/>
      <c r="D349" s="29"/>
      <c r="E349" s="30"/>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9"/>
      <c r="C350" s="29"/>
      <c r="D350" s="29"/>
      <c r="E350" s="30"/>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9"/>
      <c r="C351" s="29"/>
      <c r="D351" s="29"/>
      <c r="E351" s="30"/>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9"/>
      <c r="C352" s="29"/>
      <c r="D352" s="29"/>
      <c r="E352" s="30"/>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9"/>
      <c r="C353" s="29"/>
      <c r="D353" s="29"/>
      <c r="E353" s="30"/>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9"/>
      <c r="C354" s="29"/>
      <c r="D354" s="29"/>
      <c r="E354" s="30"/>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9"/>
      <c r="C355" s="29"/>
      <c r="D355" s="29"/>
      <c r="E355" s="30"/>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9"/>
      <c r="C356" s="29"/>
      <c r="D356" s="29"/>
      <c r="E356" s="30"/>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9"/>
      <c r="C357" s="29"/>
      <c r="D357" s="29"/>
      <c r="E357" s="30"/>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9"/>
      <c r="C358" s="29"/>
      <c r="D358" s="29"/>
      <c r="E358" s="30"/>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9"/>
      <c r="C359" s="29"/>
      <c r="D359" s="29"/>
      <c r="E359" s="30"/>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9"/>
      <c r="C360" s="29"/>
      <c r="D360" s="29"/>
      <c r="E360" s="30"/>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9"/>
      <c r="C361" s="29"/>
      <c r="D361" s="29"/>
      <c r="E361" s="30"/>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9"/>
      <c r="C362" s="29"/>
      <c r="D362" s="29"/>
      <c r="E362" s="30"/>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9"/>
      <c r="C363" s="29"/>
      <c r="D363" s="29"/>
      <c r="E363" s="30"/>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9"/>
      <c r="C364" s="29"/>
      <c r="D364" s="29"/>
      <c r="E364" s="30"/>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9"/>
      <c r="C365" s="29"/>
      <c r="D365" s="29"/>
      <c r="E365" s="30"/>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9"/>
      <c r="C366" s="29"/>
      <c r="D366" s="29"/>
      <c r="E366" s="30"/>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9"/>
      <c r="C367" s="29"/>
      <c r="D367" s="29"/>
      <c r="E367" s="30"/>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9"/>
      <c r="C368" s="29"/>
      <c r="D368" s="29"/>
      <c r="E368" s="30"/>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9"/>
      <c r="C369" s="29"/>
      <c r="D369" s="29"/>
      <c r="E369" s="30"/>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9"/>
      <c r="C370" s="29"/>
      <c r="D370" s="29"/>
      <c r="E370" s="30"/>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9"/>
      <c r="C371" s="29"/>
      <c r="D371" s="29"/>
      <c r="E371" s="30"/>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9"/>
      <c r="C372" s="29"/>
      <c r="D372" s="29"/>
      <c r="E372" s="30"/>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9"/>
      <c r="C373" s="29"/>
      <c r="D373" s="29"/>
      <c r="E373" s="30"/>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9"/>
      <c r="C374" s="29"/>
      <c r="D374" s="29"/>
      <c r="E374" s="30"/>
      <c r="F374" s="28"/>
      <c r="G374" s="28"/>
      <c r="H374" s="28"/>
      <c r="I374" s="28"/>
      <c r="J374" s="28"/>
      <c r="K374" s="28"/>
      <c r="L374" s="28"/>
      <c r="M374" s="28"/>
      <c r="N374" s="28"/>
      <c r="O374" s="28"/>
      <c r="P374" s="28"/>
      <c r="Q374" s="28"/>
      <c r="R374" s="28"/>
      <c r="S374" s="28"/>
      <c r="T374" s="28"/>
      <c r="U374" s="28"/>
      <c r="V374" s="28"/>
      <c r="W374" s="28"/>
      <c r="X374" s="28"/>
      <c r="Y374" s="28"/>
      <c r="Z374" s="28"/>
    </row>
    <row r="375" spans="1:26" ht="13.5" customHeight="1">
      <c r="A375" s="28"/>
      <c r="B375" s="29"/>
      <c r="C375" s="29"/>
      <c r="D375" s="29"/>
      <c r="E375" s="30"/>
      <c r="F375" s="28"/>
      <c r="G375" s="28"/>
      <c r="H375" s="28"/>
      <c r="I375" s="28"/>
      <c r="J375" s="28"/>
      <c r="K375" s="28"/>
      <c r="L375" s="28"/>
      <c r="M375" s="28"/>
      <c r="N375" s="28"/>
      <c r="O375" s="28"/>
      <c r="P375" s="28"/>
      <c r="Q375" s="28"/>
      <c r="R375" s="28"/>
      <c r="S375" s="28"/>
      <c r="T375" s="28"/>
      <c r="U375" s="28"/>
      <c r="V375" s="28"/>
      <c r="W375" s="28"/>
      <c r="X375" s="28"/>
      <c r="Y375" s="28"/>
      <c r="Z375" s="28"/>
    </row>
    <row r="376" spans="1:26" ht="13.5" customHeight="1">
      <c r="A376" s="28"/>
      <c r="B376" s="29"/>
      <c r="C376" s="29"/>
      <c r="D376" s="29"/>
      <c r="E376" s="30"/>
      <c r="F376" s="28"/>
      <c r="G376" s="28"/>
      <c r="H376" s="28"/>
      <c r="I376" s="28"/>
      <c r="J376" s="28"/>
      <c r="K376" s="28"/>
      <c r="L376" s="28"/>
      <c r="M376" s="28"/>
      <c r="N376" s="28"/>
      <c r="O376" s="28"/>
      <c r="P376" s="28"/>
      <c r="Q376" s="28"/>
      <c r="R376" s="28"/>
      <c r="S376" s="28"/>
      <c r="T376" s="28"/>
      <c r="U376" s="28"/>
      <c r="V376" s="28"/>
      <c r="W376" s="28"/>
      <c r="X376" s="28"/>
      <c r="Y376" s="28"/>
      <c r="Z376" s="28"/>
    </row>
    <row r="377" spans="1:26" ht="13.5" customHeight="1">
      <c r="A377" s="28"/>
      <c r="B377" s="29"/>
      <c r="C377" s="29"/>
      <c r="D377" s="29"/>
      <c r="E377" s="30"/>
      <c r="F377" s="28"/>
      <c r="G377" s="28"/>
      <c r="H377" s="28"/>
      <c r="I377" s="28"/>
      <c r="J377" s="28"/>
      <c r="K377" s="28"/>
      <c r="L377" s="28"/>
      <c r="M377" s="28"/>
      <c r="N377" s="28"/>
      <c r="O377" s="28"/>
      <c r="P377" s="28"/>
      <c r="Q377" s="28"/>
      <c r="R377" s="28"/>
      <c r="S377" s="28"/>
      <c r="T377" s="28"/>
      <c r="U377" s="28"/>
      <c r="V377" s="28"/>
      <c r="W377" s="28"/>
      <c r="X377" s="28"/>
      <c r="Y377" s="28"/>
      <c r="Z377" s="28"/>
    </row>
    <row r="378" spans="1:26" ht="13.5" customHeight="1">
      <c r="A378" s="28"/>
      <c r="B378" s="29"/>
      <c r="C378" s="29"/>
      <c r="D378" s="29"/>
      <c r="E378" s="30"/>
      <c r="F378" s="28"/>
      <c r="G378" s="28"/>
      <c r="H378" s="28"/>
      <c r="I378" s="28"/>
      <c r="J378" s="28"/>
      <c r="K378" s="28"/>
      <c r="L378" s="28"/>
      <c r="M378" s="28"/>
      <c r="N378" s="28"/>
      <c r="O378" s="28"/>
      <c r="P378" s="28"/>
      <c r="Q378" s="28"/>
      <c r="R378" s="28"/>
      <c r="S378" s="28"/>
      <c r="T378" s="28"/>
      <c r="U378" s="28"/>
      <c r="V378" s="28"/>
      <c r="W378" s="28"/>
      <c r="X378" s="28"/>
      <c r="Y378" s="28"/>
      <c r="Z378" s="28"/>
    </row>
    <row r="379" spans="1:26" ht="13.5" customHeight="1">
      <c r="A379" s="28"/>
      <c r="B379" s="29"/>
      <c r="C379" s="29"/>
      <c r="D379" s="29"/>
      <c r="E379" s="30"/>
      <c r="F379" s="28"/>
      <c r="G379" s="28"/>
      <c r="H379" s="28"/>
      <c r="I379" s="28"/>
      <c r="J379" s="28"/>
      <c r="K379" s="28"/>
      <c r="L379" s="28"/>
      <c r="M379" s="28"/>
      <c r="N379" s="28"/>
      <c r="O379" s="28"/>
      <c r="P379" s="28"/>
      <c r="Q379" s="28"/>
      <c r="R379" s="28"/>
      <c r="S379" s="28"/>
      <c r="T379" s="28"/>
      <c r="U379" s="28"/>
      <c r="V379" s="28"/>
      <c r="W379" s="28"/>
      <c r="X379" s="28"/>
      <c r="Y379" s="28"/>
      <c r="Z379" s="28"/>
    </row>
    <row r="380" spans="1:26" ht="13.5" customHeight="1">
      <c r="A380" s="28"/>
      <c r="B380" s="29"/>
      <c r="C380" s="29"/>
      <c r="D380" s="29"/>
      <c r="E380" s="30"/>
      <c r="F380" s="28"/>
      <c r="G380" s="28"/>
      <c r="H380" s="28"/>
      <c r="I380" s="28"/>
      <c r="J380" s="28"/>
      <c r="K380" s="28"/>
      <c r="L380" s="28"/>
      <c r="M380" s="28"/>
      <c r="N380" s="28"/>
      <c r="O380" s="28"/>
      <c r="P380" s="28"/>
      <c r="Q380" s="28"/>
      <c r="R380" s="28"/>
      <c r="S380" s="28"/>
      <c r="T380" s="28"/>
      <c r="U380" s="28"/>
      <c r="V380" s="28"/>
      <c r="W380" s="28"/>
      <c r="X380" s="28"/>
      <c r="Y380" s="28"/>
      <c r="Z380" s="28"/>
    </row>
    <row r="381" spans="1:26" ht="13.5" customHeight="1">
      <c r="A381" s="28"/>
      <c r="B381" s="29"/>
      <c r="C381" s="29"/>
      <c r="D381" s="29"/>
      <c r="E381" s="30"/>
      <c r="F381" s="28"/>
      <c r="G381" s="28"/>
      <c r="H381" s="28"/>
      <c r="I381" s="28"/>
      <c r="J381" s="28"/>
      <c r="K381" s="28"/>
      <c r="L381" s="28"/>
      <c r="M381" s="28"/>
      <c r="N381" s="28"/>
      <c r="O381" s="28"/>
      <c r="P381" s="28"/>
      <c r="Q381" s="28"/>
      <c r="R381" s="28"/>
      <c r="S381" s="28"/>
      <c r="T381" s="28"/>
      <c r="U381" s="28"/>
      <c r="V381" s="28"/>
      <c r="W381" s="28"/>
      <c r="X381" s="28"/>
      <c r="Y381" s="28"/>
      <c r="Z381" s="28"/>
    </row>
    <row r="382" spans="1:26" ht="13.5" customHeight="1">
      <c r="A382" s="28"/>
      <c r="B382" s="29"/>
      <c r="C382" s="29"/>
      <c r="D382" s="29"/>
      <c r="E382" s="30"/>
      <c r="F382" s="28"/>
      <c r="G382" s="28"/>
      <c r="H382" s="28"/>
      <c r="I382" s="28"/>
      <c r="J382" s="28"/>
      <c r="K382" s="28"/>
      <c r="L382" s="28"/>
      <c r="M382" s="28"/>
      <c r="N382" s="28"/>
      <c r="O382" s="28"/>
      <c r="P382" s="28"/>
      <c r="Q382" s="28"/>
      <c r="R382" s="28"/>
      <c r="S382" s="28"/>
      <c r="T382" s="28"/>
      <c r="U382" s="28"/>
      <c r="V382" s="28"/>
      <c r="W382" s="28"/>
      <c r="X382" s="28"/>
      <c r="Y382" s="28"/>
      <c r="Z382" s="28"/>
    </row>
    <row r="383" spans="1:26" ht="13.5" customHeight="1">
      <c r="A383" s="28"/>
      <c r="B383" s="29"/>
      <c r="C383" s="29"/>
      <c r="D383" s="29"/>
      <c r="E383" s="30"/>
      <c r="F383" s="28"/>
      <c r="G383" s="28"/>
      <c r="H383" s="28"/>
      <c r="I383" s="28"/>
      <c r="J383" s="28"/>
      <c r="K383" s="28"/>
      <c r="L383" s="28"/>
      <c r="M383" s="28"/>
      <c r="N383" s="28"/>
      <c r="O383" s="28"/>
      <c r="P383" s="28"/>
      <c r="Q383" s="28"/>
      <c r="R383" s="28"/>
      <c r="S383" s="28"/>
      <c r="T383" s="28"/>
      <c r="U383" s="28"/>
      <c r="V383" s="28"/>
      <c r="W383" s="28"/>
      <c r="X383" s="28"/>
      <c r="Y383" s="28"/>
      <c r="Z383" s="28"/>
    </row>
    <row r="384" spans="1:26" ht="13.5" customHeight="1">
      <c r="A384" s="28"/>
      <c r="B384" s="29"/>
      <c r="C384" s="29"/>
      <c r="D384" s="29"/>
      <c r="E384" s="30"/>
      <c r="F384" s="28"/>
      <c r="G384" s="28"/>
      <c r="H384" s="28"/>
      <c r="I384" s="28"/>
      <c r="J384" s="28"/>
      <c r="K384" s="28"/>
      <c r="L384" s="28"/>
      <c r="M384" s="28"/>
      <c r="N384" s="28"/>
      <c r="O384" s="28"/>
      <c r="P384" s="28"/>
      <c r="Q384" s="28"/>
      <c r="R384" s="28"/>
      <c r="S384" s="28"/>
      <c r="T384" s="28"/>
      <c r="U384" s="28"/>
      <c r="V384" s="28"/>
      <c r="W384" s="28"/>
      <c r="X384" s="28"/>
      <c r="Y384" s="28"/>
      <c r="Z384" s="28"/>
    </row>
    <row r="385" spans="1:26" ht="13.5" customHeight="1">
      <c r="A385" s="28"/>
      <c r="B385" s="29"/>
      <c r="C385" s="29"/>
      <c r="D385" s="29"/>
      <c r="E385" s="30"/>
      <c r="F385" s="28"/>
      <c r="G385" s="28"/>
      <c r="H385" s="28"/>
      <c r="I385" s="28"/>
      <c r="J385" s="28"/>
      <c r="K385" s="28"/>
      <c r="L385" s="28"/>
      <c r="M385" s="28"/>
      <c r="N385" s="28"/>
      <c r="O385" s="28"/>
      <c r="P385" s="28"/>
      <c r="Q385" s="28"/>
      <c r="R385" s="28"/>
      <c r="S385" s="28"/>
      <c r="T385" s="28"/>
      <c r="U385" s="28"/>
      <c r="V385" s="28"/>
      <c r="W385" s="28"/>
      <c r="X385" s="28"/>
      <c r="Y385" s="28"/>
      <c r="Z385" s="28"/>
    </row>
    <row r="386" spans="1:26" ht="13.5" customHeight="1">
      <c r="A386" s="28"/>
      <c r="B386" s="29"/>
      <c r="C386" s="29"/>
      <c r="D386" s="29"/>
      <c r="E386" s="30"/>
      <c r="F386" s="28"/>
      <c r="G386" s="28"/>
      <c r="H386" s="28"/>
      <c r="I386" s="28"/>
      <c r="J386" s="28"/>
      <c r="K386" s="28"/>
      <c r="L386" s="28"/>
      <c r="M386" s="28"/>
      <c r="N386" s="28"/>
      <c r="O386" s="28"/>
      <c r="P386" s="28"/>
      <c r="Q386" s="28"/>
      <c r="R386" s="28"/>
      <c r="S386" s="28"/>
      <c r="T386" s="28"/>
      <c r="U386" s="28"/>
      <c r="V386" s="28"/>
      <c r="W386" s="28"/>
      <c r="X386" s="28"/>
      <c r="Y386" s="28"/>
      <c r="Z386" s="28"/>
    </row>
    <row r="387" spans="1:26" ht="13.5" customHeight="1">
      <c r="A387" s="28"/>
      <c r="B387" s="29"/>
      <c r="C387" s="29"/>
      <c r="D387" s="29"/>
      <c r="E387" s="30"/>
      <c r="F387" s="28"/>
      <c r="G387" s="28"/>
      <c r="H387" s="28"/>
      <c r="I387" s="28"/>
      <c r="J387" s="28"/>
      <c r="K387" s="28"/>
      <c r="L387" s="28"/>
      <c r="M387" s="28"/>
      <c r="N387" s="28"/>
      <c r="O387" s="28"/>
      <c r="P387" s="28"/>
      <c r="Q387" s="28"/>
      <c r="R387" s="28"/>
      <c r="S387" s="28"/>
      <c r="T387" s="28"/>
      <c r="U387" s="28"/>
      <c r="V387" s="28"/>
      <c r="W387" s="28"/>
      <c r="X387" s="28"/>
      <c r="Y387" s="28"/>
      <c r="Z387" s="28"/>
    </row>
    <row r="388" spans="1:26" ht="13.5" customHeight="1">
      <c r="A388" s="28"/>
      <c r="B388" s="29"/>
      <c r="C388" s="29"/>
      <c r="D388" s="29"/>
      <c r="E388" s="30"/>
      <c r="F388" s="28"/>
      <c r="G388" s="28"/>
      <c r="H388" s="28"/>
      <c r="I388" s="28"/>
      <c r="J388" s="28"/>
      <c r="K388" s="28"/>
      <c r="L388" s="28"/>
      <c r="M388" s="28"/>
      <c r="N388" s="28"/>
      <c r="O388" s="28"/>
      <c r="P388" s="28"/>
      <c r="Q388" s="28"/>
      <c r="R388" s="28"/>
      <c r="S388" s="28"/>
      <c r="T388" s="28"/>
      <c r="U388" s="28"/>
      <c r="V388" s="28"/>
      <c r="W388" s="28"/>
      <c r="X388" s="28"/>
      <c r="Y388" s="28"/>
      <c r="Z388" s="28"/>
    </row>
    <row r="389" spans="1:26" ht="13.5" customHeight="1">
      <c r="A389" s="28"/>
      <c r="B389" s="29"/>
      <c r="C389" s="29"/>
      <c r="D389" s="29"/>
      <c r="E389" s="30"/>
      <c r="F389" s="28"/>
      <c r="G389" s="28"/>
      <c r="H389" s="28"/>
      <c r="I389" s="28"/>
      <c r="J389" s="28"/>
      <c r="K389" s="28"/>
      <c r="L389" s="28"/>
      <c r="M389" s="28"/>
      <c r="N389" s="28"/>
      <c r="O389" s="28"/>
      <c r="P389" s="28"/>
      <c r="Q389" s="28"/>
      <c r="R389" s="28"/>
      <c r="S389" s="28"/>
      <c r="T389" s="28"/>
      <c r="U389" s="28"/>
      <c r="V389" s="28"/>
      <c r="W389" s="28"/>
      <c r="X389" s="28"/>
      <c r="Y389" s="28"/>
      <c r="Z389" s="28"/>
    </row>
    <row r="390" spans="1:26" ht="13.5" customHeight="1">
      <c r="A390" s="28"/>
      <c r="B390" s="29"/>
      <c r="C390" s="29"/>
      <c r="D390" s="29"/>
      <c r="E390" s="30"/>
      <c r="F390" s="28"/>
      <c r="G390" s="28"/>
      <c r="H390" s="28"/>
      <c r="I390" s="28"/>
      <c r="J390" s="28"/>
      <c r="K390" s="28"/>
      <c r="L390" s="28"/>
      <c r="M390" s="28"/>
      <c r="N390" s="28"/>
      <c r="O390" s="28"/>
      <c r="P390" s="28"/>
      <c r="Q390" s="28"/>
      <c r="R390" s="28"/>
      <c r="S390" s="28"/>
      <c r="T390" s="28"/>
      <c r="U390" s="28"/>
      <c r="V390" s="28"/>
      <c r="W390" s="28"/>
      <c r="X390" s="28"/>
      <c r="Y390" s="28"/>
      <c r="Z390" s="28"/>
    </row>
    <row r="391" spans="1:26" ht="13.5" customHeight="1">
      <c r="A391" s="28"/>
      <c r="B391" s="29"/>
      <c r="C391" s="29"/>
      <c r="D391" s="29"/>
      <c r="E391" s="30"/>
      <c r="F391" s="28"/>
      <c r="G391" s="28"/>
      <c r="H391" s="28"/>
      <c r="I391" s="28"/>
      <c r="J391" s="28"/>
      <c r="K391" s="28"/>
      <c r="L391" s="28"/>
      <c r="M391" s="28"/>
      <c r="N391" s="28"/>
      <c r="O391" s="28"/>
      <c r="P391" s="28"/>
      <c r="Q391" s="28"/>
      <c r="R391" s="28"/>
      <c r="S391" s="28"/>
      <c r="T391" s="28"/>
      <c r="U391" s="28"/>
      <c r="V391" s="28"/>
      <c r="W391" s="28"/>
      <c r="X391" s="28"/>
      <c r="Y391" s="28"/>
      <c r="Z391" s="28"/>
    </row>
    <row r="392" spans="1:26" ht="13.5" customHeight="1">
      <c r="A392" s="28"/>
      <c r="B392" s="29"/>
      <c r="C392" s="29"/>
      <c r="D392" s="29"/>
      <c r="E392" s="30"/>
      <c r="F392" s="28"/>
      <c r="G392" s="28"/>
      <c r="H392" s="28"/>
      <c r="I392" s="28"/>
      <c r="J392" s="28"/>
      <c r="K392" s="28"/>
      <c r="L392" s="28"/>
      <c r="M392" s="28"/>
      <c r="N392" s="28"/>
      <c r="O392" s="28"/>
      <c r="P392" s="28"/>
      <c r="Q392" s="28"/>
      <c r="R392" s="28"/>
      <c r="S392" s="28"/>
      <c r="T392" s="28"/>
      <c r="U392" s="28"/>
      <c r="V392" s="28"/>
      <c r="W392" s="28"/>
      <c r="X392" s="28"/>
      <c r="Y392" s="28"/>
      <c r="Z392" s="28"/>
    </row>
    <row r="393" spans="1:26" ht="13.5" customHeight="1">
      <c r="A393" s="28"/>
      <c r="B393" s="29"/>
      <c r="C393" s="29"/>
      <c r="D393" s="29"/>
      <c r="E393" s="30"/>
      <c r="F393" s="28"/>
      <c r="G393" s="28"/>
      <c r="H393" s="28"/>
      <c r="I393" s="28"/>
      <c r="J393" s="28"/>
      <c r="K393" s="28"/>
      <c r="L393" s="28"/>
      <c r="M393" s="28"/>
      <c r="N393" s="28"/>
      <c r="O393" s="28"/>
      <c r="P393" s="28"/>
      <c r="Q393" s="28"/>
      <c r="R393" s="28"/>
      <c r="S393" s="28"/>
      <c r="T393" s="28"/>
      <c r="U393" s="28"/>
      <c r="V393" s="28"/>
      <c r="W393" s="28"/>
      <c r="X393" s="28"/>
      <c r="Y393" s="28"/>
      <c r="Z393" s="28"/>
    </row>
    <row r="394" spans="1:26" ht="13.5" customHeight="1">
      <c r="A394" s="28"/>
      <c r="B394" s="29"/>
      <c r="C394" s="29"/>
      <c r="D394" s="29"/>
      <c r="E394" s="30"/>
      <c r="F394" s="28"/>
      <c r="G394" s="28"/>
      <c r="H394" s="28"/>
      <c r="I394" s="28"/>
      <c r="J394" s="28"/>
      <c r="K394" s="28"/>
      <c r="L394" s="28"/>
      <c r="M394" s="28"/>
      <c r="N394" s="28"/>
      <c r="O394" s="28"/>
      <c r="P394" s="28"/>
      <c r="Q394" s="28"/>
      <c r="R394" s="28"/>
      <c r="S394" s="28"/>
      <c r="T394" s="28"/>
      <c r="U394" s="28"/>
      <c r="V394" s="28"/>
      <c r="W394" s="28"/>
      <c r="X394" s="28"/>
      <c r="Y394" s="28"/>
      <c r="Z394" s="28"/>
    </row>
    <row r="395" spans="1:26" ht="13.5" customHeight="1">
      <c r="A395" s="28"/>
      <c r="B395" s="29"/>
      <c r="C395" s="29"/>
      <c r="D395" s="29"/>
      <c r="E395" s="30"/>
      <c r="F395" s="28"/>
      <c r="G395" s="28"/>
      <c r="H395" s="28"/>
      <c r="I395" s="28"/>
      <c r="J395" s="28"/>
      <c r="K395" s="28"/>
      <c r="L395" s="28"/>
      <c r="M395" s="28"/>
      <c r="N395" s="28"/>
      <c r="O395" s="28"/>
      <c r="P395" s="28"/>
      <c r="Q395" s="28"/>
      <c r="R395" s="28"/>
      <c r="S395" s="28"/>
      <c r="T395" s="28"/>
      <c r="U395" s="28"/>
      <c r="V395" s="28"/>
      <c r="W395" s="28"/>
      <c r="X395" s="28"/>
      <c r="Y395" s="28"/>
      <c r="Z395" s="28"/>
    </row>
    <row r="396" spans="1:26" ht="13.5" customHeight="1">
      <c r="A396" s="28"/>
      <c r="B396" s="29"/>
      <c r="C396" s="29"/>
      <c r="D396" s="29"/>
      <c r="E396" s="30"/>
      <c r="F396" s="28"/>
      <c r="G396" s="28"/>
      <c r="H396" s="28"/>
      <c r="I396" s="28"/>
      <c r="J396" s="28"/>
      <c r="K396" s="28"/>
      <c r="L396" s="28"/>
      <c r="M396" s="28"/>
      <c r="N396" s="28"/>
      <c r="O396" s="28"/>
      <c r="P396" s="28"/>
      <c r="Q396" s="28"/>
      <c r="R396" s="28"/>
      <c r="S396" s="28"/>
      <c r="T396" s="28"/>
      <c r="U396" s="28"/>
      <c r="V396" s="28"/>
      <c r="W396" s="28"/>
      <c r="X396" s="28"/>
      <c r="Y396" s="28"/>
      <c r="Z396" s="28"/>
    </row>
    <row r="397" spans="1:26" ht="13.5" customHeight="1">
      <c r="A397" s="28"/>
      <c r="B397" s="29"/>
      <c r="C397" s="29"/>
      <c r="D397" s="29"/>
      <c r="E397" s="30"/>
      <c r="F397" s="28"/>
      <c r="G397" s="28"/>
      <c r="H397" s="28"/>
      <c r="I397" s="28"/>
      <c r="J397" s="28"/>
      <c r="K397" s="28"/>
      <c r="L397" s="28"/>
      <c r="M397" s="28"/>
      <c r="N397" s="28"/>
      <c r="O397" s="28"/>
      <c r="P397" s="28"/>
      <c r="Q397" s="28"/>
      <c r="R397" s="28"/>
      <c r="S397" s="28"/>
      <c r="T397" s="28"/>
      <c r="U397" s="28"/>
      <c r="V397" s="28"/>
      <c r="W397" s="28"/>
      <c r="X397" s="28"/>
      <c r="Y397" s="28"/>
      <c r="Z397" s="28"/>
    </row>
    <row r="398" spans="1:26" ht="13.5" customHeight="1">
      <c r="A398" s="28"/>
      <c r="B398" s="29"/>
      <c r="C398" s="29"/>
      <c r="D398" s="29"/>
      <c r="E398" s="30"/>
      <c r="F398" s="28"/>
      <c r="G398" s="28"/>
      <c r="H398" s="28"/>
      <c r="I398" s="28"/>
      <c r="J398" s="28"/>
      <c r="K398" s="28"/>
      <c r="L398" s="28"/>
      <c r="M398" s="28"/>
      <c r="N398" s="28"/>
      <c r="O398" s="28"/>
      <c r="P398" s="28"/>
      <c r="Q398" s="28"/>
      <c r="R398" s="28"/>
      <c r="S398" s="28"/>
      <c r="T398" s="28"/>
      <c r="U398" s="28"/>
      <c r="V398" s="28"/>
      <c r="W398" s="28"/>
      <c r="X398" s="28"/>
      <c r="Y398" s="28"/>
      <c r="Z398" s="28"/>
    </row>
    <row r="399" spans="1:26" ht="13.5" customHeight="1">
      <c r="A399" s="28"/>
      <c r="B399" s="29"/>
      <c r="C399" s="29"/>
      <c r="D399" s="29"/>
      <c r="E399" s="30"/>
      <c r="F399" s="28"/>
      <c r="G399" s="28"/>
      <c r="H399" s="28"/>
      <c r="I399" s="28"/>
      <c r="J399" s="28"/>
      <c r="K399" s="28"/>
      <c r="L399" s="28"/>
      <c r="M399" s="28"/>
      <c r="N399" s="28"/>
      <c r="O399" s="28"/>
      <c r="P399" s="28"/>
      <c r="Q399" s="28"/>
      <c r="R399" s="28"/>
      <c r="S399" s="28"/>
      <c r="T399" s="28"/>
      <c r="U399" s="28"/>
      <c r="V399" s="28"/>
      <c r="W399" s="28"/>
      <c r="X399" s="28"/>
      <c r="Y399" s="28"/>
      <c r="Z399" s="28"/>
    </row>
    <row r="400" spans="1:26" ht="13.5" customHeight="1">
      <c r="A400" s="28"/>
      <c r="B400" s="29"/>
      <c r="C400" s="29"/>
      <c r="D400" s="29"/>
      <c r="E400" s="30"/>
      <c r="F400" s="28"/>
      <c r="G400" s="28"/>
      <c r="H400" s="28"/>
      <c r="I400" s="28"/>
      <c r="J400" s="28"/>
      <c r="K400" s="28"/>
      <c r="L400" s="28"/>
      <c r="M400" s="28"/>
      <c r="N400" s="28"/>
      <c r="O400" s="28"/>
      <c r="P400" s="28"/>
      <c r="Q400" s="28"/>
      <c r="R400" s="28"/>
      <c r="S400" s="28"/>
      <c r="T400" s="28"/>
      <c r="U400" s="28"/>
      <c r="V400" s="28"/>
      <c r="W400" s="28"/>
      <c r="X400" s="28"/>
      <c r="Y400" s="28"/>
      <c r="Z400" s="28"/>
    </row>
    <row r="401" spans="1:26" ht="13.5" customHeight="1">
      <c r="A401" s="28"/>
      <c r="B401" s="29"/>
      <c r="C401" s="29"/>
      <c r="D401" s="29"/>
      <c r="E401" s="30"/>
      <c r="F401" s="28"/>
      <c r="G401" s="28"/>
      <c r="H401" s="28"/>
      <c r="I401" s="28"/>
      <c r="J401" s="28"/>
      <c r="K401" s="28"/>
      <c r="L401" s="28"/>
      <c r="M401" s="28"/>
      <c r="N401" s="28"/>
      <c r="O401" s="28"/>
      <c r="P401" s="28"/>
      <c r="Q401" s="28"/>
      <c r="R401" s="28"/>
      <c r="S401" s="28"/>
      <c r="T401" s="28"/>
      <c r="U401" s="28"/>
      <c r="V401" s="28"/>
      <c r="W401" s="28"/>
      <c r="X401" s="28"/>
      <c r="Y401" s="28"/>
      <c r="Z401" s="28"/>
    </row>
    <row r="402" spans="1:26" ht="13.5" customHeight="1">
      <c r="A402" s="28"/>
      <c r="B402" s="29"/>
      <c r="C402" s="29"/>
      <c r="D402" s="29"/>
      <c r="E402" s="30"/>
      <c r="F402" s="28"/>
      <c r="G402" s="28"/>
      <c r="H402" s="28"/>
      <c r="I402" s="28"/>
      <c r="J402" s="28"/>
      <c r="K402" s="28"/>
      <c r="L402" s="28"/>
      <c r="M402" s="28"/>
      <c r="N402" s="28"/>
      <c r="O402" s="28"/>
      <c r="P402" s="28"/>
      <c r="Q402" s="28"/>
      <c r="R402" s="28"/>
      <c r="S402" s="28"/>
      <c r="T402" s="28"/>
      <c r="U402" s="28"/>
      <c r="V402" s="28"/>
      <c r="W402" s="28"/>
      <c r="X402" s="28"/>
      <c r="Y402" s="28"/>
      <c r="Z402" s="28"/>
    </row>
    <row r="403" spans="1:26" ht="13.5" customHeight="1">
      <c r="A403" s="28"/>
      <c r="B403" s="29"/>
      <c r="C403" s="29"/>
      <c r="D403" s="29"/>
      <c r="E403" s="30"/>
      <c r="F403" s="28"/>
      <c r="G403" s="28"/>
      <c r="H403" s="28"/>
      <c r="I403" s="28"/>
      <c r="J403" s="28"/>
      <c r="K403" s="28"/>
      <c r="L403" s="28"/>
      <c r="M403" s="28"/>
      <c r="N403" s="28"/>
      <c r="O403" s="28"/>
      <c r="P403" s="28"/>
      <c r="Q403" s="28"/>
      <c r="R403" s="28"/>
      <c r="S403" s="28"/>
      <c r="T403" s="28"/>
      <c r="U403" s="28"/>
      <c r="V403" s="28"/>
      <c r="W403" s="28"/>
      <c r="X403" s="28"/>
      <c r="Y403" s="28"/>
      <c r="Z403" s="28"/>
    </row>
    <row r="404" spans="1:26" ht="13.5" customHeight="1">
      <c r="A404" s="28"/>
      <c r="B404" s="29"/>
      <c r="C404" s="29"/>
      <c r="D404" s="29"/>
      <c r="E404" s="30"/>
      <c r="F404" s="28"/>
      <c r="G404" s="28"/>
      <c r="H404" s="28"/>
      <c r="I404" s="28"/>
      <c r="J404" s="28"/>
      <c r="K404" s="28"/>
      <c r="L404" s="28"/>
      <c r="M404" s="28"/>
      <c r="N404" s="28"/>
      <c r="O404" s="28"/>
      <c r="P404" s="28"/>
      <c r="Q404" s="28"/>
      <c r="R404" s="28"/>
      <c r="S404" s="28"/>
      <c r="T404" s="28"/>
      <c r="U404" s="28"/>
      <c r="V404" s="28"/>
      <c r="W404" s="28"/>
      <c r="X404" s="28"/>
      <c r="Y404" s="28"/>
      <c r="Z404" s="28"/>
    </row>
    <row r="405" spans="1:26" ht="13.5" customHeight="1">
      <c r="A405" s="28"/>
      <c r="B405" s="29"/>
      <c r="C405" s="29"/>
      <c r="D405" s="29"/>
      <c r="E405" s="30"/>
      <c r="F405" s="28"/>
      <c r="G405" s="28"/>
      <c r="H405" s="28"/>
      <c r="I405" s="28"/>
      <c r="J405" s="28"/>
      <c r="K405" s="28"/>
      <c r="L405" s="28"/>
      <c r="M405" s="28"/>
      <c r="N405" s="28"/>
      <c r="O405" s="28"/>
      <c r="P405" s="28"/>
      <c r="Q405" s="28"/>
      <c r="R405" s="28"/>
      <c r="S405" s="28"/>
      <c r="T405" s="28"/>
      <c r="U405" s="28"/>
      <c r="V405" s="28"/>
      <c r="W405" s="28"/>
      <c r="X405" s="28"/>
      <c r="Y405" s="28"/>
      <c r="Z405" s="28"/>
    </row>
    <row r="406" spans="1:26" ht="13.5" customHeight="1">
      <c r="A406" s="28"/>
      <c r="B406" s="29"/>
      <c r="C406" s="29"/>
      <c r="D406" s="29"/>
      <c r="E406" s="30"/>
      <c r="F406" s="28"/>
      <c r="G406" s="28"/>
      <c r="H406" s="28"/>
      <c r="I406" s="28"/>
      <c r="J406" s="28"/>
      <c r="K406" s="28"/>
      <c r="L406" s="28"/>
      <c r="M406" s="28"/>
      <c r="N406" s="28"/>
      <c r="O406" s="28"/>
      <c r="P406" s="28"/>
      <c r="Q406" s="28"/>
      <c r="R406" s="28"/>
      <c r="S406" s="28"/>
      <c r="T406" s="28"/>
      <c r="U406" s="28"/>
      <c r="V406" s="28"/>
      <c r="W406" s="28"/>
      <c r="X406" s="28"/>
      <c r="Y406" s="28"/>
      <c r="Z406" s="28"/>
    </row>
    <row r="407" spans="1:26" ht="13.5" customHeight="1">
      <c r="A407" s="28"/>
      <c r="B407" s="29"/>
      <c r="C407" s="29"/>
      <c r="D407" s="29"/>
      <c r="E407" s="30"/>
      <c r="F407" s="28"/>
      <c r="G407" s="28"/>
      <c r="H407" s="28"/>
      <c r="I407" s="28"/>
      <c r="J407" s="28"/>
      <c r="K407" s="28"/>
      <c r="L407" s="28"/>
      <c r="M407" s="28"/>
      <c r="N407" s="28"/>
      <c r="O407" s="28"/>
      <c r="P407" s="28"/>
      <c r="Q407" s="28"/>
      <c r="R407" s="28"/>
      <c r="S407" s="28"/>
      <c r="T407" s="28"/>
      <c r="U407" s="28"/>
      <c r="V407" s="28"/>
      <c r="W407" s="28"/>
      <c r="X407" s="28"/>
      <c r="Y407" s="28"/>
      <c r="Z407" s="28"/>
    </row>
    <row r="408" spans="1:26" ht="13.5" customHeight="1">
      <c r="A408" s="28"/>
      <c r="B408" s="29"/>
      <c r="C408" s="29"/>
      <c r="D408" s="29"/>
      <c r="E408" s="30"/>
      <c r="F408" s="28"/>
      <c r="G408" s="28"/>
      <c r="H408" s="28"/>
      <c r="I408" s="28"/>
      <c r="J408" s="28"/>
      <c r="K408" s="28"/>
      <c r="L408" s="28"/>
      <c r="M408" s="28"/>
      <c r="N408" s="28"/>
      <c r="O408" s="28"/>
      <c r="P408" s="28"/>
      <c r="Q408" s="28"/>
      <c r="R408" s="28"/>
      <c r="S408" s="28"/>
      <c r="T408" s="28"/>
      <c r="U408" s="28"/>
      <c r="V408" s="28"/>
      <c r="W408" s="28"/>
      <c r="X408" s="28"/>
      <c r="Y408" s="28"/>
      <c r="Z408" s="28"/>
    </row>
    <row r="409" spans="1:26" ht="13.5" customHeight="1">
      <c r="A409" s="28"/>
      <c r="B409" s="29"/>
      <c r="C409" s="29"/>
      <c r="D409" s="29"/>
      <c r="E409" s="30"/>
      <c r="F409" s="28"/>
      <c r="G409" s="28"/>
      <c r="H409" s="28"/>
      <c r="I409" s="28"/>
      <c r="J409" s="28"/>
      <c r="K409" s="28"/>
      <c r="L409" s="28"/>
      <c r="M409" s="28"/>
      <c r="N409" s="28"/>
      <c r="O409" s="28"/>
      <c r="P409" s="28"/>
      <c r="Q409" s="28"/>
      <c r="R409" s="28"/>
      <c r="S409" s="28"/>
      <c r="T409" s="28"/>
      <c r="U409" s="28"/>
      <c r="V409" s="28"/>
      <c r="W409" s="28"/>
      <c r="X409" s="28"/>
      <c r="Y409" s="28"/>
      <c r="Z409" s="28"/>
    </row>
    <row r="410" spans="1:26" ht="13.5" customHeight="1">
      <c r="A410" s="28"/>
      <c r="B410" s="29"/>
      <c r="C410" s="29"/>
      <c r="D410" s="29"/>
      <c r="E410" s="30"/>
      <c r="F410" s="28"/>
      <c r="G410" s="28"/>
      <c r="H410" s="28"/>
      <c r="I410" s="28"/>
      <c r="J410" s="28"/>
      <c r="K410" s="28"/>
      <c r="L410" s="28"/>
      <c r="M410" s="28"/>
      <c r="N410" s="28"/>
      <c r="O410" s="28"/>
      <c r="P410" s="28"/>
      <c r="Q410" s="28"/>
      <c r="R410" s="28"/>
      <c r="S410" s="28"/>
      <c r="T410" s="28"/>
      <c r="U410" s="28"/>
      <c r="V410" s="28"/>
      <c r="W410" s="28"/>
      <c r="X410" s="28"/>
      <c r="Y410" s="28"/>
      <c r="Z410" s="28"/>
    </row>
    <row r="411" spans="1:26" ht="13.5" customHeight="1">
      <c r="A411" s="28"/>
      <c r="B411" s="29"/>
      <c r="C411" s="29"/>
      <c r="D411" s="29"/>
      <c r="E411" s="30"/>
      <c r="F411" s="28"/>
      <c r="G411" s="28"/>
      <c r="H411" s="28"/>
      <c r="I411" s="28"/>
      <c r="J411" s="28"/>
      <c r="K411" s="28"/>
      <c r="L411" s="28"/>
      <c r="M411" s="28"/>
      <c r="N411" s="28"/>
      <c r="O411" s="28"/>
      <c r="P411" s="28"/>
      <c r="Q411" s="28"/>
      <c r="R411" s="28"/>
      <c r="S411" s="28"/>
      <c r="T411" s="28"/>
      <c r="U411" s="28"/>
      <c r="V411" s="28"/>
      <c r="W411" s="28"/>
      <c r="X411" s="28"/>
      <c r="Y411" s="28"/>
      <c r="Z411" s="28"/>
    </row>
    <row r="412" spans="1:26" ht="13.5" customHeight="1">
      <c r="A412" s="28"/>
      <c r="B412" s="29"/>
      <c r="C412" s="29"/>
      <c r="D412" s="29"/>
      <c r="E412" s="30"/>
      <c r="F412" s="28"/>
      <c r="G412" s="28"/>
      <c r="H412" s="28"/>
      <c r="I412" s="28"/>
      <c r="J412" s="28"/>
      <c r="K412" s="28"/>
      <c r="L412" s="28"/>
      <c r="M412" s="28"/>
      <c r="N412" s="28"/>
      <c r="O412" s="28"/>
      <c r="P412" s="28"/>
      <c r="Q412" s="28"/>
      <c r="R412" s="28"/>
      <c r="S412" s="28"/>
      <c r="T412" s="28"/>
      <c r="U412" s="28"/>
      <c r="V412" s="28"/>
      <c r="W412" s="28"/>
      <c r="X412" s="28"/>
      <c r="Y412" s="28"/>
      <c r="Z412" s="28"/>
    </row>
    <row r="413" spans="1:26" ht="13.5" customHeight="1">
      <c r="A413" s="28"/>
      <c r="B413" s="29"/>
      <c r="C413" s="29"/>
      <c r="D413" s="29"/>
      <c r="E413" s="30"/>
      <c r="F413" s="28"/>
      <c r="G413" s="28"/>
      <c r="H413" s="28"/>
      <c r="I413" s="28"/>
      <c r="J413" s="28"/>
      <c r="K413" s="28"/>
      <c r="L413" s="28"/>
      <c r="M413" s="28"/>
      <c r="N413" s="28"/>
      <c r="O413" s="28"/>
      <c r="P413" s="28"/>
      <c r="Q413" s="28"/>
      <c r="R413" s="28"/>
      <c r="S413" s="28"/>
      <c r="T413" s="28"/>
      <c r="U413" s="28"/>
      <c r="V413" s="28"/>
      <c r="W413" s="28"/>
      <c r="X413" s="28"/>
      <c r="Y413" s="28"/>
      <c r="Z413" s="28"/>
    </row>
    <row r="414" spans="1:26" ht="13.5" customHeight="1">
      <c r="A414" s="28"/>
      <c r="B414" s="29"/>
      <c r="C414" s="29"/>
      <c r="D414" s="29"/>
      <c r="E414" s="30"/>
      <c r="F414" s="28"/>
      <c r="G414" s="28"/>
      <c r="H414" s="28"/>
      <c r="I414" s="28"/>
      <c r="J414" s="28"/>
      <c r="K414" s="28"/>
      <c r="L414" s="28"/>
      <c r="M414" s="28"/>
      <c r="N414" s="28"/>
      <c r="O414" s="28"/>
      <c r="P414" s="28"/>
      <c r="Q414" s="28"/>
      <c r="R414" s="28"/>
      <c r="S414" s="28"/>
      <c r="T414" s="28"/>
      <c r="U414" s="28"/>
      <c r="V414" s="28"/>
      <c r="W414" s="28"/>
      <c r="X414" s="28"/>
      <c r="Y414" s="28"/>
      <c r="Z414" s="28"/>
    </row>
    <row r="415" spans="1:26" ht="13.5" customHeight="1">
      <c r="A415" s="28"/>
      <c r="B415" s="29"/>
      <c r="C415" s="29"/>
      <c r="D415" s="29"/>
      <c r="E415" s="30"/>
      <c r="F415" s="28"/>
      <c r="G415" s="28"/>
      <c r="H415" s="28"/>
      <c r="I415" s="28"/>
      <c r="J415" s="28"/>
      <c r="K415" s="28"/>
      <c r="L415" s="28"/>
      <c r="M415" s="28"/>
      <c r="N415" s="28"/>
      <c r="O415" s="28"/>
      <c r="P415" s="28"/>
      <c r="Q415" s="28"/>
      <c r="R415" s="28"/>
      <c r="S415" s="28"/>
      <c r="T415" s="28"/>
      <c r="U415" s="28"/>
      <c r="V415" s="28"/>
      <c r="W415" s="28"/>
      <c r="X415" s="28"/>
      <c r="Y415" s="28"/>
      <c r="Z415" s="28"/>
    </row>
    <row r="416" spans="1:26" ht="13.5" customHeight="1">
      <c r="A416" s="28"/>
      <c r="B416" s="29"/>
      <c r="C416" s="29"/>
      <c r="D416" s="29"/>
      <c r="E416" s="30"/>
      <c r="F416" s="28"/>
      <c r="G416" s="28"/>
      <c r="H416" s="28"/>
      <c r="I416" s="28"/>
      <c r="J416" s="28"/>
      <c r="K416" s="28"/>
      <c r="L416" s="28"/>
      <c r="M416" s="28"/>
      <c r="N416" s="28"/>
      <c r="O416" s="28"/>
      <c r="P416" s="28"/>
      <c r="Q416" s="28"/>
      <c r="R416" s="28"/>
      <c r="S416" s="28"/>
      <c r="T416" s="28"/>
      <c r="U416" s="28"/>
      <c r="V416" s="28"/>
      <c r="W416" s="28"/>
      <c r="X416" s="28"/>
      <c r="Y416" s="28"/>
      <c r="Z416" s="28"/>
    </row>
    <row r="417" spans="1:26" ht="13.5" customHeight="1">
      <c r="A417" s="28"/>
      <c r="B417" s="29"/>
      <c r="C417" s="29"/>
      <c r="D417" s="29"/>
      <c r="E417" s="30"/>
      <c r="F417" s="28"/>
      <c r="G417" s="28"/>
      <c r="H417" s="28"/>
      <c r="I417" s="28"/>
      <c r="J417" s="28"/>
      <c r="K417" s="28"/>
      <c r="L417" s="28"/>
      <c r="M417" s="28"/>
      <c r="N417" s="28"/>
      <c r="O417" s="28"/>
      <c r="P417" s="28"/>
      <c r="Q417" s="28"/>
      <c r="R417" s="28"/>
      <c r="S417" s="28"/>
      <c r="T417" s="28"/>
      <c r="U417" s="28"/>
      <c r="V417" s="28"/>
      <c r="W417" s="28"/>
      <c r="X417" s="28"/>
      <c r="Y417" s="28"/>
      <c r="Z417" s="28"/>
    </row>
    <row r="418" spans="1:26" ht="13.5" customHeight="1">
      <c r="A418" s="28"/>
      <c r="B418" s="29"/>
      <c r="C418" s="29"/>
      <c r="D418" s="29"/>
      <c r="E418" s="30"/>
      <c r="F418" s="28"/>
      <c r="G418" s="28"/>
      <c r="H418" s="28"/>
      <c r="I418" s="28"/>
      <c r="J418" s="28"/>
      <c r="K418" s="28"/>
      <c r="L418" s="28"/>
      <c r="M418" s="28"/>
      <c r="N418" s="28"/>
      <c r="O418" s="28"/>
      <c r="P418" s="28"/>
      <c r="Q418" s="28"/>
      <c r="R418" s="28"/>
      <c r="S418" s="28"/>
      <c r="T418" s="28"/>
      <c r="U418" s="28"/>
      <c r="V418" s="28"/>
      <c r="W418" s="28"/>
      <c r="X418" s="28"/>
      <c r="Y418" s="28"/>
      <c r="Z418" s="28"/>
    </row>
    <row r="419" spans="1:26" ht="13.5" customHeight="1">
      <c r="A419" s="28"/>
      <c r="B419" s="29"/>
      <c r="C419" s="29"/>
      <c r="D419" s="29"/>
      <c r="E419" s="30"/>
      <c r="F419" s="28"/>
      <c r="G419" s="28"/>
      <c r="H419" s="28"/>
      <c r="I419" s="28"/>
      <c r="J419" s="28"/>
      <c r="K419" s="28"/>
      <c r="L419" s="28"/>
      <c r="M419" s="28"/>
      <c r="N419" s="28"/>
      <c r="O419" s="28"/>
      <c r="P419" s="28"/>
      <c r="Q419" s="28"/>
      <c r="R419" s="28"/>
      <c r="S419" s="28"/>
      <c r="T419" s="28"/>
      <c r="U419" s="28"/>
      <c r="V419" s="28"/>
      <c r="W419" s="28"/>
      <c r="X419" s="28"/>
      <c r="Y419" s="28"/>
      <c r="Z419" s="28"/>
    </row>
    <row r="420" spans="1:26" ht="13.5" customHeight="1">
      <c r="A420" s="28"/>
      <c r="B420" s="29"/>
      <c r="C420" s="29"/>
      <c r="D420" s="29"/>
      <c r="E420" s="30"/>
      <c r="F420" s="28"/>
      <c r="G420" s="28"/>
      <c r="H420" s="28"/>
      <c r="I420" s="28"/>
      <c r="J420" s="28"/>
      <c r="K420" s="28"/>
      <c r="L420" s="28"/>
      <c r="M420" s="28"/>
      <c r="N420" s="28"/>
      <c r="O420" s="28"/>
      <c r="P420" s="28"/>
      <c r="Q420" s="28"/>
      <c r="R420" s="28"/>
      <c r="S420" s="28"/>
      <c r="T420" s="28"/>
      <c r="U420" s="28"/>
      <c r="V420" s="28"/>
      <c r="W420" s="28"/>
      <c r="X420" s="28"/>
      <c r="Y420" s="28"/>
      <c r="Z420" s="28"/>
    </row>
    <row r="421" spans="1:26" ht="13.5" customHeight="1">
      <c r="A421" s="28"/>
      <c r="B421" s="29"/>
      <c r="C421" s="29"/>
      <c r="D421" s="29"/>
      <c r="E421" s="30"/>
      <c r="F421" s="28"/>
      <c r="G421" s="28"/>
      <c r="H421" s="28"/>
      <c r="I421" s="28"/>
      <c r="J421" s="28"/>
      <c r="K421" s="28"/>
      <c r="L421" s="28"/>
      <c r="M421" s="28"/>
      <c r="N421" s="28"/>
      <c r="O421" s="28"/>
      <c r="P421" s="28"/>
      <c r="Q421" s="28"/>
      <c r="R421" s="28"/>
      <c r="S421" s="28"/>
      <c r="T421" s="28"/>
      <c r="U421" s="28"/>
      <c r="V421" s="28"/>
      <c r="W421" s="28"/>
      <c r="X421" s="28"/>
      <c r="Y421" s="28"/>
      <c r="Z421" s="28"/>
    </row>
    <row r="422" spans="1:26" ht="13.5" customHeight="1">
      <c r="A422" s="28"/>
      <c r="B422" s="29"/>
      <c r="C422" s="29"/>
      <c r="D422" s="29"/>
      <c r="E422" s="30"/>
      <c r="F422" s="28"/>
      <c r="G422" s="28"/>
      <c r="H422" s="28"/>
      <c r="I422" s="28"/>
      <c r="J422" s="28"/>
      <c r="K422" s="28"/>
      <c r="L422" s="28"/>
      <c r="M422" s="28"/>
      <c r="N422" s="28"/>
      <c r="O422" s="28"/>
      <c r="P422" s="28"/>
      <c r="Q422" s="28"/>
      <c r="R422" s="28"/>
      <c r="S422" s="28"/>
      <c r="T422" s="28"/>
      <c r="U422" s="28"/>
      <c r="V422" s="28"/>
      <c r="W422" s="28"/>
      <c r="X422" s="28"/>
      <c r="Y422" s="28"/>
      <c r="Z422" s="28"/>
    </row>
    <row r="423" spans="1:26" ht="13.5" customHeight="1">
      <c r="A423" s="28"/>
      <c r="B423" s="29"/>
      <c r="C423" s="29"/>
      <c r="D423" s="29"/>
      <c r="E423" s="30"/>
      <c r="F423" s="28"/>
      <c r="G423" s="28"/>
      <c r="H423" s="28"/>
      <c r="I423" s="28"/>
      <c r="J423" s="28"/>
      <c r="K423" s="28"/>
      <c r="L423" s="28"/>
      <c r="M423" s="28"/>
      <c r="N423" s="28"/>
      <c r="O423" s="28"/>
      <c r="P423" s="28"/>
      <c r="Q423" s="28"/>
      <c r="R423" s="28"/>
      <c r="S423" s="28"/>
      <c r="T423" s="28"/>
      <c r="U423" s="28"/>
      <c r="V423" s="28"/>
      <c r="W423" s="28"/>
      <c r="X423" s="28"/>
      <c r="Y423" s="28"/>
      <c r="Z423" s="28"/>
    </row>
    <row r="424" spans="1:26" ht="13.5" customHeight="1">
      <c r="A424" s="28"/>
      <c r="B424" s="29"/>
      <c r="C424" s="29"/>
      <c r="D424" s="29"/>
      <c r="E424" s="30"/>
      <c r="F424" s="28"/>
      <c r="G424" s="28"/>
      <c r="H424" s="28"/>
      <c r="I424" s="28"/>
      <c r="J424" s="28"/>
      <c r="K424" s="28"/>
      <c r="L424" s="28"/>
      <c r="M424" s="28"/>
      <c r="N424" s="28"/>
      <c r="O424" s="28"/>
      <c r="P424" s="28"/>
      <c r="Q424" s="28"/>
      <c r="R424" s="28"/>
      <c r="S424" s="28"/>
      <c r="T424" s="28"/>
      <c r="U424" s="28"/>
      <c r="V424" s="28"/>
      <c r="W424" s="28"/>
      <c r="X424" s="28"/>
      <c r="Y424" s="28"/>
      <c r="Z424" s="28"/>
    </row>
    <row r="425" spans="1:26" ht="13.5" customHeight="1">
      <c r="A425" s="28"/>
      <c r="B425" s="29"/>
      <c r="C425" s="29"/>
      <c r="D425" s="29"/>
      <c r="E425" s="30"/>
      <c r="F425" s="28"/>
      <c r="G425" s="28"/>
      <c r="H425" s="28"/>
      <c r="I425" s="28"/>
      <c r="J425" s="28"/>
      <c r="K425" s="28"/>
      <c r="L425" s="28"/>
      <c r="M425" s="28"/>
      <c r="N425" s="28"/>
      <c r="O425" s="28"/>
      <c r="P425" s="28"/>
      <c r="Q425" s="28"/>
      <c r="R425" s="28"/>
      <c r="S425" s="28"/>
      <c r="T425" s="28"/>
      <c r="U425" s="28"/>
      <c r="V425" s="28"/>
      <c r="W425" s="28"/>
      <c r="X425" s="28"/>
      <c r="Y425" s="28"/>
      <c r="Z425" s="28"/>
    </row>
    <row r="426" spans="1:26" ht="13.5" customHeight="1">
      <c r="A426" s="28"/>
      <c r="B426" s="29"/>
      <c r="C426" s="29"/>
      <c r="D426" s="29"/>
      <c r="E426" s="30"/>
      <c r="F426" s="28"/>
      <c r="G426" s="28"/>
      <c r="H426" s="28"/>
      <c r="I426" s="28"/>
      <c r="J426" s="28"/>
      <c r="K426" s="28"/>
      <c r="L426" s="28"/>
      <c r="M426" s="28"/>
      <c r="N426" s="28"/>
      <c r="O426" s="28"/>
      <c r="P426" s="28"/>
      <c r="Q426" s="28"/>
      <c r="R426" s="28"/>
      <c r="S426" s="28"/>
      <c r="T426" s="28"/>
      <c r="U426" s="28"/>
      <c r="V426" s="28"/>
      <c r="W426" s="28"/>
      <c r="X426" s="28"/>
      <c r="Y426" s="28"/>
      <c r="Z426" s="28"/>
    </row>
    <row r="427" spans="1:26" ht="13.5" customHeight="1">
      <c r="A427" s="28"/>
      <c r="B427" s="29"/>
      <c r="C427" s="29"/>
      <c r="D427" s="29"/>
      <c r="E427" s="30"/>
      <c r="F427" s="28"/>
      <c r="G427" s="28"/>
      <c r="H427" s="28"/>
      <c r="I427" s="28"/>
      <c r="J427" s="28"/>
      <c r="K427" s="28"/>
      <c r="L427" s="28"/>
      <c r="M427" s="28"/>
      <c r="N427" s="28"/>
      <c r="O427" s="28"/>
      <c r="P427" s="28"/>
      <c r="Q427" s="28"/>
      <c r="R427" s="28"/>
      <c r="S427" s="28"/>
      <c r="T427" s="28"/>
      <c r="U427" s="28"/>
      <c r="V427" s="28"/>
      <c r="W427" s="28"/>
      <c r="X427" s="28"/>
      <c r="Y427" s="28"/>
      <c r="Z427" s="28"/>
    </row>
    <row r="428" spans="1:26" ht="13.5" customHeight="1">
      <c r="A428" s="28"/>
      <c r="B428" s="29"/>
      <c r="C428" s="29"/>
      <c r="D428" s="29"/>
      <c r="E428" s="30"/>
      <c r="F428" s="28"/>
      <c r="G428" s="28"/>
      <c r="H428" s="28"/>
      <c r="I428" s="28"/>
      <c r="J428" s="28"/>
      <c r="K428" s="28"/>
      <c r="L428" s="28"/>
      <c r="M428" s="28"/>
      <c r="N428" s="28"/>
      <c r="O428" s="28"/>
      <c r="P428" s="28"/>
      <c r="Q428" s="28"/>
      <c r="R428" s="28"/>
      <c r="S428" s="28"/>
      <c r="T428" s="28"/>
      <c r="U428" s="28"/>
      <c r="V428" s="28"/>
      <c r="W428" s="28"/>
      <c r="X428" s="28"/>
      <c r="Y428" s="28"/>
      <c r="Z428" s="28"/>
    </row>
    <row r="429" spans="1:26" ht="13.5" customHeight="1">
      <c r="A429" s="28"/>
      <c r="B429" s="29"/>
      <c r="C429" s="29"/>
      <c r="D429" s="29"/>
      <c r="E429" s="30"/>
      <c r="F429" s="28"/>
      <c r="G429" s="28"/>
      <c r="H429" s="28"/>
      <c r="I429" s="28"/>
      <c r="J429" s="28"/>
      <c r="K429" s="28"/>
      <c r="L429" s="28"/>
      <c r="M429" s="28"/>
      <c r="N429" s="28"/>
      <c r="O429" s="28"/>
      <c r="P429" s="28"/>
      <c r="Q429" s="28"/>
      <c r="R429" s="28"/>
      <c r="S429" s="28"/>
      <c r="T429" s="28"/>
      <c r="U429" s="28"/>
      <c r="V429" s="28"/>
      <c r="W429" s="28"/>
      <c r="X429" s="28"/>
      <c r="Y429" s="28"/>
      <c r="Z429" s="28"/>
    </row>
    <row r="430" spans="1:26" ht="13.5" customHeight="1">
      <c r="A430" s="28"/>
      <c r="B430" s="29"/>
      <c r="C430" s="29"/>
      <c r="D430" s="29"/>
      <c r="E430" s="30"/>
      <c r="F430" s="28"/>
      <c r="G430" s="28"/>
      <c r="H430" s="28"/>
      <c r="I430" s="28"/>
      <c r="J430" s="28"/>
      <c r="K430" s="28"/>
      <c r="L430" s="28"/>
      <c r="M430" s="28"/>
      <c r="N430" s="28"/>
      <c r="O430" s="28"/>
      <c r="P430" s="28"/>
      <c r="Q430" s="28"/>
      <c r="R430" s="28"/>
      <c r="S430" s="28"/>
      <c r="T430" s="28"/>
      <c r="U430" s="28"/>
      <c r="V430" s="28"/>
      <c r="W430" s="28"/>
      <c r="X430" s="28"/>
      <c r="Y430" s="28"/>
      <c r="Z430" s="28"/>
    </row>
    <row r="431" spans="1:26" ht="13.5" customHeight="1">
      <c r="A431" s="28"/>
      <c r="B431" s="29"/>
      <c r="C431" s="29"/>
      <c r="D431" s="29"/>
      <c r="E431" s="30"/>
      <c r="F431" s="28"/>
      <c r="G431" s="28"/>
      <c r="H431" s="28"/>
      <c r="I431" s="28"/>
      <c r="J431" s="28"/>
      <c r="K431" s="28"/>
      <c r="L431" s="28"/>
      <c r="M431" s="28"/>
      <c r="N431" s="28"/>
      <c r="O431" s="28"/>
      <c r="P431" s="28"/>
      <c r="Q431" s="28"/>
      <c r="R431" s="28"/>
      <c r="S431" s="28"/>
      <c r="T431" s="28"/>
      <c r="U431" s="28"/>
      <c r="V431" s="28"/>
      <c r="W431" s="28"/>
      <c r="X431" s="28"/>
      <c r="Y431" s="28"/>
      <c r="Z431" s="28"/>
    </row>
    <row r="432" spans="1:26" ht="13.5" customHeight="1">
      <c r="A432" s="28"/>
      <c r="B432" s="29"/>
      <c r="C432" s="29"/>
      <c r="D432" s="29"/>
      <c r="E432" s="30"/>
      <c r="F432" s="28"/>
      <c r="G432" s="28"/>
      <c r="H432" s="28"/>
      <c r="I432" s="28"/>
      <c r="J432" s="28"/>
      <c r="K432" s="28"/>
      <c r="L432" s="28"/>
      <c r="M432" s="28"/>
      <c r="N432" s="28"/>
      <c r="O432" s="28"/>
      <c r="P432" s="28"/>
      <c r="Q432" s="28"/>
      <c r="R432" s="28"/>
      <c r="S432" s="28"/>
      <c r="T432" s="28"/>
      <c r="U432" s="28"/>
      <c r="V432" s="28"/>
      <c r="W432" s="28"/>
      <c r="X432" s="28"/>
      <c r="Y432" s="28"/>
      <c r="Z432" s="28"/>
    </row>
    <row r="433" spans="1:26" ht="13.5" customHeight="1">
      <c r="A433" s="28"/>
      <c r="B433" s="29"/>
      <c r="C433" s="29"/>
      <c r="D433" s="29"/>
      <c r="E433" s="30"/>
      <c r="F433" s="28"/>
      <c r="G433" s="28"/>
      <c r="H433" s="28"/>
      <c r="I433" s="28"/>
      <c r="J433" s="28"/>
      <c r="K433" s="28"/>
      <c r="L433" s="28"/>
      <c r="M433" s="28"/>
      <c r="N433" s="28"/>
      <c r="O433" s="28"/>
      <c r="P433" s="28"/>
      <c r="Q433" s="28"/>
      <c r="R433" s="28"/>
      <c r="S433" s="28"/>
      <c r="T433" s="28"/>
      <c r="U433" s="28"/>
      <c r="V433" s="28"/>
      <c r="W433" s="28"/>
      <c r="X433" s="28"/>
      <c r="Y433" s="28"/>
      <c r="Z433" s="28"/>
    </row>
    <row r="434" spans="1:26" ht="13.5" customHeight="1">
      <c r="A434" s="28"/>
      <c r="B434" s="29"/>
      <c r="C434" s="29"/>
      <c r="D434" s="29"/>
      <c r="E434" s="30"/>
      <c r="F434" s="28"/>
      <c r="G434" s="28"/>
      <c r="H434" s="28"/>
      <c r="I434" s="28"/>
      <c r="J434" s="28"/>
      <c r="K434" s="28"/>
      <c r="L434" s="28"/>
      <c r="M434" s="28"/>
      <c r="N434" s="28"/>
      <c r="O434" s="28"/>
      <c r="P434" s="28"/>
      <c r="Q434" s="28"/>
      <c r="R434" s="28"/>
      <c r="S434" s="28"/>
      <c r="T434" s="28"/>
      <c r="U434" s="28"/>
      <c r="V434" s="28"/>
      <c r="W434" s="28"/>
      <c r="X434" s="28"/>
      <c r="Y434" s="28"/>
      <c r="Z434" s="28"/>
    </row>
    <row r="435" spans="1:26" ht="13.5" customHeight="1">
      <c r="A435" s="28"/>
      <c r="B435" s="29"/>
      <c r="C435" s="29"/>
      <c r="D435" s="29"/>
      <c r="E435" s="30"/>
      <c r="F435" s="28"/>
      <c r="G435" s="28"/>
      <c r="H435" s="28"/>
      <c r="I435" s="28"/>
      <c r="J435" s="28"/>
      <c r="K435" s="28"/>
      <c r="L435" s="28"/>
      <c r="M435" s="28"/>
      <c r="N435" s="28"/>
      <c r="O435" s="28"/>
      <c r="P435" s="28"/>
      <c r="Q435" s="28"/>
      <c r="R435" s="28"/>
      <c r="S435" s="28"/>
      <c r="T435" s="28"/>
      <c r="U435" s="28"/>
      <c r="V435" s="28"/>
      <c r="W435" s="28"/>
      <c r="X435" s="28"/>
      <c r="Y435" s="28"/>
      <c r="Z435" s="28"/>
    </row>
    <row r="436" spans="1:26" ht="13.5" customHeight="1">
      <c r="A436" s="28"/>
      <c r="B436" s="29"/>
      <c r="C436" s="29"/>
      <c r="D436" s="29"/>
      <c r="E436" s="30"/>
      <c r="F436" s="28"/>
      <c r="G436" s="28"/>
      <c r="H436" s="28"/>
      <c r="I436" s="28"/>
      <c r="J436" s="28"/>
      <c r="K436" s="28"/>
      <c r="L436" s="28"/>
      <c r="M436" s="28"/>
      <c r="N436" s="28"/>
      <c r="O436" s="28"/>
      <c r="P436" s="28"/>
      <c r="Q436" s="28"/>
      <c r="R436" s="28"/>
      <c r="S436" s="28"/>
      <c r="T436" s="28"/>
      <c r="U436" s="28"/>
      <c r="V436" s="28"/>
      <c r="W436" s="28"/>
      <c r="X436" s="28"/>
      <c r="Y436" s="28"/>
      <c r="Z436" s="28"/>
    </row>
    <row r="437" spans="1:26" ht="13.5" customHeight="1">
      <c r="A437" s="28"/>
      <c r="B437" s="29"/>
      <c r="C437" s="29"/>
      <c r="D437" s="29"/>
      <c r="E437" s="30"/>
      <c r="F437" s="28"/>
      <c r="G437" s="28"/>
      <c r="H437" s="28"/>
      <c r="I437" s="28"/>
      <c r="J437" s="28"/>
      <c r="K437" s="28"/>
      <c r="L437" s="28"/>
      <c r="M437" s="28"/>
      <c r="N437" s="28"/>
      <c r="O437" s="28"/>
      <c r="P437" s="28"/>
      <c r="Q437" s="28"/>
      <c r="R437" s="28"/>
      <c r="S437" s="28"/>
      <c r="T437" s="28"/>
      <c r="U437" s="28"/>
      <c r="V437" s="28"/>
      <c r="W437" s="28"/>
      <c r="X437" s="28"/>
      <c r="Y437" s="28"/>
      <c r="Z437" s="28"/>
    </row>
    <row r="438" spans="1:26" ht="13.5" customHeight="1">
      <c r="A438" s="28"/>
      <c r="B438" s="29"/>
      <c r="C438" s="29"/>
      <c r="D438" s="29"/>
      <c r="E438" s="30"/>
      <c r="F438" s="28"/>
      <c r="G438" s="28"/>
      <c r="H438" s="28"/>
      <c r="I438" s="28"/>
      <c r="J438" s="28"/>
      <c r="K438" s="28"/>
      <c r="L438" s="28"/>
      <c r="M438" s="28"/>
      <c r="N438" s="28"/>
      <c r="O438" s="28"/>
      <c r="P438" s="28"/>
      <c r="Q438" s="28"/>
      <c r="R438" s="28"/>
      <c r="S438" s="28"/>
      <c r="T438" s="28"/>
      <c r="U438" s="28"/>
      <c r="V438" s="28"/>
      <c r="W438" s="28"/>
      <c r="X438" s="28"/>
      <c r="Y438" s="28"/>
      <c r="Z438" s="28"/>
    </row>
    <row r="439" spans="1:26" ht="13.5" customHeight="1">
      <c r="A439" s="28"/>
      <c r="B439" s="29"/>
      <c r="C439" s="29"/>
      <c r="D439" s="29"/>
      <c r="E439" s="30"/>
      <c r="F439" s="28"/>
      <c r="G439" s="28"/>
      <c r="H439" s="28"/>
      <c r="I439" s="28"/>
      <c r="J439" s="28"/>
      <c r="K439" s="28"/>
      <c r="L439" s="28"/>
      <c r="M439" s="28"/>
      <c r="N439" s="28"/>
      <c r="O439" s="28"/>
      <c r="P439" s="28"/>
      <c r="Q439" s="28"/>
      <c r="R439" s="28"/>
      <c r="S439" s="28"/>
      <c r="T439" s="28"/>
      <c r="U439" s="28"/>
      <c r="V439" s="28"/>
      <c r="W439" s="28"/>
      <c r="X439" s="28"/>
      <c r="Y439" s="28"/>
      <c r="Z439" s="28"/>
    </row>
    <row r="440" spans="1:26" ht="13.5" customHeight="1">
      <c r="A440" s="28"/>
      <c r="B440" s="29"/>
      <c r="C440" s="29"/>
      <c r="D440" s="29"/>
      <c r="E440" s="30"/>
      <c r="F440" s="28"/>
      <c r="G440" s="28"/>
      <c r="H440" s="28"/>
      <c r="I440" s="28"/>
      <c r="J440" s="28"/>
      <c r="K440" s="28"/>
      <c r="L440" s="28"/>
      <c r="M440" s="28"/>
      <c r="N440" s="28"/>
      <c r="O440" s="28"/>
      <c r="P440" s="28"/>
      <c r="Q440" s="28"/>
      <c r="R440" s="28"/>
      <c r="S440" s="28"/>
      <c r="T440" s="28"/>
      <c r="U440" s="28"/>
      <c r="V440" s="28"/>
      <c r="W440" s="28"/>
      <c r="X440" s="28"/>
      <c r="Y440" s="28"/>
      <c r="Z440" s="28"/>
    </row>
    <row r="441" spans="1:26" ht="13.5" customHeight="1">
      <c r="A441" s="28"/>
      <c r="B441" s="29"/>
      <c r="C441" s="29"/>
      <c r="D441" s="29"/>
      <c r="E441" s="30"/>
      <c r="F441" s="28"/>
      <c r="G441" s="28"/>
      <c r="H441" s="28"/>
      <c r="I441" s="28"/>
      <c r="J441" s="28"/>
      <c r="K441" s="28"/>
      <c r="L441" s="28"/>
      <c r="M441" s="28"/>
      <c r="N441" s="28"/>
      <c r="O441" s="28"/>
      <c r="P441" s="28"/>
      <c r="Q441" s="28"/>
      <c r="R441" s="28"/>
      <c r="S441" s="28"/>
      <c r="T441" s="28"/>
      <c r="U441" s="28"/>
      <c r="V441" s="28"/>
      <c r="W441" s="28"/>
      <c r="X441" s="28"/>
      <c r="Y441" s="28"/>
      <c r="Z441" s="28"/>
    </row>
    <row r="442" spans="1:26" ht="13.5" customHeight="1">
      <c r="A442" s="28"/>
      <c r="B442" s="29"/>
      <c r="C442" s="29"/>
      <c r="D442" s="29"/>
      <c r="E442" s="30"/>
      <c r="F442" s="28"/>
      <c r="G442" s="28"/>
      <c r="H442" s="28"/>
      <c r="I442" s="28"/>
      <c r="J442" s="28"/>
      <c r="K442" s="28"/>
      <c r="L442" s="28"/>
      <c r="M442" s="28"/>
      <c r="N442" s="28"/>
      <c r="O442" s="28"/>
      <c r="P442" s="28"/>
      <c r="Q442" s="28"/>
      <c r="R442" s="28"/>
      <c r="S442" s="28"/>
      <c r="T442" s="28"/>
      <c r="U442" s="28"/>
      <c r="V442" s="28"/>
      <c r="W442" s="28"/>
      <c r="X442" s="28"/>
      <c r="Y442" s="28"/>
      <c r="Z442" s="28"/>
    </row>
    <row r="443" spans="1:26" ht="13.5" customHeight="1">
      <c r="A443" s="28"/>
      <c r="B443" s="29"/>
      <c r="C443" s="29"/>
      <c r="D443" s="29"/>
      <c r="E443" s="30"/>
      <c r="F443" s="28"/>
      <c r="G443" s="28"/>
      <c r="H443" s="28"/>
      <c r="I443" s="28"/>
      <c r="J443" s="28"/>
      <c r="K443" s="28"/>
      <c r="L443" s="28"/>
      <c r="M443" s="28"/>
      <c r="N443" s="28"/>
      <c r="O443" s="28"/>
      <c r="P443" s="28"/>
      <c r="Q443" s="28"/>
      <c r="R443" s="28"/>
      <c r="S443" s="28"/>
      <c r="T443" s="28"/>
      <c r="U443" s="28"/>
      <c r="V443" s="28"/>
      <c r="W443" s="28"/>
      <c r="X443" s="28"/>
      <c r="Y443" s="28"/>
      <c r="Z443" s="28"/>
    </row>
    <row r="444" spans="1:26" ht="13.5" customHeight="1">
      <c r="A444" s="28"/>
      <c r="B444" s="29"/>
      <c r="C444" s="29"/>
      <c r="D444" s="29"/>
      <c r="E444" s="30"/>
      <c r="F444" s="28"/>
      <c r="G444" s="28"/>
      <c r="H444" s="28"/>
      <c r="I444" s="28"/>
      <c r="J444" s="28"/>
      <c r="K444" s="28"/>
      <c r="L444" s="28"/>
      <c r="M444" s="28"/>
      <c r="N444" s="28"/>
      <c r="O444" s="28"/>
      <c r="P444" s="28"/>
      <c r="Q444" s="28"/>
      <c r="R444" s="28"/>
      <c r="S444" s="28"/>
      <c r="T444" s="28"/>
      <c r="U444" s="28"/>
      <c r="V444" s="28"/>
      <c r="W444" s="28"/>
      <c r="X444" s="28"/>
      <c r="Y444" s="28"/>
      <c r="Z444" s="28"/>
    </row>
    <row r="445" spans="1:26" ht="13.5" customHeight="1">
      <c r="A445" s="28"/>
      <c r="B445" s="29"/>
      <c r="C445" s="29"/>
      <c r="D445" s="29"/>
      <c r="E445" s="30"/>
      <c r="F445" s="28"/>
      <c r="G445" s="28"/>
      <c r="H445" s="28"/>
      <c r="I445" s="28"/>
      <c r="J445" s="28"/>
      <c r="K445" s="28"/>
      <c r="L445" s="28"/>
      <c r="M445" s="28"/>
      <c r="N445" s="28"/>
      <c r="O445" s="28"/>
      <c r="P445" s="28"/>
      <c r="Q445" s="28"/>
      <c r="R445" s="28"/>
      <c r="S445" s="28"/>
      <c r="T445" s="28"/>
      <c r="U445" s="28"/>
      <c r="V445" s="28"/>
      <c r="W445" s="28"/>
      <c r="X445" s="28"/>
      <c r="Y445" s="28"/>
      <c r="Z445" s="28"/>
    </row>
    <row r="446" spans="1:26" ht="13.5" customHeight="1">
      <c r="A446" s="28"/>
      <c r="B446" s="29"/>
      <c r="C446" s="29"/>
      <c r="D446" s="29"/>
      <c r="E446" s="30"/>
      <c r="F446" s="28"/>
      <c r="G446" s="28"/>
      <c r="H446" s="28"/>
      <c r="I446" s="28"/>
      <c r="J446" s="28"/>
      <c r="K446" s="28"/>
      <c r="L446" s="28"/>
      <c r="M446" s="28"/>
      <c r="N446" s="28"/>
      <c r="O446" s="28"/>
      <c r="P446" s="28"/>
      <c r="Q446" s="28"/>
      <c r="R446" s="28"/>
      <c r="S446" s="28"/>
      <c r="T446" s="28"/>
      <c r="U446" s="28"/>
      <c r="V446" s="28"/>
      <c r="W446" s="28"/>
      <c r="X446" s="28"/>
      <c r="Y446" s="28"/>
      <c r="Z446" s="28"/>
    </row>
    <row r="447" spans="1:26" ht="13.5" customHeight="1">
      <c r="A447" s="28"/>
      <c r="B447" s="29"/>
      <c r="C447" s="29"/>
      <c r="D447" s="29"/>
      <c r="E447" s="30"/>
      <c r="F447" s="28"/>
      <c r="G447" s="28"/>
      <c r="H447" s="28"/>
      <c r="I447" s="28"/>
      <c r="J447" s="28"/>
      <c r="K447" s="28"/>
      <c r="L447" s="28"/>
      <c r="M447" s="28"/>
      <c r="N447" s="28"/>
      <c r="O447" s="28"/>
      <c r="P447" s="28"/>
      <c r="Q447" s="28"/>
      <c r="R447" s="28"/>
      <c r="S447" s="28"/>
      <c r="T447" s="28"/>
      <c r="U447" s="28"/>
      <c r="V447" s="28"/>
      <c r="W447" s="28"/>
      <c r="X447" s="28"/>
      <c r="Y447" s="28"/>
      <c r="Z447" s="28"/>
    </row>
    <row r="448" spans="1:26" ht="13.5" customHeight="1">
      <c r="A448" s="28"/>
      <c r="B448" s="29"/>
      <c r="C448" s="29"/>
      <c r="D448" s="29"/>
      <c r="E448" s="30"/>
      <c r="F448" s="28"/>
      <c r="G448" s="28"/>
      <c r="H448" s="28"/>
      <c r="I448" s="28"/>
      <c r="J448" s="28"/>
      <c r="K448" s="28"/>
      <c r="L448" s="28"/>
      <c r="M448" s="28"/>
      <c r="N448" s="28"/>
      <c r="O448" s="28"/>
      <c r="P448" s="28"/>
      <c r="Q448" s="28"/>
      <c r="R448" s="28"/>
      <c r="S448" s="28"/>
      <c r="T448" s="28"/>
      <c r="U448" s="28"/>
      <c r="V448" s="28"/>
      <c r="W448" s="28"/>
      <c r="X448" s="28"/>
      <c r="Y448" s="28"/>
      <c r="Z448" s="28"/>
    </row>
    <row r="449" spans="1:26" ht="13.5" customHeight="1">
      <c r="A449" s="28"/>
      <c r="B449" s="29"/>
      <c r="C449" s="29"/>
      <c r="D449" s="29"/>
      <c r="E449" s="30"/>
      <c r="F449" s="28"/>
      <c r="G449" s="28"/>
      <c r="H449" s="28"/>
      <c r="I449" s="28"/>
      <c r="J449" s="28"/>
      <c r="K449" s="28"/>
      <c r="L449" s="28"/>
      <c r="M449" s="28"/>
      <c r="N449" s="28"/>
      <c r="O449" s="28"/>
      <c r="P449" s="28"/>
      <c r="Q449" s="28"/>
      <c r="R449" s="28"/>
      <c r="S449" s="28"/>
      <c r="T449" s="28"/>
      <c r="U449" s="28"/>
      <c r="V449" s="28"/>
      <c r="W449" s="28"/>
      <c r="X449" s="28"/>
      <c r="Y449" s="28"/>
      <c r="Z449" s="28"/>
    </row>
    <row r="450" spans="1:26" ht="13.5" customHeight="1">
      <c r="A450" s="28"/>
      <c r="B450" s="29"/>
      <c r="C450" s="29"/>
      <c r="D450" s="29"/>
      <c r="E450" s="30"/>
      <c r="F450" s="28"/>
      <c r="G450" s="28"/>
      <c r="H450" s="28"/>
      <c r="I450" s="28"/>
      <c r="J450" s="28"/>
      <c r="K450" s="28"/>
      <c r="L450" s="28"/>
      <c r="M450" s="28"/>
      <c r="N450" s="28"/>
      <c r="O450" s="28"/>
      <c r="P450" s="28"/>
      <c r="Q450" s="28"/>
      <c r="R450" s="28"/>
      <c r="S450" s="28"/>
      <c r="T450" s="28"/>
      <c r="U450" s="28"/>
      <c r="V450" s="28"/>
      <c r="W450" s="28"/>
      <c r="X450" s="28"/>
      <c r="Y450" s="28"/>
      <c r="Z450" s="28"/>
    </row>
    <row r="451" spans="1:26" ht="13.5" customHeight="1">
      <c r="A451" s="28"/>
      <c r="B451" s="29"/>
      <c r="C451" s="29"/>
      <c r="D451" s="29"/>
      <c r="E451" s="30"/>
      <c r="F451" s="28"/>
      <c r="G451" s="28"/>
      <c r="H451" s="28"/>
      <c r="I451" s="28"/>
      <c r="J451" s="28"/>
      <c r="K451" s="28"/>
      <c r="L451" s="28"/>
      <c r="M451" s="28"/>
      <c r="N451" s="28"/>
      <c r="O451" s="28"/>
      <c r="P451" s="28"/>
      <c r="Q451" s="28"/>
      <c r="R451" s="28"/>
      <c r="S451" s="28"/>
      <c r="T451" s="28"/>
      <c r="U451" s="28"/>
      <c r="V451" s="28"/>
      <c r="W451" s="28"/>
      <c r="X451" s="28"/>
      <c r="Y451" s="28"/>
      <c r="Z451" s="28"/>
    </row>
    <row r="452" spans="1:26" ht="13.5" customHeight="1">
      <c r="A452" s="28"/>
      <c r="B452" s="29"/>
      <c r="C452" s="29"/>
      <c r="D452" s="29"/>
      <c r="E452" s="30"/>
      <c r="F452" s="28"/>
      <c r="G452" s="28"/>
      <c r="H452" s="28"/>
      <c r="I452" s="28"/>
      <c r="J452" s="28"/>
      <c r="K452" s="28"/>
      <c r="L452" s="28"/>
      <c r="M452" s="28"/>
      <c r="N452" s="28"/>
      <c r="O452" s="28"/>
      <c r="P452" s="28"/>
      <c r="Q452" s="28"/>
      <c r="R452" s="28"/>
      <c r="S452" s="28"/>
      <c r="T452" s="28"/>
      <c r="U452" s="28"/>
      <c r="V452" s="28"/>
      <c r="W452" s="28"/>
      <c r="X452" s="28"/>
      <c r="Y452" s="28"/>
      <c r="Z452" s="28"/>
    </row>
    <row r="453" spans="1:26" ht="13.5" customHeight="1">
      <c r="A453" s="28"/>
      <c r="B453" s="29"/>
      <c r="C453" s="29"/>
      <c r="D453" s="29"/>
      <c r="E453" s="30"/>
      <c r="F453" s="28"/>
      <c r="G453" s="28"/>
      <c r="H453" s="28"/>
      <c r="I453" s="28"/>
      <c r="J453" s="28"/>
      <c r="K453" s="28"/>
      <c r="L453" s="28"/>
      <c r="M453" s="28"/>
      <c r="N453" s="28"/>
      <c r="O453" s="28"/>
      <c r="P453" s="28"/>
      <c r="Q453" s="28"/>
      <c r="R453" s="28"/>
      <c r="S453" s="28"/>
      <c r="T453" s="28"/>
      <c r="U453" s="28"/>
      <c r="V453" s="28"/>
      <c r="W453" s="28"/>
      <c r="X453" s="28"/>
      <c r="Y453" s="28"/>
      <c r="Z453" s="28"/>
    </row>
    <row r="454" spans="1:26" ht="13.5" customHeight="1">
      <c r="A454" s="28"/>
      <c r="B454" s="29"/>
      <c r="C454" s="29"/>
      <c r="D454" s="29"/>
      <c r="E454" s="30"/>
      <c r="F454" s="28"/>
      <c r="G454" s="28"/>
      <c r="H454" s="28"/>
      <c r="I454" s="28"/>
      <c r="J454" s="28"/>
      <c r="K454" s="28"/>
      <c r="L454" s="28"/>
      <c r="M454" s="28"/>
      <c r="N454" s="28"/>
      <c r="O454" s="28"/>
      <c r="P454" s="28"/>
      <c r="Q454" s="28"/>
      <c r="R454" s="28"/>
      <c r="S454" s="28"/>
      <c r="T454" s="28"/>
      <c r="U454" s="28"/>
      <c r="V454" s="28"/>
      <c r="W454" s="28"/>
      <c r="X454" s="28"/>
      <c r="Y454" s="28"/>
      <c r="Z454" s="28"/>
    </row>
    <row r="455" spans="1:26" ht="13.5" customHeight="1">
      <c r="A455" s="28"/>
      <c r="B455" s="29"/>
      <c r="C455" s="29"/>
      <c r="D455" s="29"/>
      <c r="E455" s="30"/>
      <c r="F455" s="28"/>
      <c r="G455" s="28"/>
      <c r="H455" s="28"/>
      <c r="I455" s="28"/>
      <c r="J455" s="28"/>
      <c r="K455" s="28"/>
      <c r="L455" s="28"/>
      <c r="M455" s="28"/>
      <c r="N455" s="28"/>
      <c r="O455" s="28"/>
      <c r="P455" s="28"/>
      <c r="Q455" s="28"/>
      <c r="R455" s="28"/>
      <c r="S455" s="28"/>
      <c r="T455" s="28"/>
      <c r="U455" s="28"/>
      <c r="V455" s="28"/>
      <c r="W455" s="28"/>
      <c r="X455" s="28"/>
      <c r="Y455" s="28"/>
      <c r="Z455" s="28"/>
    </row>
    <row r="456" spans="1:26" ht="13.5" customHeight="1">
      <c r="A456" s="28"/>
      <c r="B456" s="29"/>
      <c r="C456" s="29"/>
      <c r="D456" s="29"/>
      <c r="E456" s="30"/>
      <c r="F456" s="28"/>
      <c r="G456" s="28"/>
      <c r="H456" s="28"/>
      <c r="I456" s="28"/>
      <c r="J456" s="28"/>
      <c r="K456" s="28"/>
      <c r="L456" s="28"/>
      <c r="M456" s="28"/>
      <c r="N456" s="28"/>
      <c r="O456" s="28"/>
      <c r="P456" s="28"/>
      <c r="Q456" s="28"/>
      <c r="R456" s="28"/>
      <c r="S456" s="28"/>
      <c r="T456" s="28"/>
      <c r="U456" s="28"/>
      <c r="V456" s="28"/>
      <c r="W456" s="28"/>
      <c r="X456" s="28"/>
      <c r="Y456" s="28"/>
      <c r="Z456" s="28"/>
    </row>
    <row r="457" spans="1:26" ht="13.5" customHeight="1">
      <c r="A457" s="28"/>
      <c r="B457" s="29"/>
      <c r="C457" s="29"/>
      <c r="D457" s="29"/>
      <c r="E457" s="30"/>
      <c r="F457" s="28"/>
      <c r="G457" s="28"/>
      <c r="H457" s="28"/>
      <c r="I457" s="28"/>
      <c r="J457" s="28"/>
      <c r="K457" s="28"/>
      <c r="L457" s="28"/>
      <c r="M457" s="28"/>
      <c r="N457" s="28"/>
      <c r="O457" s="28"/>
      <c r="P457" s="28"/>
      <c r="Q457" s="28"/>
      <c r="R457" s="28"/>
      <c r="S457" s="28"/>
      <c r="T457" s="28"/>
      <c r="U457" s="28"/>
      <c r="V457" s="28"/>
      <c r="W457" s="28"/>
      <c r="X457" s="28"/>
      <c r="Y457" s="28"/>
      <c r="Z457" s="28"/>
    </row>
    <row r="458" spans="1:26" ht="13.5" customHeight="1">
      <c r="A458" s="28"/>
      <c r="B458" s="29"/>
      <c r="C458" s="29"/>
      <c r="D458" s="29"/>
      <c r="E458" s="30"/>
      <c r="F458" s="28"/>
      <c r="G458" s="28"/>
      <c r="H458" s="28"/>
      <c r="I458" s="28"/>
      <c r="J458" s="28"/>
      <c r="K458" s="28"/>
      <c r="L458" s="28"/>
      <c r="M458" s="28"/>
      <c r="N458" s="28"/>
      <c r="O458" s="28"/>
      <c r="P458" s="28"/>
      <c r="Q458" s="28"/>
      <c r="R458" s="28"/>
      <c r="S458" s="28"/>
      <c r="T458" s="28"/>
      <c r="U458" s="28"/>
      <c r="V458" s="28"/>
      <c r="W458" s="28"/>
      <c r="X458" s="28"/>
      <c r="Y458" s="28"/>
      <c r="Z458" s="28"/>
    </row>
    <row r="459" spans="1:26" ht="13.5" customHeight="1">
      <c r="A459" s="28"/>
      <c r="B459" s="29"/>
      <c r="C459" s="29"/>
      <c r="D459" s="29"/>
      <c r="E459" s="30"/>
      <c r="F459" s="28"/>
      <c r="G459" s="28"/>
      <c r="H459" s="28"/>
      <c r="I459" s="28"/>
      <c r="J459" s="28"/>
      <c r="K459" s="28"/>
      <c r="L459" s="28"/>
      <c r="M459" s="28"/>
      <c r="N459" s="28"/>
      <c r="O459" s="28"/>
      <c r="P459" s="28"/>
      <c r="Q459" s="28"/>
      <c r="R459" s="28"/>
      <c r="S459" s="28"/>
      <c r="T459" s="28"/>
      <c r="U459" s="28"/>
      <c r="V459" s="28"/>
      <c r="W459" s="28"/>
      <c r="X459" s="28"/>
      <c r="Y459" s="28"/>
      <c r="Z459" s="28"/>
    </row>
    <row r="460" spans="1:26" ht="13.5" customHeight="1">
      <c r="A460" s="28"/>
      <c r="B460" s="29"/>
      <c r="C460" s="29"/>
      <c r="D460" s="29"/>
      <c r="E460" s="30"/>
      <c r="F460" s="28"/>
      <c r="G460" s="28"/>
      <c r="H460" s="28"/>
      <c r="I460" s="28"/>
      <c r="J460" s="28"/>
      <c r="K460" s="28"/>
      <c r="L460" s="28"/>
      <c r="M460" s="28"/>
      <c r="N460" s="28"/>
      <c r="O460" s="28"/>
      <c r="P460" s="28"/>
      <c r="Q460" s="28"/>
      <c r="R460" s="28"/>
      <c r="S460" s="28"/>
      <c r="T460" s="28"/>
      <c r="U460" s="28"/>
      <c r="V460" s="28"/>
      <c r="W460" s="28"/>
      <c r="X460" s="28"/>
      <c r="Y460" s="28"/>
      <c r="Z460" s="28"/>
    </row>
    <row r="461" spans="1:26" ht="13.5" customHeight="1">
      <c r="A461" s="28"/>
      <c r="B461" s="29"/>
      <c r="C461" s="29"/>
      <c r="D461" s="29"/>
      <c r="E461" s="30"/>
      <c r="F461" s="28"/>
      <c r="G461" s="28"/>
      <c r="H461" s="28"/>
      <c r="I461" s="28"/>
      <c r="J461" s="28"/>
      <c r="K461" s="28"/>
      <c r="L461" s="28"/>
      <c r="M461" s="28"/>
      <c r="N461" s="28"/>
      <c r="O461" s="28"/>
      <c r="P461" s="28"/>
      <c r="Q461" s="28"/>
      <c r="R461" s="28"/>
      <c r="S461" s="28"/>
      <c r="T461" s="28"/>
      <c r="U461" s="28"/>
      <c r="V461" s="28"/>
      <c r="W461" s="28"/>
      <c r="X461" s="28"/>
      <c r="Y461" s="28"/>
      <c r="Z461" s="28"/>
    </row>
    <row r="462" spans="1:26" ht="13.5" customHeight="1">
      <c r="A462" s="28"/>
      <c r="B462" s="29"/>
      <c r="C462" s="29"/>
      <c r="D462" s="29"/>
      <c r="E462" s="30"/>
      <c r="F462" s="28"/>
      <c r="G462" s="28"/>
      <c r="H462" s="28"/>
      <c r="I462" s="28"/>
      <c r="J462" s="28"/>
      <c r="K462" s="28"/>
      <c r="L462" s="28"/>
      <c r="M462" s="28"/>
      <c r="N462" s="28"/>
      <c r="O462" s="28"/>
      <c r="P462" s="28"/>
      <c r="Q462" s="28"/>
      <c r="R462" s="28"/>
      <c r="S462" s="28"/>
      <c r="T462" s="28"/>
      <c r="U462" s="28"/>
      <c r="V462" s="28"/>
      <c r="W462" s="28"/>
      <c r="X462" s="28"/>
      <c r="Y462" s="28"/>
      <c r="Z462" s="28"/>
    </row>
    <row r="463" spans="1:26" ht="13.5" customHeight="1">
      <c r="A463" s="28"/>
      <c r="B463" s="29"/>
      <c r="C463" s="29"/>
      <c r="D463" s="29"/>
      <c r="E463" s="30"/>
      <c r="F463" s="28"/>
      <c r="G463" s="28"/>
      <c r="H463" s="28"/>
      <c r="I463" s="28"/>
      <c r="J463" s="28"/>
      <c r="K463" s="28"/>
      <c r="L463" s="28"/>
      <c r="M463" s="28"/>
      <c r="N463" s="28"/>
      <c r="O463" s="28"/>
      <c r="P463" s="28"/>
      <c r="Q463" s="28"/>
      <c r="R463" s="28"/>
      <c r="S463" s="28"/>
      <c r="T463" s="28"/>
      <c r="U463" s="28"/>
      <c r="V463" s="28"/>
      <c r="W463" s="28"/>
      <c r="X463" s="28"/>
      <c r="Y463" s="28"/>
      <c r="Z463" s="28"/>
    </row>
    <row r="464" spans="1:26" ht="13.5" customHeight="1">
      <c r="A464" s="28"/>
      <c r="B464" s="29"/>
      <c r="C464" s="29"/>
      <c r="D464" s="29"/>
      <c r="E464" s="30"/>
      <c r="F464" s="28"/>
      <c r="G464" s="28"/>
      <c r="H464" s="28"/>
      <c r="I464" s="28"/>
      <c r="J464" s="28"/>
      <c r="K464" s="28"/>
      <c r="L464" s="28"/>
      <c r="M464" s="28"/>
      <c r="N464" s="28"/>
      <c r="O464" s="28"/>
      <c r="P464" s="28"/>
      <c r="Q464" s="28"/>
      <c r="R464" s="28"/>
      <c r="S464" s="28"/>
      <c r="T464" s="28"/>
      <c r="U464" s="28"/>
      <c r="V464" s="28"/>
      <c r="W464" s="28"/>
      <c r="X464" s="28"/>
      <c r="Y464" s="28"/>
      <c r="Z464" s="28"/>
    </row>
    <row r="465" spans="1:26" ht="13.5" customHeight="1">
      <c r="A465" s="28"/>
      <c r="B465" s="29"/>
      <c r="C465" s="29"/>
      <c r="D465" s="29"/>
      <c r="E465" s="30"/>
      <c r="F465" s="28"/>
      <c r="G465" s="28"/>
      <c r="H465" s="28"/>
      <c r="I465" s="28"/>
      <c r="J465" s="28"/>
      <c r="K465" s="28"/>
      <c r="L465" s="28"/>
      <c r="M465" s="28"/>
      <c r="N465" s="28"/>
      <c r="O465" s="28"/>
      <c r="P465" s="28"/>
      <c r="Q465" s="28"/>
      <c r="R465" s="28"/>
      <c r="S465" s="28"/>
      <c r="T465" s="28"/>
      <c r="U465" s="28"/>
      <c r="V465" s="28"/>
      <c r="W465" s="28"/>
      <c r="X465" s="28"/>
      <c r="Y465" s="28"/>
      <c r="Z465" s="28"/>
    </row>
    <row r="466" spans="1:26" ht="13.5" customHeight="1">
      <c r="A466" s="28"/>
      <c r="B466" s="29"/>
      <c r="C466" s="29"/>
      <c r="D466" s="29"/>
      <c r="E466" s="30"/>
      <c r="F466" s="28"/>
      <c r="G466" s="28"/>
      <c r="H466" s="28"/>
      <c r="I466" s="28"/>
      <c r="J466" s="28"/>
      <c r="K466" s="28"/>
      <c r="L466" s="28"/>
      <c r="M466" s="28"/>
      <c r="N466" s="28"/>
      <c r="O466" s="28"/>
      <c r="P466" s="28"/>
      <c r="Q466" s="28"/>
      <c r="R466" s="28"/>
      <c r="S466" s="28"/>
      <c r="T466" s="28"/>
      <c r="U466" s="28"/>
      <c r="V466" s="28"/>
      <c r="W466" s="28"/>
      <c r="X466" s="28"/>
      <c r="Y466" s="28"/>
      <c r="Z466" s="28"/>
    </row>
    <row r="467" spans="1:26" ht="13.5" customHeight="1">
      <c r="A467" s="28"/>
      <c r="B467" s="29"/>
      <c r="C467" s="29"/>
      <c r="D467" s="29"/>
      <c r="E467" s="30"/>
      <c r="F467" s="28"/>
      <c r="G467" s="28"/>
      <c r="H467" s="28"/>
      <c r="I467" s="28"/>
      <c r="J467" s="28"/>
      <c r="K467" s="28"/>
      <c r="L467" s="28"/>
      <c r="M467" s="28"/>
      <c r="N467" s="28"/>
      <c r="O467" s="28"/>
      <c r="P467" s="28"/>
      <c r="Q467" s="28"/>
      <c r="R467" s="28"/>
      <c r="S467" s="28"/>
      <c r="T467" s="28"/>
      <c r="U467" s="28"/>
      <c r="V467" s="28"/>
      <c r="W467" s="28"/>
      <c r="X467" s="28"/>
      <c r="Y467" s="28"/>
      <c r="Z467" s="28"/>
    </row>
    <row r="468" spans="1:26" ht="13.5" customHeight="1">
      <c r="A468" s="28"/>
      <c r="B468" s="29"/>
      <c r="C468" s="29"/>
      <c r="D468" s="29"/>
      <c r="E468" s="30"/>
      <c r="F468" s="28"/>
      <c r="G468" s="28"/>
      <c r="H468" s="28"/>
      <c r="I468" s="28"/>
      <c r="J468" s="28"/>
      <c r="K468" s="28"/>
      <c r="L468" s="28"/>
      <c r="M468" s="28"/>
      <c r="N468" s="28"/>
      <c r="O468" s="28"/>
      <c r="P468" s="28"/>
      <c r="Q468" s="28"/>
      <c r="R468" s="28"/>
      <c r="S468" s="28"/>
      <c r="T468" s="28"/>
      <c r="U468" s="28"/>
      <c r="V468" s="28"/>
      <c r="W468" s="28"/>
      <c r="X468" s="28"/>
      <c r="Y468" s="28"/>
      <c r="Z468" s="28"/>
    </row>
    <row r="469" spans="1:26" ht="13.5" customHeight="1">
      <c r="A469" s="28"/>
      <c r="B469" s="29"/>
      <c r="C469" s="29"/>
      <c r="D469" s="29"/>
      <c r="E469" s="30"/>
      <c r="F469" s="28"/>
      <c r="G469" s="28"/>
      <c r="H469" s="28"/>
      <c r="I469" s="28"/>
      <c r="J469" s="28"/>
      <c r="K469" s="28"/>
      <c r="L469" s="28"/>
      <c r="M469" s="28"/>
      <c r="N469" s="28"/>
      <c r="O469" s="28"/>
      <c r="P469" s="28"/>
      <c r="Q469" s="28"/>
      <c r="R469" s="28"/>
      <c r="S469" s="28"/>
      <c r="T469" s="28"/>
      <c r="U469" s="28"/>
      <c r="V469" s="28"/>
      <c r="W469" s="28"/>
      <c r="X469" s="28"/>
      <c r="Y469" s="28"/>
      <c r="Z469" s="28"/>
    </row>
    <row r="470" spans="1:26" ht="13.5" customHeight="1">
      <c r="A470" s="28"/>
      <c r="B470" s="29"/>
      <c r="C470" s="29"/>
      <c r="D470" s="29"/>
      <c r="E470" s="30"/>
      <c r="F470" s="28"/>
      <c r="G470" s="28"/>
      <c r="H470" s="28"/>
      <c r="I470" s="28"/>
      <c r="J470" s="28"/>
      <c r="K470" s="28"/>
      <c r="L470" s="28"/>
      <c r="M470" s="28"/>
      <c r="N470" s="28"/>
      <c r="O470" s="28"/>
      <c r="P470" s="28"/>
      <c r="Q470" s="28"/>
      <c r="R470" s="28"/>
      <c r="S470" s="28"/>
      <c r="T470" s="28"/>
      <c r="U470" s="28"/>
      <c r="V470" s="28"/>
      <c r="W470" s="28"/>
      <c r="X470" s="28"/>
      <c r="Y470" s="28"/>
      <c r="Z470" s="28"/>
    </row>
    <row r="471" spans="1:26" ht="13.5" customHeight="1">
      <c r="A471" s="28"/>
      <c r="B471" s="29"/>
      <c r="C471" s="29"/>
      <c r="D471" s="29"/>
      <c r="E471" s="30"/>
      <c r="F471" s="28"/>
      <c r="G471" s="28"/>
      <c r="H471" s="28"/>
      <c r="I471" s="28"/>
      <c r="J471" s="28"/>
      <c r="K471" s="28"/>
      <c r="L471" s="28"/>
      <c r="M471" s="28"/>
      <c r="N471" s="28"/>
      <c r="O471" s="28"/>
      <c r="P471" s="28"/>
      <c r="Q471" s="28"/>
      <c r="R471" s="28"/>
      <c r="S471" s="28"/>
      <c r="T471" s="28"/>
      <c r="U471" s="28"/>
      <c r="V471" s="28"/>
      <c r="W471" s="28"/>
      <c r="X471" s="28"/>
      <c r="Y471" s="28"/>
      <c r="Z471" s="28"/>
    </row>
    <row r="472" spans="1:26" ht="13.5" customHeight="1">
      <c r="A472" s="28"/>
      <c r="B472" s="29"/>
      <c r="C472" s="29"/>
      <c r="D472" s="29"/>
      <c r="E472" s="30"/>
      <c r="F472" s="28"/>
      <c r="G472" s="28"/>
      <c r="H472" s="28"/>
      <c r="I472" s="28"/>
      <c r="J472" s="28"/>
      <c r="K472" s="28"/>
      <c r="L472" s="28"/>
      <c r="M472" s="28"/>
      <c r="N472" s="28"/>
      <c r="O472" s="28"/>
      <c r="P472" s="28"/>
      <c r="Q472" s="28"/>
      <c r="R472" s="28"/>
      <c r="S472" s="28"/>
      <c r="T472" s="28"/>
      <c r="U472" s="28"/>
      <c r="V472" s="28"/>
      <c r="W472" s="28"/>
      <c r="X472" s="28"/>
      <c r="Y472" s="28"/>
      <c r="Z472" s="28"/>
    </row>
    <row r="473" spans="1:26" ht="13.5" customHeight="1">
      <c r="A473" s="28"/>
      <c r="B473" s="29"/>
      <c r="C473" s="29"/>
      <c r="D473" s="29"/>
      <c r="E473" s="30"/>
      <c r="F473" s="28"/>
      <c r="G473" s="28"/>
      <c r="H473" s="28"/>
      <c r="I473" s="28"/>
      <c r="J473" s="28"/>
      <c r="K473" s="28"/>
      <c r="L473" s="28"/>
      <c r="M473" s="28"/>
      <c r="N473" s="28"/>
      <c r="O473" s="28"/>
      <c r="P473" s="28"/>
      <c r="Q473" s="28"/>
      <c r="R473" s="28"/>
      <c r="S473" s="28"/>
      <c r="T473" s="28"/>
      <c r="U473" s="28"/>
      <c r="V473" s="28"/>
      <c r="W473" s="28"/>
      <c r="X473" s="28"/>
      <c r="Y473" s="28"/>
      <c r="Z473" s="28"/>
    </row>
    <row r="474" spans="1:26" ht="13.5" customHeight="1">
      <c r="A474" s="28"/>
      <c r="B474" s="29"/>
      <c r="C474" s="29"/>
      <c r="D474" s="29"/>
      <c r="E474" s="30"/>
      <c r="F474" s="28"/>
      <c r="G474" s="28"/>
      <c r="H474" s="28"/>
      <c r="I474" s="28"/>
      <c r="J474" s="28"/>
      <c r="K474" s="28"/>
      <c r="L474" s="28"/>
      <c r="M474" s="28"/>
      <c r="N474" s="28"/>
      <c r="O474" s="28"/>
      <c r="P474" s="28"/>
      <c r="Q474" s="28"/>
      <c r="R474" s="28"/>
      <c r="S474" s="28"/>
      <c r="T474" s="28"/>
      <c r="U474" s="28"/>
      <c r="V474" s="28"/>
      <c r="W474" s="28"/>
      <c r="X474" s="28"/>
      <c r="Y474" s="28"/>
      <c r="Z474" s="28"/>
    </row>
    <row r="475" spans="1:26" ht="13.5" customHeight="1">
      <c r="A475" s="28"/>
      <c r="B475" s="29"/>
      <c r="C475" s="29"/>
      <c r="D475" s="29"/>
      <c r="E475" s="30"/>
      <c r="F475" s="28"/>
      <c r="G475" s="28"/>
      <c r="H475" s="28"/>
      <c r="I475" s="28"/>
      <c r="J475" s="28"/>
      <c r="K475" s="28"/>
      <c r="L475" s="28"/>
      <c r="M475" s="28"/>
      <c r="N475" s="28"/>
      <c r="O475" s="28"/>
      <c r="P475" s="28"/>
      <c r="Q475" s="28"/>
      <c r="R475" s="28"/>
      <c r="S475" s="28"/>
      <c r="T475" s="28"/>
      <c r="U475" s="28"/>
      <c r="V475" s="28"/>
      <c r="W475" s="28"/>
      <c r="X475" s="28"/>
      <c r="Y475" s="28"/>
      <c r="Z475" s="28"/>
    </row>
    <row r="476" spans="1:26" ht="13.5" customHeight="1">
      <c r="A476" s="28"/>
      <c r="B476" s="29"/>
      <c r="C476" s="29"/>
      <c r="D476" s="29"/>
      <c r="E476" s="30"/>
      <c r="F476" s="28"/>
      <c r="G476" s="28"/>
      <c r="H476" s="28"/>
      <c r="I476" s="28"/>
      <c r="J476" s="28"/>
      <c r="K476" s="28"/>
      <c r="L476" s="28"/>
      <c r="M476" s="28"/>
      <c r="N476" s="28"/>
      <c r="O476" s="28"/>
      <c r="P476" s="28"/>
      <c r="Q476" s="28"/>
      <c r="R476" s="28"/>
      <c r="S476" s="28"/>
      <c r="T476" s="28"/>
      <c r="U476" s="28"/>
      <c r="V476" s="28"/>
      <c r="W476" s="28"/>
      <c r="X476" s="28"/>
      <c r="Y476" s="28"/>
      <c r="Z476" s="28"/>
    </row>
    <row r="477" spans="1:26" ht="13.5" customHeight="1">
      <c r="A477" s="28"/>
      <c r="B477" s="29"/>
      <c r="C477" s="29"/>
      <c r="D477" s="29"/>
      <c r="E477" s="30"/>
      <c r="F477" s="28"/>
      <c r="G477" s="28"/>
      <c r="H477" s="28"/>
      <c r="I477" s="28"/>
      <c r="J477" s="28"/>
      <c r="K477" s="28"/>
      <c r="L477" s="28"/>
      <c r="M477" s="28"/>
      <c r="N477" s="28"/>
      <c r="O477" s="28"/>
      <c r="P477" s="28"/>
      <c r="Q477" s="28"/>
      <c r="R477" s="28"/>
      <c r="S477" s="28"/>
      <c r="T477" s="28"/>
      <c r="U477" s="28"/>
      <c r="V477" s="28"/>
      <c r="W477" s="28"/>
      <c r="X477" s="28"/>
      <c r="Y477" s="28"/>
      <c r="Z477" s="28"/>
    </row>
    <row r="478" spans="1:26" ht="13.5" customHeight="1">
      <c r="A478" s="28"/>
      <c r="B478" s="29"/>
      <c r="C478" s="29"/>
      <c r="D478" s="29"/>
      <c r="E478" s="30"/>
      <c r="F478" s="28"/>
      <c r="G478" s="28"/>
      <c r="H478" s="28"/>
      <c r="I478" s="28"/>
      <c r="J478" s="28"/>
      <c r="K478" s="28"/>
      <c r="L478" s="28"/>
      <c r="M478" s="28"/>
      <c r="N478" s="28"/>
      <c r="O478" s="28"/>
      <c r="P478" s="28"/>
      <c r="Q478" s="28"/>
      <c r="R478" s="28"/>
      <c r="S478" s="28"/>
      <c r="T478" s="28"/>
      <c r="U478" s="28"/>
      <c r="V478" s="28"/>
      <c r="W478" s="28"/>
      <c r="X478" s="28"/>
      <c r="Y478" s="28"/>
      <c r="Z478" s="28"/>
    </row>
    <row r="479" spans="1:26" ht="13.5" customHeight="1">
      <c r="A479" s="28"/>
      <c r="B479" s="29"/>
      <c r="C479" s="29"/>
      <c r="D479" s="29"/>
      <c r="E479" s="30"/>
      <c r="F479" s="28"/>
      <c r="G479" s="28"/>
      <c r="H479" s="28"/>
      <c r="I479" s="28"/>
      <c r="J479" s="28"/>
      <c r="K479" s="28"/>
      <c r="L479" s="28"/>
      <c r="M479" s="28"/>
      <c r="N479" s="28"/>
      <c r="O479" s="28"/>
      <c r="P479" s="28"/>
      <c r="Q479" s="28"/>
      <c r="R479" s="28"/>
      <c r="S479" s="28"/>
      <c r="T479" s="28"/>
      <c r="U479" s="28"/>
      <c r="V479" s="28"/>
      <c r="W479" s="28"/>
      <c r="X479" s="28"/>
      <c r="Y479" s="28"/>
      <c r="Z479" s="28"/>
    </row>
    <row r="480" spans="1:26" ht="13.5" customHeight="1">
      <c r="A480" s="28"/>
      <c r="B480" s="29"/>
      <c r="C480" s="29"/>
      <c r="D480" s="29"/>
      <c r="E480" s="30"/>
      <c r="F480" s="28"/>
      <c r="G480" s="28"/>
      <c r="H480" s="28"/>
      <c r="I480" s="28"/>
      <c r="J480" s="28"/>
      <c r="K480" s="28"/>
      <c r="L480" s="28"/>
      <c r="M480" s="28"/>
      <c r="N480" s="28"/>
      <c r="O480" s="28"/>
      <c r="P480" s="28"/>
      <c r="Q480" s="28"/>
      <c r="R480" s="28"/>
      <c r="S480" s="28"/>
      <c r="T480" s="28"/>
      <c r="U480" s="28"/>
      <c r="V480" s="28"/>
      <c r="W480" s="28"/>
      <c r="X480" s="28"/>
      <c r="Y480" s="28"/>
      <c r="Z480" s="28"/>
    </row>
    <row r="481" spans="1:26" ht="13.5" customHeight="1">
      <c r="A481" s="28"/>
      <c r="B481" s="29"/>
      <c r="C481" s="29"/>
      <c r="D481" s="29"/>
      <c r="E481" s="30"/>
      <c r="F481" s="28"/>
      <c r="G481" s="28"/>
      <c r="H481" s="28"/>
      <c r="I481" s="28"/>
      <c r="J481" s="28"/>
      <c r="K481" s="28"/>
      <c r="L481" s="28"/>
      <c r="M481" s="28"/>
      <c r="N481" s="28"/>
      <c r="O481" s="28"/>
      <c r="P481" s="28"/>
      <c r="Q481" s="28"/>
      <c r="R481" s="28"/>
      <c r="S481" s="28"/>
      <c r="T481" s="28"/>
      <c r="U481" s="28"/>
      <c r="V481" s="28"/>
      <c r="W481" s="28"/>
      <c r="X481" s="28"/>
      <c r="Y481" s="28"/>
      <c r="Z481" s="28"/>
    </row>
    <row r="482" spans="1:26" ht="13.5" customHeight="1">
      <c r="A482" s="28"/>
      <c r="B482" s="29"/>
      <c r="C482" s="29"/>
      <c r="D482" s="29"/>
      <c r="E482" s="30"/>
      <c r="F482" s="28"/>
      <c r="G482" s="28"/>
      <c r="H482" s="28"/>
      <c r="I482" s="28"/>
      <c r="J482" s="28"/>
      <c r="K482" s="28"/>
      <c r="L482" s="28"/>
      <c r="M482" s="28"/>
      <c r="N482" s="28"/>
      <c r="O482" s="28"/>
      <c r="P482" s="28"/>
      <c r="Q482" s="28"/>
      <c r="R482" s="28"/>
      <c r="S482" s="28"/>
      <c r="T482" s="28"/>
      <c r="U482" s="28"/>
      <c r="V482" s="28"/>
      <c r="W482" s="28"/>
      <c r="X482" s="28"/>
      <c r="Y482" s="28"/>
      <c r="Z482" s="28"/>
    </row>
    <row r="483" spans="1:26" ht="13.5" customHeight="1">
      <c r="A483" s="28"/>
      <c r="B483" s="29"/>
      <c r="C483" s="29"/>
      <c r="D483" s="29"/>
      <c r="E483" s="30"/>
      <c r="F483" s="28"/>
      <c r="G483" s="28"/>
      <c r="H483" s="28"/>
      <c r="I483" s="28"/>
      <c r="J483" s="28"/>
      <c r="K483" s="28"/>
      <c r="L483" s="28"/>
      <c r="M483" s="28"/>
      <c r="N483" s="28"/>
      <c r="O483" s="28"/>
      <c r="P483" s="28"/>
      <c r="Q483" s="28"/>
      <c r="R483" s="28"/>
      <c r="S483" s="28"/>
      <c r="T483" s="28"/>
      <c r="U483" s="28"/>
      <c r="V483" s="28"/>
      <c r="W483" s="28"/>
      <c r="X483" s="28"/>
      <c r="Y483" s="28"/>
      <c r="Z483" s="28"/>
    </row>
    <row r="484" spans="1:26" ht="13.5" customHeight="1">
      <c r="A484" s="28"/>
      <c r="B484" s="29"/>
      <c r="C484" s="29"/>
      <c r="D484" s="29"/>
      <c r="E484" s="30"/>
      <c r="F484" s="28"/>
      <c r="G484" s="28"/>
      <c r="H484" s="28"/>
      <c r="I484" s="28"/>
      <c r="J484" s="28"/>
      <c r="K484" s="28"/>
      <c r="L484" s="28"/>
      <c r="M484" s="28"/>
      <c r="N484" s="28"/>
      <c r="O484" s="28"/>
      <c r="P484" s="28"/>
      <c r="Q484" s="28"/>
      <c r="R484" s="28"/>
      <c r="S484" s="28"/>
      <c r="T484" s="28"/>
      <c r="U484" s="28"/>
      <c r="V484" s="28"/>
      <c r="W484" s="28"/>
      <c r="X484" s="28"/>
      <c r="Y484" s="28"/>
      <c r="Z484" s="28"/>
    </row>
    <row r="485" spans="1:26" ht="13.5" customHeight="1">
      <c r="A485" s="28"/>
      <c r="B485" s="29"/>
      <c r="C485" s="29"/>
      <c r="D485" s="29"/>
      <c r="E485" s="30"/>
      <c r="F485" s="28"/>
      <c r="G485" s="28"/>
      <c r="H485" s="28"/>
      <c r="I485" s="28"/>
      <c r="J485" s="28"/>
      <c r="K485" s="28"/>
      <c r="L485" s="28"/>
      <c r="M485" s="28"/>
      <c r="N485" s="28"/>
      <c r="O485" s="28"/>
      <c r="P485" s="28"/>
      <c r="Q485" s="28"/>
      <c r="R485" s="28"/>
      <c r="S485" s="28"/>
      <c r="T485" s="28"/>
      <c r="U485" s="28"/>
      <c r="V485" s="28"/>
      <c r="W485" s="28"/>
      <c r="X485" s="28"/>
      <c r="Y485" s="28"/>
      <c r="Z485" s="28"/>
    </row>
    <row r="486" spans="1:26" ht="13.5" customHeight="1">
      <c r="A486" s="28"/>
      <c r="B486" s="29"/>
      <c r="C486" s="29"/>
      <c r="D486" s="29"/>
      <c r="E486" s="30"/>
      <c r="F486" s="28"/>
      <c r="G486" s="28"/>
      <c r="H486" s="28"/>
      <c r="I486" s="28"/>
      <c r="J486" s="28"/>
      <c r="K486" s="28"/>
      <c r="L486" s="28"/>
      <c r="M486" s="28"/>
      <c r="N486" s="28"/>
      <c r="O486" s="28"/>
      <c r="P486" s="28"/>
      <c r="Q486" s="28"/>
      <c r="R486" s="28"/>
      <c r="S486" s="28"/>
      <c r="T486" s="28"/>
      <c r="U486" s="28"/>
      <c r="V486" s="28"/>
      <c r="W486" s="28"/>
      <c r="X486" s="28"/>
      <c r="Y486" s="28"/>
      <c r="Z486" s="28"/>
    </row>
    <row r="487" spans="1:26" ht="13.5" customHeight="1">
      <c r="A487" s="28"/>
      <c r="B487" s="29"/>
      <c r="C487" s="29"/>
      <c r="D487" s="29"/>
      <c r="E487" s="30"/>
      <c r="F487" s="28"/>
      <c r="G487" s="28"/>
      <c r="H487" s="28"/>
      <c r="I487" s="28"/>
      <c r="J487" s="28"/>
      <c r="K487" s="28"/>
      <c r="L487" s="28"/>
      <c r="M487" s="28"/>
      <c r="N487" s="28"/>
      <c r="O487" s="28"/>
      <c r="P487" s="28"/>
      <c r="Q487" s="28"/>
      <c r="R487" s="28"/>
      <c r="S487" s="28"/>
      <c r="T487" s="28"/>
      <c r="U487" s="28"/>
      <c r="V487" s="28"/>
      <c r="W487" s="28"/>
      <c r="X487" s="28"/>
      <c r="Y487" s="28"/>
      <c r="Z487" s="28"/>
    </row>
    <row r="488" spans="1:26" ht="13.5" customHeight="1">
      <c r="A488" s="28"/>
      <c r="B488" s="29"/>
      <c r="C488" s="29"/>
      <c r="D488" s="29"/>
      <c r="E488" s="30"/>
      <c r="F488" s="28"/>
      <c r="G488" s="28"/>
      <c r="H488" s="28"/>
      <c r="I488" s="28"/>
      <c r="J488" s="28"/>
      <c r="K488" s="28"/>
      <c r="L488" s="28"/>
      <c r="M488" s="28"/>
      <c r="N488" s="28"/>
      <c r="O488" s="28"/>
      <c r="P488" s="28"/>
      <c r="Q488" s="28"/>
      <c r="R488" s="28"/>
      <c r="S488" s="28"/>
      <c r="T488" s="28"/>
      <c r="U488" s="28"/>
      <c r="V488" s="28"/>
      <c r="W488" s="28"/>
      <c r="X488" s="28"/>
      <c r="Y488" s="28"/>
      <c r="Z488" s="28"/>
    </row>
    <row r="489" spans="1:26" ht="13.5" customHeight="1">
      <c r="A489" s="28"/>
      <c r="B489" s="29"/>
      <c r="C489" s="29"/>
      <c r="D489" s="29"/>
      <c r="E489" s="30"/>
      <c r="F489" s="28"/>
      <c r="G489" s="28"/>
      <c r="H489" s="28"/>
      <c r="I489" s="28"/>
      <c r="J489" s="28"/>
      <c r="K489" s="28"/>
      <c r="L489" s="28"/>
      <c r="M489" s="28"/>
      <c r="N489" s="28"/>
      <c r="O489" s="28"/>
      <c r="P489" s="28"/>
      <c r="Q489" s="28"/>
      <c r="R489" s="28"/>
      <c r="S489" s="28"/>
      <c r="T489" s="28"/>
      <c r="U489" s="28"/>
      <c r="V489" s="28"/>
      <c r="W489" s="28"/>
      <c r="X489" s="28"/>
      <c r="Y489" s="28"/>
      <c r="Z489" s="28"/>
    </row>
    <row r="490" spans="1:26" ht="13.5" customHeight="1">
      <c r="A490" s="28"/>
      <c r="B490" s="29"/>
      <c r="C490" s="29"/>
      <c r="D490" s="29"/>
      <c r="E490" s="30"/>
      <c r="F490" s="28"/>
      <c r="G490" s="28"/>
      <c r="H490" s="28"/>
      <c r="I490" s="28"/>
      <c r="J490" s="28"/>
      <c r="K490" s="28"/>
      <c r="L490" s="28"/>
      <c r="M490" s="28"/>
      <c r="N490" s="28"/>
      <c r="O490" s="28"/>
      <c r="P490" s="28"/>
      <c r="Q490" s="28"/>
      <c r="R490" s="28"/>
      <c r="S490" s="28"/>
      <c r="T490" s="28"/>
      <c r="U490" s="28"/>
      <c r="V490" s="28"/>
      <c r="W490" s="28"/>
      <c r="X490" s="28"/>
      <c r="Y490" s="28"/>
      <c r="Z490" s="28"/>
    </row>
    <row r="491" spans="1:26" ht="13.5" customHeight="1">
      <c r="A491" s="28"/>
      <c r="B491" s="29"/>
      <c r="C491" s="29"/>
      <c r="D491" s="29"/>
      <c r="E491" s="30"/>
      <c r="F491" s="28"/>
      <c r="G491" s="28"/>
      <c r="H491" s="28"/>
      <c r="I491" s="28"/>
      <c r="J491" s="28"/>
      <c r="K491" s="28"/>
      <c r="L491" s="28"/>
      <c r="M491" s="28"/>
      <c r="N491" s="28"/>
      <c r="O491" s="28"/>
      <c r="P491" s="28"/>
      <c r="Q491" s="28"/>
      <c r="R491" s="28"/>
      <c r="S491" s="28"/>
      <c r="T491" s="28"/>
      <c r="U491" s="28"/>
      <c r="V491" s="28"/>
      <c r="W491" s="28"/>
      <c r="X491" s="28"/>
      <c r="Y491" s="28"/>
      <c r="Z491" s="28"/>
    </row>
    <row r="492" spans="1:26" ht="13.5" customHeight="1">
      <c r="A492" s="28"/>
      <c r="B492" s="29"/>
      <c r="C492" s="29"/>
      <c r="D492" s="29"/>
      <c r="E492" s="30"/>
      <c r="F492" s="28"/>
      <c r="G492" s="28"/>
      <c r="H492" s="28"/>
      <c r="I492" s="28"/>
      <c r="J492" s="28"/>
      <c r="K492" s="28"/>
      <c r="L492" s="28"/>
      <c r="M492" s="28"/>
      <c r="N492" s="28"/>
      <c r="O492" s="28"/>
      <c r="P492" s="28"/>
      <c r="Q492" s="28"/>
      <c r="R492" s="28"/>
      <c r="S492" s="28"/>
      <c r="T492" s="28"/>
      <c r="U492" s="28"/>
      <c r="V492" s="28"/>
      <c r="W492" s="28"/>
      <c r="X492" s="28"/>
      <c r="Y492" s="28"/>
      <c r="Z492" s="28"/>
    </row>
    <row r="493" spans="1:26" ht="13.5" customHeight="1">
      <c r="A493" s="28"/>
      <c r="B493" s="29"/>
      <c r="C493" s="29"/>
      <c r="D493" s="29"/>
      <c r="E493" s="30"/>
      <c r="F493" s="28"/>
      <c r="G493" s="28"/>
      <c r="H493" s="28"/>
      <c r="I493" s="28"/>
      <c r="J493" s="28"/>
      <c r="K493" s="28"/>
      <c r="L493" s="28"/>
      <c r="M493" s="28"/>
      <c r="N493" s="28"/>
      <c r="O493" s="28"/>
      <c r="P493" s="28"/>
      <c r="Q493" s="28"/>
      <c r="R493" s="28"/>
      <c r="S493" s="28"/>
      <c r="T493" s="28"/>
      <c r="U493" s="28"/>
      <c r="V493" s="28"/>
      <c r="W493" s="28"/>
      <c r="X493" s="28"/>
      <c r="Y493" s="28"/>
      <c r="Z493" s="28"/>
    </row>
    <row r="494" spans="1:26" ht="13.5" customHeight="1">
      <c r="A494" s="28"/>
      <c r="B494" s="29"/>
      <c r="C494" s="29"/>
      <c r="D494" s="29"/>
      <c r="E494" s="30"/>
      <c r="F494" s="28"/>
      <c r="G494" s="28"/>
      <c r="H494" s="28"/>
      <c r="I494" s="28"/>
      <c r="J494" s="28"/>
      <c r="K494" s="28"/>
      <c r="L494" s="28"/>
      <c r="M494" s="28"/>
      <c r="N494" s="28"/>
      <c r="O494" s="28"/>
      <c r="P494" s="28"/>
      <c r="Q494" s="28"/>
      <c r="R494" s="28"/>
      <c r="S494" s="28"/>
      <c r="T494" s="28"/>
      <c r="U494" s="28"/>
      <c r="V494" s="28"/>
      <c r="W494" s="28"/>
      <c r="X494" s="28"/>
      <c r="Y494" s="28"/>
      <c r="Z494" s="28"/>
    </row>
    <row r="495" spans="1:26" ht="13.5" customHeight="1">
      <c r="A495" s="28"/>
      <c r="B495" s="29"/>
      <c r="C495" s="29"/>
      <c r="D495" s="29"/>
      <c r="E495" s="30"/>
      <c r="F495" s="28"/>
      <c r="G495" s="28"/>
      <c r="H495" s="28"/>
      <c r="I495" s="28"/>
      <c r="J495" s="28"/>
      <c r="K495" s="28"/>
      <c r="L495" s="28"/>
      <c r="M495" s="28"/>
      <c r="N495" s="28"/>
      <c r="O495" s="28"/>
      <c r="P495" s="28"/>
      <c r="Q495" s="28"/>
      <c r="R495" s="28"/>
      <c r="S495" s="28"/>
      <c r="T495" s="28"/>
      <c r="U495" s="28"/>
      <c r="V495" s="28"/>
      <c r="W495" s="28"/>
      <c r="X495" s="28"/>
      <c r="Y495" s="28"/>
      <c r="Z495" s="28"/>
    </row>
    <row r="496" spans="1:26" ht="13.5" customHeight="1">
      <c r="A496" s="28"/>
      <c r="B496" s="29"/>
      <c r="C496" s="29"/>
      <c r="D496" s="29"/>
      <c r="E496" s="30"/>
      <c r="F496" s="28"/>
      <c r="G496" s="28"/>
      <c r="H496" s="28"/>
      <c r="I496" s="28"/>
      <c r="J496" s="28"/>
      <c r="K496" s="28"/>
      <c r="L496" s="28"/>
      <c r="M496" s="28"/>
      <c r="N496" s="28"/>
      <c r="O496" s="28"/>
      <c r="P496" s="28"/>
      <c r="Q496" s="28"/>
      <c r="R496" s="28"/>
      <c r="S496" s="28"/>
      <c r="T496" s="28"/>
      <c r="U496" s="28"/>
      <c r="V496" s="28"/>
      <c r="W496" s="28"/>
      <c r="X496" s="28"/>
      <c r="Y496" s="28"/>
      <c r="Z496" s="28"/>
    </row>
    <row r="497" spans="1:26" ht="13.5" customHeight="1">
      <c r="A497" s="28"/>
      <c r="B497" s="29"/>
      <c r="C497" s="29"/>
      <c r="D497" s="29"/>
      <c r="E497" s="30"/>
      <c r="F497" s="28"/>
      <c r="G497" s="28"/>
      <c r="H497" s="28"/>
      <c r="I497" s="28"/>
      <c r="J497" s="28"/>
      <c r="K497" s="28"/>
      <c r="L497" s="28"/>
      <c r="M497" s="28"/>
      <c r="N497" s="28"/>
      <c r="O497" s="28"/>
      <c r="P497" s="28"/>
      <c r="Q497" s="28"/>
      <c r="R497" s="28"/>
      <c r="S497" s="28"/>
      <c r="T497" s="28"/>
      <c r="U497" s="28"/>
      <c r="V497" s="28"/>
      <c r="W497" s="28"/>
      <c r="X497" s="28"/>
      <c r="Y497" s="28"/>
      <c r="Z497" s="28"/>
    </row>
    <row r="498" spans="1:26" ht="13.5" customHeight="1">
      <c r="A498" s="28"/>
      <c r="B498" s="29"/>
      <c r="C498" s="29"/>
      <c r="D498" s="29"/>
      <c r="E498" s="30"/>
      <c r="F498" s="28"/>
      <c r="G498" s="28"/>
      <c r="H498" s="28"/>
      <c r="I498" s="28"/>
      <c r="J498" s="28"/>
      <c r="K498" s="28"/>
      <c r="L498" s="28"/>
      <c r="M498" s="28"/>
      <c r="N498" s="28"/>
      <c r="O498" s="28"/>
      <c r="P498" s="28"/>
      <c r="Q498" s="28"/>
      <c r="R498" s="28"/>
      <c r="S498" s="28"/>
      <c r="T498" s="28"/>
      <c r="U498" s="28"/>
      <c r="V498" s="28"/>
      <c r="W498" s="28"/>
      <c r="X498" s="28"/>
      <c r="Y498" s="28"/>
      <c r="Z498" s="28"/>
    </row>
    <row r="499" spans="1:26" ht="13.5" customHeight="1">
      <c r="A499" s="28"/>
      <c r="B499" s="29"/>
      <c r="C499" s="29"/>
      <c r="D499" s="29"/>
      <c r="E499" s="30"/>
      <c r="F499" s="28"/>
      <c r="G499" s="28"/>
      <c r="H499" s="28"/>
      <c r="I499" s="28"/>
      <c r="J499" s="28"/>
      <c r="K499" s="28"/>
      <c r="L499" s="28"/>
      <c r="M499" s="28"/>
      <c r="N499" s="28"/>
      <c r="O499" s="28"/>
      <c r="P499" s="28"/>
      <c r="Q499" s="28"/>
      <c r="R499" s="28"/>
      <c r="S499" s="28"/>
      <c r="T499" s="28"/>
      <c r="U499" s="28"/>
      <c r="V499" s="28"/>
      <c r="W499" s="28"/>
      <c r="X499" s="28"/>
      <c r="Y499" s="28"/>
      <c r="Z499" s="28"/>
    </row>
    <row r="500" spans="1:26" ht="13.5" customHeight="1">
      <c r="A500" s="28"/>
      <c r="B500" s="29"/>
      <c r="C500" s="29"/>
      <c r="D500" s="29"/>
      <c r="E500" s="30"/>
      <c r="F500" s="28"/>
      <c r="G500" s="28"/>
      <c r="H500" s="28"/>
      <c r="I500" s="28"/>
      <c r="J500" s="28"/>
      <c r="K500" s="28"/>
      <c r="L500" s="28"/>
      <c r="M500" s="28"/>
      <c r="N500" s="28"/>
      <c r="O500" s="28"/>
      <c r="P500" s="28"/>
      <c r="Q500" s="28"/>
      <c r="R500" s="28"/>
      <c r="S500" s="28"/>
      <c r="T500" s="28"/>
      <c r="U500" s="28"/>
      <c r="V500" s="28"/>
      <c r="W500" s="28"/>
      <c r="X500" s="28"/>
      <c r="Y500" s="28"/>
      <c r="Z500" s="28"/>
    </row>
    <row r="501" spans="1:26" ht="13.5" customHeight="1">
      <c r="A501" s="28"/>
      <c r="B501" s="29"/>
      <c r="C501" s="29"/>
      <c r="D501" s="29"/>
      <c r="E501" s="30"/>
      <c r="F501" s="28"/>
      <c r="G501" s="28"/>
      <c r="H501" s="28"/>
      <c r="I501" s="28"/>
      <c r="J501" s="28"/>
      <c r="K501" s="28"/>
      <c r="L501" s="28"/>
      <c r="M501" s="28"/>
      <c r="N501" s="28"/>
      <c r="O501" s="28"/>
      <c r="P501" s="28"/>
      <c r="Q501" s="28"/>
      <c r="R501" s="28"/>
      <c r="S501" s="28"/>
      <c r="T501" s="28"/>
      <c r="U501" s="28"/>
      <c r="V501" s="28"/>
      <c r="W501" s="28"/>
      <c r="X501" s="28"/>
      <c r="Y501" s="28"/>
      <c r="Z501" s="28"/>
    </row>
    <row r="502" spans="1:26" ht="13.5" customHeight="1">
      <c r="A502" s="28"/>
      <c r="B502" s="29"/>
      <c r="C502" s="29"/>
      <c r="D502" s="29"/>
      <c r="E502" s="30"/>
      <c r="F502" s="28"/>
      <c r="G502" s="28"/>
      <c r="H502" s="28"/>
      <c r="I502" s="28"/>
      <c r="J502" s="28"/>
      <c r="K502" s="28"/>
      <c r="L502" s="28"/>
      <c r="M502" s="28"/>
      <c r="N502" s="28"/>
      <c r="O502" s="28"/>
      <c r="P502" s="28"/>
      <c r="Q502" s="28"/>
      <c r="R502" s="28"/>
      <c r="S502" s="28"/>
      <c r="T502" s="28"/>
      <c r="U502" s="28"/>
      <c r="V502" s="28"/>
      <c r="W502" s="28"/>
      <c r="X502" s="28"/>
      <c r="Y502" s="28"/>
      <c r="Z502" s="28"/>
    </row>
    <row r="503" spans="1:26" ht="13.5" customHeight="1">
      <c r="A503" s="28"/>
      <c r="B503" s="29"/>
      <c r="C503" s="29"/>
      <c r="D503" s="29"/>
      <c r="E503" s="30"/>
      <c r="F503" s="28"/>
      <c r="G503" s="28"/>
      <c r="H503" s="28"/>
      <c r="I503" s="28"/>
      <c r="J503" s="28"/>
      <c r="K503" s="28"/>
      <c r="L503" s="28"/>
      <c r="M503" s="28"/>
      <c r="N503" s="28"/>
      <c r="O503" s="28"/>
      <c r="P503" s="28"/>
      <c r="Q503" s="28"/>
      <c r="R503" s="28"/>
      <c r="S503" s="28"/>
      <c r="T503" s="28"/>
      <c r="U503" s="28"/>
      <c r="V503" s="28"/>
      <c r="W503" s="28"/>
      <c r="X503" s="28"/>
      <c r="Y503" s="28"/>
      <c r="Z503" s="28"/>
    </row>
    <row r="504" spans="1:26" ht="13.5" customHeight="1">
      <c r="A504" s="28"/>
      <c r="B504" s="29"/>
      <c r="C504" s="29"/>
      <c r="D504" s="29"/>
      <c r="E504" s="30"/>
      <c r="F504" s="28"/>
      <c r="G504" s="28"/>
      <c r="H504" s="28"/>
      <c r="I504" s="28"/>
      <c r="J504" s="28"/>
      <c r="K504" s="28"/>
      <c r="L504" s="28"/>
      <c r="M504" s="28"/>
      <c r="N504" s="28"/>
      <c r="O504" s="28"/>
      <c r="P504" s="28"/>
      <c r="Q504" s="28"/>
      <c r="R504" s="28"/>
      <c r="S504" s="28"/>
      <c r="T504" s="28"/>
      <c r="U504" s="28"/>
      <c r="V504" s="28"/>
      <c r="W504" s="28"/>
      <c r="X504" s="28"/>
      <c r="Y504" s="28"/>
      <c r="Z504" s="28"/>
    </row>
    <row r="505" spans="1:26" ht="13.5" customHeight="1">
      <c r="A505" s="28"/>
      <c r="B505" s="29"/>
      <c r="C505" s="29"/>
      <c r="D505" s="29"/>
      <c r="E505" s="30"/>
      <c r="F505" s="28"/>
      <c r="G505" s="28"/>
      <c r="H505" s="28"/>
      <c r="I505" s="28"/>
      <c r="J505" s="28"/>
      <c r="K505" s="28"/>
      <c r="L505" s="28"/>
      <c r="M505" s="28"/>
      <c r="N505" s="28"/>
      <c r="O505" s="28"/>
      <c r="P505" s="28"/>
      <c r="Q505" s="28"/>
      <c r="R505" s="28"/>
      <c r="S505" s="28"/>
      <c r="T505" s="28"/>
      <c r="U505" s="28"/>
      <c r="V505" s="28"/>
      <c r="W505" s="28"/>
      <c r="X505" s="28"/>
      <c r="Y505" s="28"/>
      <c r="Z505" s="28"/>
    </row>
    <row r="506" spans="1:26" ht="13.5" customHeight="1">
      <c r="A506" s="28"/>
      <c r="B506" s="29"/>
      <c r="C506" s="29"/>
      <c r="D506" s="29"/>
      <c r="E506" s="30"/>
      <c r="F506" s="28"/>
      <c r="G506" s="28"/>
      <c r="H506" s="28"/>
      <c r="I506" s="28"/>
      <c r="J506" s="28"/>
      <c r="K506" s="28"/>
      <c r="L506" s="28"/>
      <c r="M506" s="28"/>
      <c r="N506" s="28"/>
      <c r="O506" s="28"/>
      <c r="P506" s="28"/>
      <c r="Q506" s="28"/>
      <c r="R506" s="28"/>
      <c r="S506" s="28"/>
      <c r="T506" s="28"/>
      <c r="U506" s="28"/>
      <c r="V506" s="28"/>
      <c r="W506" s="28"/>
      <c r="X506" s="28"/>
      <c r="Y506" s="28"/>
      <c r="Z506" s="28"/>
    </row>
    <row r="507" spans="1:26" ht="13.5" customHeight="1">
      <c r="A507" s="28"/>
      <c r="B507" s="29"/>
      <c r="C507" s="29"/>
      <c r="D507" s="29"/>
      <c r="E507" s="30"/>
      <c r="F507" s="28"/>
      <c r="G507" s="28"/>
      <c r="H507" s="28"/>
      <c r="I507" s="28"/>
      <c r="J507" s="28"/>
      <c r="K507" s="28"/>
      <c r="L507" s="28"/>
      <c r="M507" s="28"/>
      <c r="N507" s="28"/>
      <c r="O507" s="28"/>
      <c r="P507" s="28"/>
      <c r="Q507" s="28"/>
      <c r="R507" s="28"/>
      <c r="S507" s="28"/>
      <c r="T507" s="28"/>
      <c r="U507" s="28"/>
      <c r="V507" s="28"/>
      <c r="W507" s="28"/>
      <c r="X507" s="28"/>
      <c r="Y507" s="28"/>
      <c r="Z507" s="28"/>
    </row>
    <row r="508" spans="1:26" ht="13.5" customHeight="1">
      <c r="A508" s="28"/>
      <c r="B508" s="29"/>
      <c r="C508" s="29"/>
      <c r="D508" s="29"/>
      <c r="E508" s="30"/>
      <c r="F508" s="28"/>
      <c r="G508" s="28"/>
      <c r="H508" s="28"/>
      <c r="I508" s="28"/>
      <c r="J508" s="28"/>
      <c r="K508" s="28"/>
      <c r="L508" s="28"/>
      <c r="M508" s="28"/>
      <c r="N508" s="28"/>
      <c r="O508" s="28"/>
      <c r="P508" s="28"/>
      <c r="Q508" s="28"/>
      <c r="R508" s="28"/>
      <c r="S508" s="28"/>
      <c r="T508" s="28"/>
      <c r="U508" s="28"/>
      <c r="V508" s="28"/>
      <c r="W508" s="28"/>
      <c r="X508" s="28"/>
      <c r="Y508" s="28"/>
      <c r="Z508" s="28"/>
    </row>
    <row r="509" spans="1:26" ht="13.5" customHeight="1">
      <c r="A509" s="28"/>
      <c r="B509" s="29"/>
      <c r="C509" s="29"/>
      <c r="D509" s="29"/>
      <c r="E509" s="30"/>
      <c r="F509" s="28"/>
      <c r="G509" s="28"/>
      <c r="H509" s="28"/>
      <c r="I509" s="28"/>
      <c r="J509" s="28"/>
      <c r="K509" s="28"/>
      <c r="L509" s="28"/>
      <c r="M509" s="28"/>
      <c r="N509" s="28"/>
      <c r="O509" s="28"/>
      <c r="P509" s="28"/>
      <c r="Q509" s="28"/>
      <c r="R509" s="28"/>
      <c r="S509" s="28"/>
      <c r="T509" s="28"/>
      <c r="U509" s="28"/>
      <c r="V509" s="28"/>
      <c r="W509" s="28"/>
      <c r="X509" s="28"/>
      <c r="Y509" s="28"/>
      <c r="Z509" s="28"/>
    </row>
    <row r="510" spans="1:26" ht="13.5" customHeight="1">
      <c r="A510" s="28"/>
      <c r="B510" s="29"/>
      <c r="C510" s="29"/>
      <c r="D510" s="29"/>
      <c r="E510" s="30"/>
      <c r="F510" s="28"/>
      <c r="G510" s="28"/>
      <c r="H510" s="28"/>
      <c r="I510" s="28"/>
      <c r="J510" s="28"/>
      <c r="K510" s="28"/>
      <c r="L510" s="28"/>
      <c r="M510" s="28"/>
      <c r="N510" s="28"/>
      <c r="O510" s="28"/>
      <c r="P510" s="28"/>
      <c r="Q510" s="28"/>
      <c r="R510" s="28"/>
      <c r="S510" s="28"/>
      <c r="T510" s="28"/>
      <c r="U510" s="28"/>
      <c r="V510" s="28"/>
      <c r="W510" s="28"/>
      <c r="X510" s="28"/>
      <c r="Y510" s="28"/>
      <c r="Z510" s="28"/>
    </row>
    <row r="511" spans="1:26" ht="13.5" customHeight="1">
      <c r="A511" s="28"/>
      <c r="B511" s="29"/>
      <c r="C511" s="29"/>
      <c r="D511" s="29"/>
      <c r="E511" s="30"/>
      <c r="F511" s="28"/>
      <c r="G511" s="28"/>
      <c r="H511" s="28"/>
      <c r="I511" s="28"/>
      <c r="J511" s="28"/>
      <c r="K511" s="28"/>
      <c r="L511" s="28"/>
      <c r="M511" s="28"/>
      <c r="N511" s="28"/>
      <c r="O511" s="28"/>
      <c r="P511" s="28"/>
      <c r="Q511" s="28"/>
      <c r="R511" s="28"/>
      <c r="S511" s="28"/>
      <c r="T511" s="28"/>
      <c r="U511" s="28"/>
      <c r="V511" s="28"/>
      <c r="W511" s="28"/>
      <c r="X511" s="28"/>
      <c r="Y511" s="28"/>
      <c r="Z511" s="28"/>
    </row>
    <row r="512" spans="1:26" ht="13.5" customHeight="1">
      <c r="A512" s="28"/>
      <c r="B512" s="29"/>
      <c r="C512" s="29"/>
      <c r="D512" s="29"/>
      <c r="E512" s="30"/>
      <c r="F512" s="28"/>
      <c r="G512" s="28"/>
      <c r="H512" s="28"/>
      <c r="I512" s="28"/>
      <c r="J512" s="28"/>
      <c r="K512" s="28"/>
      <c r="L512" s="28"/>
      <c r="M512" s="28"/>
      <c r="N512" s="28"/>
      <c r="O512" s="28"/>
      <c r="P512" s="28"/>
      <c r="Q512" s="28"/>
      <c r="R512" s="28"/>
      <c r="S512" s="28"/>
      <c r="T512" s="28"/>
      <c r="U512" s="28"/>
      <c r="V512" s="28"/>
      <c r="W512" s="28"/>
      <c r="X512" s="28"/>
      <c r="Y512" s="28"/>
      <c r="Z512" s="28"/>
    </row>
    <row r="513" spans="1:26" ht="13.5" customHeight="1">
      <c r="A513" s="28"/>
      <c r="B513" s="29"/>
      <c r="C513" s="29"/>
      <c r="D513" s="29"/>
      <c r="E513" s="30"/>
      <c r="F513" s="28"/>
      <c r="G513" s="28"/>
      <c r="H513" s="28"/>
      <c r="I513" s="28"/>
      <c r="J513" s="28"/>
      <c r="K513" s="28"/>
      <c r="L513" s="28"/>
      <c r="M513" s="28"/>
      <c r="N513" s="28"/>
      <c r="O513" s="28"/>
      <c r="P513" s="28"/>
      <c r="Q513" s="28"/>
      <c r="R513" s="28"/>
      <c r="S513" s="28"/>
      <c r="T513" s="28"/>
      <c r="U513" s="28"/>
      <c r="V513" s="28"/>
      <c r="W513" s="28"/>
      <c r="X513" s="28"/>
      <c r="Y513" s="28"/>
      <c r="Z513" s="28"/>
    </row>
    <row r="514" spans="1:26" ht="13.5" customHeight="1">
      <c r="A514" s="28"/>
      <c r="B514" s="29"/>
      <c r="C514" s="29"/>
      <c r="D514" s="29"/>
      <c r="E514" s="30"/>
      <c r="F514" s="28"/>
      <c r="G514" s="28"/>
      <c r="H514" s="28"/>
      <c r="I514" s="28"/>
      <c r="J514" s="28"/>
      <c r="K514" s="28"/>
      <c r="L514" s="28"/>
      <c r="M514" s="28"/>
      <c r="N514" s="28"/>
      <c r="O514" s="28"/>
      <c r="P514" s="28"/>
      <c r="Q514" s="28"/>
      <c r="R514" s="28"/>
      <c r="S514" s="28"/>
      <c r="T514" s="28"/>
      <c r="U514" s="28"/>
      <c r="V514" s="28"/>
      <c r="W514" s="28"/>
      <c r="X514" s="28"/>
      <c r="Y514" s="28"/>
      <c r="Z514" s="28"/>
    </row>
    <row r="515" spans="1:26" ht="13.5" customHeight="1">
      <c r="A515" s="28"/>
      <c r="B515" s="29"/>
      <c r="C515" s="29"/>
      <c r="D515" s="29"/>
      <c r="E515" s="30"/>
      <c r="F515" s="28"/>
      <c r="G515" s="28"/>
      <c r="H515" s="28"/>
      <c r="I515" s="28"/>
      <c r="J515" s="28"/>
      <c r="K515" s="28"/>
      <c r="L515" s="28"/>
      <c r="M515" s="28"/>
      <c r="N515" s="28"/>
      <c r="O515" s="28"/>
      <c r="P515" s="28"/>
      <c r="Q515" s="28"/>
      <c r="R515" s="28"/>
      <c r="S515" s="28"/>
      <c r="T515" s="28"/>
      <c r="U515" s="28"/>
      <c r="V515" s="28"/>
      <c r="W515" s="28"/>
      <c r="X515" s="28"/>
      <c r="Y515" s="28"/>
      <c r="Z515" s="28"/>
    </row>
    <row r="516" spans="1:26" ht="13.5" customHeight="1">
      <c r="A516" s="28"/>
      <c r="B516" s="29"/>
      <c r="C516" s="29"/>
      <c r="D516" s="29"/>
      <c r="E516" s="30"/>
      <c r="F516" s="28"/>
      <c r="G516" s="28"/>
      <c r="H516" s="28"/>
      <c r="I516" s="28"/>
      <c r="J516" s="28"/>
      <c r="K516" s="28"/>
      <c r="L516" s="28"/>
      <c r="M516" s="28"/>
      <c r="N516" s="28"/>
      <c r="O516" s="28"/>
      <c r="P516" s="28"/>
      <c r="Q516" s="28"/>
      <c r="R516" s="28"/>
      <c r="S516" s="28"/>
      <c r="T516" s="28"/>
      <c r="U516" s="28"/>
      <c r="V516" s="28"/>
      <c r="W516" s="28"/>
      <c r="X516" s="28"/>
      <c r="Y516" s="28"/>
      <c r="Z516" s="28"/>
    </row>
    <row r="517" spans="1:26" ht="13.5" customHeight="1">
      <c r="A517" s="28"/>
      <c r="B517" s="29"/>
      <c r="C517" s="29"/>
      <c r="D517" s="29"/>
      <c r="E517" s="30"/>
      <c r="F517" s="28"/>
      <c r="G517" s="28"/>
      <c r="H517" s="28"/>
      <c r="I517" s="28"/>
      <c r="J517" s="28"/>
      <c r="K517" s="28"/>
      <c r="L517" s="28"/>
      <c r="M517" s="28"/>
      <c r="N517" s="28"/>
      <c r="O517" s="28"/>
      <c r="P517" s="28"/>
      <c r="Q517" s="28"/>
      <c r="R517" s="28"/>
      <c r="S517" s="28"/>
      <c r="T517" s="28"/>
      <c r="U517" s="28"/>
      <c r="V517" s="28"/>
      <c r="W517" s="28"/>
      <c r="X517" s="28"/>
      <c r="Y517" s="28"/>
      <c r="Z517" s="28"/>
    </row>
    <row r="518" spans="1:26" ht="13.5" customHeight="1">
      <c r="A518" s="28"/>
      <c r="B518" s="29"/>
      <c r="C518" s="29"/>
      <c r="D518" s="29"/>
      <c r="E518" s="30"/>
      <c r="F518" s="28"/>
      <c r="G518" s="28"/>
      <c r="H518" s="28"/>
      <c r="I518" s="28"/>
      <c r="J518" s="28"/>
      <c r="K518" s="28"/>
      <c r="L518" s="28"/>
      <c r="M518" s="28"/>
      <c r="N518" s="28"/>
      <c r="O518" s="28"/>
      <c r="P518" s="28"/>
      <c r="Q518" s="28"/>
      <c r="R518" s="28"/>
      <c r="S518" s="28"/>
      <c r="T518" s="28"/>
      <c r="U518" s="28"/>
      <c r="V518" s="28"/>
      <c r="W518" s="28"/>
      <c r="X518" s="28"/>
      <c r="Y518" s="28"/>
      <c r="Z518" s="28"/>
    </row>
    <row r="519" spans="1:26" ht="13.5" customHeight="1">
      <c r="A519" s="28"/>
      <c r="B519" s="29"/>
      <c r="C519" s="29"/>
      <c r="D519" s="29"/>
      <c r="E519" s="30"/>
      <c r="F519" s="28"/>
      <c r="G519" s="28"/>
      <c r="H519" s="28"/>
      <c r="I519" s="28"/>
      <c r="J519" s="28"/>
      <c r="K519" s="28"/>
      <c r="L519" s="28"/>
      <c r="M519" s="28"/>
      <c r="N519" s="28"/>
      <c r="O519" s="28"/>
      <c r="P519" s="28"/>
      <c r="Q519" s="28"/>
      <c r="R519" s="28"/>
      <c r="S519" s="28"/>
      <c r="T519" s="28"/>
      <c r="U519" s="28"/>
      <c r="V519" s="28"/>
      <c r="W519" s="28"/>
      <c r="X519" s="28"/>
      <c r="Y519" s="28"/>
      <c r="Z519" s="28"/>
    </row>
    <row r="520" spans="1:26" ht="13.5" customHeight="1">
      <c r="A520" s="28"/>
      <c r="B520" s="29"/>
      <c r="C520" s="29"/>
      <c r="D520" s="29"/>
      <c r="E520" s="30"/>
      <c r="F520" s="28"/>
      <c r="G520" s="28"/>
      <c r="H520" s="28"/>
      <c r="I520" s="28"/>
      <c r="J520" s="28"/>
      <c r="K520" s="28"/>
      <c r="L520" s="28"/>
      <c r="M520" s="28"/>
      <c r="N520" s="28"/>
      <c r="O520" s="28"/>
      <c r="P520" s="28"/>
      <c r="Q520" s="28"/>
      <c r="R520" s="28"/>
      <c r="S520" s="28"/>
      <c r="T520" s="28"/>
      <c r="U520" s="28"/>
      <c r="V520" s="28"/>
      <c r="W520" s="28"/>
      <c r="X520" s="28"/>
      <c r="Y520" s="28"/>
      <c r="Z520" s="28"/>
    </row>
    <row r="521" spans="1:26" ht="13.5" customHeight="1">
      <c r="A521" s="28"/>
      <c r="B521" s="29"/>
      <c r="C521" s="29"/>
      <c r="D521" s="29"/>
      <c r="E521" s="30"/>
      <c r="F521" s="28"/>
      <c r="G521" s="28"/>
      <c r="H521" s="28"/>
      <c r="I521" s="28"/>
      <c r="J521" s="28"/>
      <c r="K521" s="28"/>
      <c r="L521" s="28"/>
      <c r="M521" s="28"/>
      <c r="N521" s="28"/>
      <c r="O521" s="28"/>
      <c r="P521" s="28"/>
      <c r="Q521" s="28"/>
      <c r="R521" s="28"/>
      <c r="S521" s="28"/>
      <c r="T521" s="28"/>
      <c r="U521" s="28"/>
      <c r="V521" s="28"/>
      <c r="W521" s="28"/>
      <c r="X521" s="28"/>
      <c r="Y521" s="28"/>
      <c r="Z521" s="28"/>
    </row>
    <row r="522" spans="1:26" ht="13.5" customHeight="1">
      <c r="A522" s="28"/>
      <c r="B522" s="29"/>
      <c r="C522" s="29"/>
      <c r="D522" s="29"/>
      <c r="E522" s="30"/>
      <c r="F522" s="28"/>
      <c r="G522" s="28"/>
      <c r="H522" s="28"/>
      <c r="I522" s="28"/>
      <c r="J522" s="28"/>
      <c r="K522" s="28"/>
      <c r="L522" s="28"/>
      <c r="M522" s="28"/>
      <c r="N522" s="28"/>
      <c r="O522" s="28"/>
      <c r="P522" s="28"/>
      <c r="Q522" s="28"/>
      <c r="R522" s="28"/>
      <c r="S522" s="28"/>
      <c r="T522" s="28"/>
      <c r="U522" s="28"/>
      <c r="V522" s="28"/>
      <c r="W522" s="28"/>
      <c r="X522" s="28"/>
      <c r="Y522" s="28"/>
      <c r="Z522" s="28"/>
    </row>
    <row r="523" spans="1:26" ht="13.5" customHeight="1">
      <c r="A523" s="28"/>
      <c r="B523" s="29"/>
      <c r="C523" s="29"/>
      <c r="D523" s="29"/>
      <c r="E523" s="30"/>
      <c r="F523" s="28"/>
      <c r="G523" s="28"/>
      <c r="H523" s="28"/>
      <c r="I523" s="28"/>
      <c r="J523" s="28"/>
      <c r="K523" s="28"/>
      <c r="L523" s="28"/>
      <c r="M523" s="28"/>
      <c r="N523" s="28"/>
      <c r="O523" s="28"/>
      <c r="P523" s="28"/>
      <c r="Q523" s="28"/>
      <c r="R523" s="28"/>
      <c r="S523" s="28"/>
      <c r="T523" s="28"/>
      <c r="U523" s="28"/>
      <c r="V523" s="28"/>
      <c r="W523" s="28"/>
      <c r="X523" s="28"/>
      <c r="Y523" s="28"/>
      <c r="Z523" s="28"/>
    </row>
    <row r="524" spans="1:26" ht="13.5" customHeight="1">
      <c r="A524" s="28"/>
      <c r="B524" s="29"/>
      <c r="C524" s="29"/>
      <c r="D524" s="29"/>
      <c r="E524" s="30"/>
      <c r="F524" s="28"/>
      <c r="G524" s="28"/>
      <c r="H524" s="28"/>
      <c r="I524" s="28"/>
      <c r="J524" s="28"/>
      <c r="K524" s="28"/>
      <c r="L524" s="28"/>
      <c r="M524" s="28"/>
      <c r="N524" s="28"/>
      <c r="O524" s="28"/>
      <c r="P524" s="28"/>
      <c r="Q524" s="28"/>
      <c r="R524" s="28"/>
      <c r="S524" s="28"/>
      <c r="T524" s="28"/>
      <c r="U524" s="28"/>
      <c r="V524" s="28"/>
      <c r="W524" s="28"/>
      <c r="X524" s="28"/>
      <c r="Y524" s="28"/>
      <c r="Z524" s="28"/>
    </row>
    <row r="525" spans="1:26" ht="13.5" customHeight="1">
      <c r="A525" s="28"/>
      <c r="B525" s="29"/>
      <c r="C525" s="29"/>
      <c r="D525" s="29"/>
      <c r="E525" s="30"/>
      <c r="F525" s="28"/>
      <c r="G525" s="28"/>
      <c r="H525" s="28"/>
      <c r="I525" s="28"/>
      <c r="J525" s="28"/>
      <c r="K525" s="28"/>
      <c r="L525" s="28"/>
      <c r="M525" s="28"/>
      <c r="N525" s="28"/>
      <c r="O525" s="28"/>
      <c r="P525" s="28"/>
      <c r="Q525" s="28"/>
      <c r="R525" s="28"/>
      <c r="S525" s="28"/>
      <c r="T525" s="28"/>
      <c r="U525" s="28"/>
      <c r="V525" s="28"/>
      <c r="W525" s="28"/>
      <c r="X525" s="28"/>
      <c r="Y525" s="28"/>
      <c r="Z525" s="28"/>
    </row>
    <row r="526" spans="1:26" ht="13.5" customHeight="1">
      <c r="A526" s="28"/>
      <c r="B526" s="29"/>
      <c r="C526" s="29"/>
      <c r="D526" s="29"/>
      <c r="E526" s="30"/>
      <c r="F526" s="28"/>
      <c r="G526" s="28"/>
      <c r="H526" s="28"/>
      <c r="I526" s="28"/>
      <c r="J526" s="28"/>
      <c r="K526" s="28"/>
      <c r="L526" s="28"/>
      <c r="M526" s="28"/>
      <c r="N526" s="28"/>
      <c r="O526" s="28"/>
      <c r="P526" s="28"/>
      <c r="Q526" s="28"/>
      <c r="R526" s="28"/>
      <c r="S526" s="28"/>
      <c r="T526" s="28"/>
      <c r="U526" s="28"/>
      <c r="V526" s="28"/>
      <c r="W526" s="28"/>
      <c r="X526" s="28"/>
      <c r="Y526" s="28"/>
      <c r="Z526" s="28"/>
    </row>
    <row r="527" spans="1:26" ht="13.5" customHeight="1">
      <c r="A527" s="28"/>
      <c r="B527" s="29"/>
      <c r="C527" s="29"/>
      <c r="D527" s="29"/>
      <c r="E527" s="30"/>
      <c r="F527" s="28"/>
      <c r="G527" s="28"/>
      <c r="H527" s="28"/>
      <c r="I527" s="28"/>
      <c r="J527" s="28"/>
      <c r="K527" s="28"/>
      <c r="L527" s="28"/>
      <c r="M527" s="28"/>
      <c r="N527" s="28"/>
      <c r="O527" s="28"/>
      <c r="P527" s="28"/>
      <c r="Q527" s="28"/>
      <c r="R527" s="28"/>
      <c r="S527" s="28"/>
      <c r="T527" s="28"/>
      <c r="U527" s="28"/>
      <c r="V527" s="28"/>
      <c r="W527" s="28"/>
      <c r="X527" s="28"/>
      <c r="Y527" s="28"/>
      <c r="Z527" s="28"/>
    </row>
    <row r="528" spans="1:26" ht="13.5" customHeight="1">
      <c r="A528" s="28"/>
      <c r="B528" s="29"/>
      <c r="C528" s="29"/>
      <c r="D528" s="29"/>
      <c r="E528" s="30"/>
      <c r="F528" s="28"/>
      <c r="G528" s="28"/>
      <c r="H528" s="28"/>
      <c r="I528" s="28"/>
      <c r="J528" s="28"/>
      <c r="K528" s="28"/>
      <c r="L528" s="28"/>
      <c r="M528" s="28"/>
      <c r="N528" s="28"/>
      <c r="O528" s="28"/>
      <c r="P528" s="28"/>
      <c r="Q528" s="28"/>
      <c r="R528" s="28"/>
      <c r="S528" s="28"/>
      <c r="T528" s="28"/>
      <c r="U528" s="28"/>
      <c r="V528" s="28"/>
      <c r="W528" s="28"/>
      <c r="X528" s="28"/>
      <c r="Y528" s="28"/>
      <c r="Z528" s="28"/>
    </row>
    <row r="529" spans="1:26" ht="13.5" customHeight="1">
      <c r="A529" s="28"/>
      <c r="B529" s="29"/>
      <c r="C529" s="29"/>
      <c r="D529" s="29"/>
      <c r="E529" s="30"/>
      <c r="F529" s="28"/>
      <c r="G529" s="28"/>
      <c r="H529" s="28"/>
      <c r="I529" s="28"/>
      <c r="J529" s="28"/>
      <c r="K529" s="28"/>
      <c r="L529" s="28"/>
      <c r="M529" s="28"/>
      <c r="N529" s="28"/>
      <c r="O529" s="28"/>
      <c r="P529" s="28"/>
      <c r="Q529" s="28"/>
      <c r="R529" s="28"/>
      <c r="S529" s="28"/>
      <c r="T529" s="28"/>
      <c r="U529" s="28"/>
      <c r="V529" s="28"/>
      <c r="W529" s="28"/>
      <c r="X529" s="28"/>
      <c r="Y529" s="28"/>
      <c r="Z529" s="28"/>
    </row>
    <row r="530" spans="1:26" ht="13.5" customHeight="1">
      <c r="A530" s="28"/>
      <c r="B530" s="29"/>
      <c r="C530" s="29"/>
      <c r="D530" s="29"/>
      <c r="E530" s="30"/>
      <c r="F530" s="28"/>
      <c r="G530" s="28"/>
      <c r="H530" s="28"/>
      <c r="I530" s="28"/>
      <c r="J530" s="28"/>
      <c r="K530" s="28"/>
      <c r="L530" s="28"/>
      <c r="M530" s="28"/>
      <c r="N530" s="28"/>
      <c r="O530" s="28"/>
      <c r="P530" s="28"/>
      <c r="Q530" s="28"/>
      <c r="R530" s="28"/>
      <c r="S530" s="28"/>
      <c r="T530" s="28"/>
      <c r="U530" s="28"/>
      <c r="V530" s="28"/>
      <c r="W530" s="28"/>
      <c r="X530" s="28"/>
      <c r="Y530" s="28"/>
      <c r="Z530" s="28"/>
    </row>
    <row r="531" spans="1:26" ht="13.5" customHeight="1">
      <c r="A531" s="28"/>
      <c r="B531" s="29"/>
      <c r="C531" s="29"/>
      <c r="D531" s="29"/>
      <c r="E531" s="30"/>
      <c r="F531" s="28"/>
      <c r="G531" s="28"/>
      <c r="H531" s="28"/>
      <c r="I531" s="28"/>
      <c r="J531" s="28"/>
      <c r="K531" s="28"/>
      <c r="L531" s="28"/>
      <c r="M531" s="28"/>
      <c r="N531" s="28"/>
      <c r="O531" s="28"/>
      <c r="P531" s="28"/>
      <c r="Q531" s="28"/>
      <c r="R531" s="28"/>
      <c r="S531" s="28"/>
      <c r="T531" s="28"/>
      <c r="U531" s="28"/>
      <c r="V531" s="28"/>
      <c r="W531" s="28"/>
      <c r="X531" s="28"/>
      <c r="Y531" s="28"/>
      <c r="Z531" s="28"/>
    </row>
    <row r="532" spans="1:26" ht="13.5" customHeight="1">
      <c r="A532" s="28"/>
      <c r="B532" s="29"/>
      <c r="C532" s="29"/>
      <c r="D532" s="29"/>
      <c r="E532" s="30"/>
      <c r="F532" s="28"/>
      <c r="G532" s="28"/>
      <c r="H532" s="28"/>
      <c r="I532" s="28"/>
      <c r="J532" s="28"/>
      <c r="K532" s="28"/>
      <c r="L532" s="28"/>
      <c r="M532" s="28"/>
      <c r="N532" s="28"/>
      <c r="O532" s="28"/>
      <c r="P532" s="28"/>
      <c r="Q532" s="28"/>
      <c r="R532" s="28"/>
      <c r="S532" s="28"/>
      <c r="T532" s="28"/>
      <c r="U532" s="28"/>
      <c r="V532" s="28"/>
      <c r="W532" s="28"/>
      <c r="X532" s="28"/>
      <c r="Y532" s="28"/>
      <c r="Z532" s="28"/>
    </row>
    <row r="533" spans="1:26" ht="13.5" customHeight="1">
      <c r="A533" s="28"/>
      <c r="B533" s="29"/>
      <c r="C533" s="29"/>
      <c r="D533" s="29"/>
      <c r="E533" s="30"/>
      <c r="F533" s="28"/>
      <c r="G533" s="28"/>
      <c r="H533" s="28"/>
      <c r="I533" s="28"/>
      <c r="J533" s="28"/>
      <c r="K533" s="28"/>
      <c r="L533" s="28"/>
      <c r="M533" s="28"/>
      <c r="N533" s="28"/>
      <c r="O533" s="28"/>
      <c r="P533" s="28"/>
      <c r="Q533" s="28"/>
      <c r="R533" s="28"/>
      <c r="S533" s="28"/>
      <c r="T533" s="28"/>
      <c r="U533" s="28"/>
      <c r="V533" s="28"/>
      <c r="W533" s="28"/>
      <c r="X533" s="28"/>
      <c r="Y533" s="28"/>
      <c r="Z533" s="28"/>
    </row>
    <row r="534" spans="1:26" ht="13.5" customHeight="1">
      <c r="A534" s="28"/>
      <c r="B534" s="29"/>
      <c r="C534" s="29"/>
      <c r="D534" s="29"/>
      <c r="E534" s="30"/>
      <c r="F534" s="28"/>
      <c r="G534" s="28"/>
      <c r="H534" s="28"/>
      <c r="I534" s="28"/>
      <c r="J534" s="28"/>
      <c r="K534" s="28"/>
      <c r="L534" s="28"/>
      <c r="M534" s="28"/>
      <c r="N534" s="28"/>
      <c r="O534" s="28"/>
      <c r="P534" s="28"/>
      <c r="Q534" s="28"/>
      <c r="R534" s="28"/>
      <c r="S534" s="28"/>
      <c r="T534" s="28"/>
      <c r="U534" s="28"/>
      <c r="V534" s="28"/>
      <c r="W534" s="28"/>
      <c r="X534" s="28"/>
      <c r="Y534" s="28"/>
      <c r="Z534" s="28"/>
    </row>
    <row r="535" spans="1:26" ht="13.5" customHeight="1">
      <c r="A535" s="28"/>
      <c r="B535" s="29"/>
      <c r="C535" s="29"/>
      <c r="D535" s="29"/>
      <c r="E535" s="30"/>
      <c r="F535" s="28"/>
      <c r="G535" s="28"/>
      <c r="H535" s="28"/>
      <c r="I535" s="28"/>
      <c r="J535" s="28"/>
      <c r="K535" s="28"/>
      <c r="L535" s="28"/>
      <c r="M535" s="28"/>
      <c r="N535" s="28"/>
      <c r="O535" s="28"/>
      <c r="P535" s="28"/>
      <c r="Q535" s="28"/>
      <c r="R535" s="28"/>
      <c r="S535" s="28"/>
      <c r="T535" s="28"/>
      <c r="U535" s="28"/>
      <c r="V535" s="28"/>
      <c r="W535" s="28"/>
      <c r="X535" s="28"/>
      <c r="Y535" s="28"/>
      <c r="Z535" s="28"/>
    </row>
    <row r="536" spans="1:26" ht="13.5" customHeight="1">
      <c r="A536" s="28"/>
      <c r="B536" s="29"/>
      <c r="C536" s="29"/>
      <c r="D536" s="29"/>
      <c r="E536" s="30"/>
      <c r="F536" s="28"/>
      <c r="G536" s="28"/>
      <c r="H536" s="28"/>
      <c r="I536" s="28"/>
      <c r="J536" s="28"/>
      <c r="K536" s="28"/>
      <c r="L536" s="28"/>
      <c r="M536" s="28"/>
      <c r="N536" s="28"/>
      <c r="O536" s="28"/>
      <c r="P536" s="28"/>
      <c r="Q536" s="28"/>
      <c r="R536" s="28"/>
      <c r="S536" s="28"/>
      <c r="T536" s="28"/>
      <c r="U536" s="28"/>
      <c r="V536" s="28"/>
      <c r="W536" s="28"/>
      <c r="X536" s="28"/>
      <c r="Y536" s="28"/>
      <c r="Z536" s="28"/>
    </row>
    <row r="537" spans="1:26" ht="13.5" customHeight="1">
      <c r="A537" s="28"/>
      <c r="B537" s="29"/>
      <c r="C537" s="29"/>
      <c r="D537" s="29"/>
      <c r="E537" s="30"/>
      <c r="F537" s="28"/>
      <c r="G537" s="28"/>
      <c r="H537" s="28"/>
      <c r="I537" s="28"/>
      <c r="J537" s="28"/>
      <c r="K537" s="28"/>
      <c r="L537" s="28"/>
      <c r="M537" s="28"/>
      <c r="N537" s="28"/>
      <c r="O537" s="28"/>
      <c r="P537" s="28"/>
      <c r="Q537" s="28"/>
      <c r="R537" s="28"/>
      <c r="S537" s="28"/>
      <c r="T537" s="28"/>
      <c r="U537" s="28"/>
      <c r="V537" s="28"/>
      <c r="W537" s="28"/>
      <c r="X537" s="28"/>
      <c r="Y537" s="28"/>
      <c r="Z537" s="28"/>
    </row>
    <row r="538" spans="1:26" ht="13.5" customHeight="1">
      <c r="A538" s="28"/>
      <c r="B538" s="29"/>
      <c r="C538" s="29"/>
      <c r="D538" s="29"/>
      <c r="E538" s="30"/>
      <c r="F538" s="28"/>
      <c r="G538" s="28"/>
      <c r="H538" s="28"/>
      <c r="I538" s="28"/>
      <c r="J538" s="28"/>
      <c r="K538" s="28"/>
      <c r="L538" s="28"/>
      <c r="M538" s="28"/>
      <c r="N538" s="28"/>
      <c r="O538" s="28"/>
      <c r="P538" s="28"/>
      <c r="Q538" s="28"/>
      <c r="R538" s="28"/>
      <c r="S538" s="28"/>
      <c r="T538" s="28"/>
      <c r="U538" s="28"/>
      <c r="V538" s="28"/>
      <c r="W538" s="28"/>
      <c r="X538" s="28"/>
      <c r="Y538" s="28"/>
      <c r="Z538" s="28"/>
    </row>
    <row r="539" spans="1:26" ht="13.5" customHeight="1">
      <c r="A539" s="28"/>
      <c r="B539" s="29"/>
      <c r="C539" s="29"/>
      <c r="D539" s="29"/>
      <c r="E539" s="30"/>
      <c r="F539" s="28"/>
      <c r="G539" s="28"/>
      <c r="H539" s="28"/>
      <c r="I539" s="28"/>
      <c r="J539" s="28"/>
      <c r="K539" s="28"/>
      <c r="L539" s="28"/>
      <c r="M539" s="28"/>
      <c r="N539" s="28"/>
      <c r="O539" s="28"/>
      <c r="P539" s="28"/>
      <c r="Q539" s="28"/>
      <c r="R539" s="28"/>
      <c r="S539" s="28"/>
      <c r="T539" s="28"/>
      <c r="U539" s="28"/>
      <c r="V539" s="28"/>
      <c r="W539" s="28"/>
      <c r="X539" s="28"/>
      <c r="Y539" s="28"/>
      <c r="Z539" s="28"/>
    </row>
    <row r="540" spans="1:26" ht="13.5" customHeight="1">
      <c r="A540" s="28"/>
      <c r="B540" s="29"/>
      <c r="C540" s="29"/>
      <c r="D540" s="29"/>
      <c r="E540" s="30"/>
      <c r="F540" s="28"/>
      <c r="G540" s="28"/>
      <c r="H540" s="28"/>
      <c r="I540" s="28"/>
      <c r="J540" s="28"/>
      <c r="K540" s="28"/>
      <c r="L540" s="28"/>
      <c r="M540" s="28"/>
      <c r="N540" s="28"/>
      <c r="O540" s="28"/>
      <c r="P540" s="28"/>
      <c r="Q540" s="28"/>
      <c r="R540" s="28"/>
      <c r="S540" s="28"/>
      <c r="T540" s="28"/>
      <c r="U540" s="28"/>
      <c r="V540" s="28"/>
      <c r="W540" s="28"/>
      <c r="X540" s="28"/>
      <c r="Y540" s="28"/>
      <c r="Z540" s="28"/>
    </row>
    <row r="541" spans="1:26" ht="13.5" customHeight="1">
      <c r="A541" s="28"/>
      <c r="B541" s="29"/>
      <c r="C541" s="29"/>
      <c r="D541" s="29"/>
      <c r="E541" s="30"/>
      <c r="F541" s="28"/>
      <c r="G541" s="28"/>
      <c r="H541" s="28"/>
      <c r="I541" s="28"/>
      <c r="J541" s="28"/>
      <c r="K541" s="28"/>
      <c r="L541" s="28"/>
      <c r="M541" s="28"/>
      <c r="N541" s="28"/>
      <c r="O541" s="28"/>
      <c r="P541" s="28"/>
      <c r="Q541" s="28"/>
      <c r="R541" s="28"/>
      <c r="S541" s="28"/>
      <c r="T541" s="28"/>
      <c r="U541" s="28"/>
      <c r="V541" s="28"/>
      <c r="W541" s="28"/>
      <c r="X541" s="28"/>
      <c r="Y541" s="28"/>
      <c r="Z541" s="28"/>
    </row>
    <row r="542" spans="1:26" ht="13.5" customHeight="1">
      <c r="A542" s="28"/>
      <c r="B542" s="29"/>
      <c r="C542" s="29"/>
      <c r="D542" s="29"/>
      <c r="E542" s="30"/>
      <c r="F542" s="28"/>
      <c r="G542" s="28"/>
      <c r="H542" s="28"/>
      <c r="I542" s="28"/>
      <c r="J542" s="28"/>
      <c r="K542" s="28"/>
      <c r="L542" s="28"/>
      <c r="M542" s="28"/>
      <c r="N542" s="28"/>
      <c r="O542" s="28"/>
      <c r="P542" s="28"/>
      <c r="Q542" s="28"/>
      <c r="R542" s="28"/>
      <c r="S542" s="28"/>
      <c r="T542" s="28"/>
      <c r="U542" s="28"/>
      <c r="V542" s="28"/>
      <c r="W542" s="28"/>
      <c r="X542" s="28"/>
      <c r="Y542" s="28"/>
      <c r="Z542" s="28"/>
    </row>
    <row r="543" spans="1:26" ht="13.5" customHeight="1">
      <c r="A543" s="28"/>
      <c r="B543" s="29"/>
      <c r="C543" s="29"/>
      <c r="D543" s="29"/>
      <c r="E543" s="30"/>
      <c r="F543" s="28"/>
      <c r="G543" s="28"/>
      <c r="H543" s="28"/>
      <c r="I543" s="28"/>
      <c r="J543" s="28"/>
      <c r="K543" s="28"/>
      <c r="L543" s="28"/>
      <c r="M543" s="28"/>
      <c r="N543" s="28"/>
      <c r="O543" s="28"/>
      <c r="P543" s="28"/>
      <c r="Q543" s="28"/>
      <c r="R543" s="28"/>
      <c r="S543" s="28"/>
      <c r="T543" s="28"/>
      <c r="U543" s="28"/>
      <c r="V543" s="28"/>
      <c r="W543" s="28"/>
      <c r="X543" s="28"/>
      <c r="Y543" s="28"/>
      <c r="Z543" s="28"/>
    </row>
    <row r="544" spans="1:26" ht="13.5" customHeight="1">
      <c r="A544" s="28"/>
      <c r="B544" s="29"/>
      <c r="C544" s="29"/>
      <c r="D544" s="29"/>
      <c r="E544" s="30"/>
      <c r="F544" s="28"/>
      <c r="G544" s="28"/>
      <c r="H544" s="28"/>
      <c r="I544" s="28"/>
      <c r="J544" s="28"/>
      <c r="K544" s="28"/>
      <c r="L544" s="28"/>
      <c r="M544" s="28"/>
      <c r="N544" s="28"/>
      <c r="O544" s="28"/>
      <c r="P544" s="28"/>
      <c r="Q544" s="28"/>
      <c r="R544" s="28"/>
      <c r="S544" s="28"/>
      <c r="T544" s="28"/>
      <c r="U544" s="28"/>
      <c r="V544" s="28"/>
      <c r="W544" s="28"/>
      <c r="X544" s="28"/>
      <c r="Y544" s="28"/>
      <c r="Z544" s="28"/>
    </row>
    <row r="545" spans="1:26" ht="13.5" customHeight="1">
      <c r="A545" s="28"/>
      <c r="B545" s="29"/>
      <c r="C545" s="29"/>
      <c r="D545" s="29"/>
      <c r="E545" s="30"/>
      <c r="F545" s="28"/>
      <c r="G545" s="28"/>
      <c r="H545" s="28"/>
      <c r="I545" s="28"/>
      <c r="J545" s="28"/>
      <c r="K545" s="28"/>
      <c r="L545" s="28"/>
      <c r="M545" s="28"/>
      <c r="N545" s="28"/>
      <c r="O545" s="28"/>
      <c r="P545" s="28"/>
      <c r="Q545" s="28"/>
      <c r="R545" s="28"/>
      <c r="S545" s="28"/>
      <c r="T545" s="28"/>
      <c r="U545" s="28"/>
      <c r="V545" s="28"/>
      <c r="W545" s="28"/>
      <c r="X545" s="28"/>
      <c r="Y545" s="28"/>
      <c r="Z545" s="28"/>
    </row>
    <row r="546" spans="1:26" ht="13.5" customHeight="1">
      <c r="A546" s="28"/>
      <c r="B546" s="29"/>
      <c r="C546" s="29"/>
      <c r="D546" s="29"/>
      <c r="E546" s="30"/>
      <c r="F546" s="28"/>
      <c r="G546" s="28"/>
      <c r="H546" s="28"/>
      <c r="I546" s="28"/>
      <c r="J546" s="28"/>
      <c r="K546" s="28"/>
      <c r="L546" s="28"/>
      <c r="M546" s="28"/>
      <c r="N546" s="28"/>
      <c r="O546" s="28"/>
      <c r="P546" s="28"/>
      <c r="Q546" s="28"/>
      <c r="R546" s="28"/>
      <c r="S546" s="28"/>
      <c r="T546" s="28"/>
      <c r="U546" s="28"/>
      <c r="V546" s="28"/>
      <c r="W546" s="28"/>
      <c r="X546" s="28"/>
      <c r="Y546" s="28"/>
      <c r="Z546" s="28"/>
    </row>
    <row r="547" spans="1:26" ht="13.5" customHeight="1">
      <c r="A547" s="28"/>
      <c r="B547" s="29"/>
      <c r="C547" s="29"/>
      <c r="D547" s="29"/>
      <c r="E547" s="30"/>
      <c r="F547" s="28"/>
      <c r="G547" s="28"/>
      <c r="H547" s="28"/>
      <c r="I547" s="28"/>
      <c r="J547" s="28"/>
      <c r="K547" s="28"/>
      <c r="L547" s="28"/>
      <c r="M547" s="28"/>
      <c r="N547" s="28"/>
      <c r="O547" s="28"/>
      <c r="P547" s="28"/>
      <c r="Q547" s="28"/>
      <c r="R547" s="28"/>
      <c r="S547" s="28"/>
      <c r="T547" s="28"/>
      <c r="U547" s="28"/>
      <c r="V547" s="28"/>
      <c r="W547" s="28"/>
      <c r="X547" s="28"/>
      <c r="Y547" s="28"/>
      <c r="Z547" s="28"/>
    </row>
    <row r="548" spans="1:26" ht="13.5" customHeight="1">
      <c r="A548" s="28"/>
      <c r="B548" s="29"/>
      <c r="C548" s="29"/>
      <c r="D548" s="29"/>
      <c r="E548" s="30"/>
      <c r="F548" s="28"/>
      <c r="G548" s="28"/>
      <c r="H548" s="28"/>
      <c r="I548" s="28"/>
      <c r="J548" s="28"/>
      <c r="K548" s="28"/>
      <c r="L548" s="28"/>
      <c r="M548" s="28"/>
      <c r="N548" s="28"/>
      <c r="O548" s="28"/>
      <c r="P548" s="28"/>
      <c r="Q548" s="28"/>
      <c r="R548" s="28"/>
      <c r="S548" s="28"/>
      <c r="T548" s="28"/>
      <c r="U548" s="28"/>
      <c r="V548" s="28"/>
      <c r="W548" s="28"/>
      <c r="X548" s="28"/>
      <c r="Y548" s="28"/>
      <c r="Z548" s="28"/>
    </row>
    <row r="549" spans="1:26" ht="13.5" customHeight="1">
      <c r="A549" s="28"/>
      <c r="B549" s="29"/>
      <c r="C549" s="29"/>
      <c r="D549" s="29"/>
      <c r="E549" s="30"/>
      <c r="F549" s="28"/>
      <c r="G549" s="28"/>
      <c r="H549" s="28"/>
      <c r="I549" s="28"/>
      <c r="J549" s="28"/>
      <c r="K549" s="28"/>
      <c r="L549" s="28"/>
      <c r="M549" s="28"/>
      <c r="N549" s="28"/>
      <c r="O549" s="28"/>
      <c r="P549" s="28"/>
      <c r="Q549" s="28"/>
      <c r="R549" s="28"/>
      <c r="S549" s="28"/>
      <c r="T549" s="28"/>
      <c r="U549" s="28"/>
      <c r="V549" s="28"/>
      <c r="W549" s="28"/>
      <c r="X549" s="28"/>
      <c r="Y549" s="28"/>
      <c r="Z549" s="28"/>
    </row>
    <row r="550" spans="1:26" ht="13.5" customHeight="1">
      <c r="A550" s="28"/>
      <c r="B550" s="29"/>
      <c r="C550" s="29"/>
      <c r="D550" s="29"/>
      <c r="E550" s="30"/>
      <c r="F550" s="28"/>
      <c r="G550" s="28"/>
      <c r="H550" s="28"/>
      <c r="I550" s="28"/>
      <c r="J550" s="28"/>
      <c r="K550" s="28"/>
      <c r="L550" s="28"/>
      <c r="M550" s="28"/>
      <c r="N550" s="28"/>
      <c r="O550" s="28"/>
      <c r="P550" s="28"/>
      <c r="Q550" s="28"/>
      <c r="R550" s="28"/>
      <c r="S550" s="28"/>
      <c r="T550" s="28"/>
      <c r="U550" s="28"/>
      <c r="V550" s="28"/>
      <c r="W550" s="28"/>
      <c r="X550" s="28"/>
      <c r="Y550" s="28"/>
      <c r="Z550" s="28"/>
    </row>
    <row r="551" spans="1:26" ht="13.5" customHeight="1">
      <c r="A551" s="28"/>
      <c r="B551" s="29"/>
      <c r="C551" s="29"/>
      <c r="D551" s="29"/>
      <c r="E551" s="30"/>
      <c r="F551" s="28"/>
      <c r="G551" s="28"/>
      <c r="H551" s="28"/>
      <c r="I551" s="28"/>
      <c r="J551" s="28"/>
      <c r="K551" s="28"/>
      <c r="L551" s="28"/>
      <c r="M551" s="28"/>
      <c r="N551" s="28"/>
      <c r="O551" s="28"/>
      <c r="P551" s="28"/>
      <c r="Q551" s="28"/>
      <c r="R551" s="28"/>
      <c r="S551" s="28"/>
      <c r="T551" s="28"/>
      <c r="U551" s="28"/>
      <c r="V551" s="28"/>
      <c r="W551" s="28"/>
      <c r="X551" s="28"/>
      <c r="Y551" s="28"/>
      <c r="Z551" s="28"/>
    </row>
    <row r="552" spans="1:26" ht="13.5" customHeight="1">
      <c r="A552" s="28"/>
      <c r="B552" s="29"/>
      <c r="C552" s="29"/>
      <c r="D552" s="29"/>
      <c r="E552" s="30"/>
      <c r="F552" s="28"/>
      <c r="G552" s="28"/>
      <c r="H552" s="28"/>
      <c r="I552" s="28"/>
      <c r="J552" s="28"/>
      <c r="K552" s="28"/>
      <c r="L552" s="28"/>
      <c r="M552" s="28"/>
      <c r="N552" s="28"/>
      <c r="O552" s="28"/>
      <c r="P552" s="28"/>
      <c r="Q552" s="28"/>
      <c r="R552" s="28"/>
      <c r="S552" s="28"/>
      <c r="T552" s="28"/>
      <c r="U552" s="28"/>
      <c r="V552" s="28"/>
      <c r="W552" s="28"/>
      <c r="X552" s="28"/>
      <c r="Y552" s="28"/>
      <c r="Z552" s="28"/>
    </row>
    <row r="553" spans="1:26" ht="13.5" customHeight="1">
      <c r="A553" s="28"/>
      <c r="B553" s="29"/>
      <c r="C553" s="29"/>
      <c r="D553" s="29"/>
      <c r="E553" s="30"/>
      <c r="F553" s="28"/>
      <c r="G553" s="28"/>
      <c r="H553" s="28"/>
      <c r="I553" s="28"/>
      <c r="J553" s="28"/>
      <c r="K553" s="28"/>
      <c r="L553" s="28"/>
      <c r="M553" s="28"/>
      <c r="N553" s="28"/>
      <c r="O553" s="28"/>
      <c r="P553" s="28"/>
      <c r="Q553" s="28"/>
      <c r="R553" s="28"/>
      <c r="S553" s="28"/>
      <c r="T553" s="28"/>
      <c r="U553" s="28"/>
      <c r="V553" s="28"/>
      <c r="W553" s="28"/>
      <c r="X553" s="28"/>
      <c r="Y553" s="28"/>
      <c r="Z553" s="28"/>
    </row>
    <row r="554" spans="1:26" ht="13.5" customHeight="1">
      <c r="A554" s="28"/>
      <c r="B554" s="29"/>
      <c r="C554" s="29"/>
      <c r="D554" s="29"/>
      <c r="E554" s="30"/>
      <c r="F554" s="28"/>
      <c r="G554" s="28"/>
      <c r="H554" s="28"/>
      <c r="I554" s="28"/>
      <c r="J554" s="28"/>
      <c r="K554" s="28"/>
      <c r="L554" s="28"/>
      <c r="M554" s="28"/>
      <c r="N554" s="28"/>
      <c r="O554" s="28"/>
      <c r="P554" s="28"/>
      <c r="Q554" s="28"/>
      <c r="R554" s="28"/>
      <c r="S554" s="28"/>
      <c r="T554" s="28"/>
      <c r="U554" s="28"/>
      <c r="V554" s="28"/>
      <c r="W554" s="28"/>
      <c r="X554" s="28"/>
      <c r="Y554" s="28"/>
      <c r="Z554" s="28"/>
    </row>
    <row r="555" spans="1:26" ht="13.5" customHeight="1">
      <c r="A555" s="28"/>
      <c r="B555" s="29"/>
      <c r="C555" s="29"/>
      <c r="D555" s="29"/>
      <c r="E555" s="30"/>
      <c r="F555" s="28"/>
      <c r="G555" s="28"/>
      <c r="H555" s="28"/>
      <c r="I555" s="28"/>
      <c r="J555" s="28"/>
      <c r="K555" s="28"/>
      <c r="L555" s="28"/>
      <c r="M555" s="28"/>
      <c r="N555" s="28"/>
      <c r="O555" s="28"/>
      <c r="P555" s="28"/>
      <c r="Q555" s="28"/>
      <c r="R555" s="28"/>
      <c r="S555" s="28"/>
      <c r="T555" s="28"/>
      <c r="U555" s="28"/>
      <c r="V555" s="28"/>
      <c r="W555" s="28"/>
      <c r="X555" s="28"/>
      <c r="Y555" s="28"/>
      <c r="Z555" s="28"/>
    </row>
    <row r="556" spans="1:26" ht="13.5" customHeight="1">
      <c r="A556" s="28"/>
      <c r="B556" s="29"/>
      <c r="C556" s="29"/>
      <c r="D556" s="29"/>
      <c r="E556" s="30"/>
      <c r="F556" s="28"/>
      <c r="G556" s="28"/>
      <c r="H556" s="28"/>
      <c r="I556" s="28"/>
      <c r="J556" s="28"/>
      <c r="K556" s="28"/>
      <c r="L556" s="28"/>
      <c r="M556" s="28"/>
      <c r="N556" s="28"/>
      <c r="O556" s="28"/>
      <c r="P556" s="28"/>
      <c r="Q556" s="28"/>
      <c r="R556" s="28"/>
      <c r="S556" s="28"/>
      <c r="T556" s="28"/>
      <c r="U556" s="28"/>
      <c r="V556" s="28"/>
      <c r="W556" s="28"/>
      <c r="X556" s="28"/>
      <c r="Y556" s="28"/>
      <c r="Z556" s="28"/>
    </row>
    <row r="557" spans="1:26" ht="13.5" customHeight="1">
      <c r="A557" s="28"/>
      <c r="B557" s="29"/>
      <c r="C557" s="29"/>
      <c r="D557" s="29"/>
      <c r="E557" s="30"/>
      <c r="F557" s="28"/>
      <c r="G557" s="28"/>
      <c r="H557" s="28"/>
      <c r="I557" s="28"/>
      <c r="J557" s="28"/>
      <c r="K557" s="28"/>
      <c r="L557" s="28"/>
      <c r="M557" s="28"/>
      <c r="N557" s="28"/>
      <c r="O557" s="28"/>
      <c r="P557" s="28"/>
      <c r="Q557" s="28"/>
      <c r="R557" s="28"/>
      <c r="S557" s="28"/>
      <c r="T557" s="28"/>
      <c r="U557" s="28"/>
      <c r="V557" s="28"/>
      <c r="W557" s="28"/>
      <c r="X557" s="28"/>
      <c r="Y557" s="28"/>
      <c r="Z557" s="28"/>
    </row>
    <row r="558" spans="1:26" ht="13.5" customHeight="1">
      <c r="A558" s="28"/>
      <c r="B558" s="29"/>
      <c r="C558" s="29"/>
      <c r="D558" s="29"/>
      <c r="E558" s="30"/>
      <c r="F558" s="28"/>
      <c r="G558" s="28"/>
      <c r="H558" s="28"/>
      <c r="I558" s="28"/>
      <c r="J558" s="28"/>
      <c r="K558" s="28"/>
      <c r="L558" s="28"/>
      <c r="M558" s="28"/>
      <c r="N558" s="28"/>
      <c r="O558" s="28"/>
      <c r="P558" s="28"/>
      <c r="Q558" s="28"/>
      <c r="R558" s="28"/>
      <c r="S558" s="28"/>
      <c r="T558" s="28"/>
      <c r="U558" s="28"/>
      <c r="V558" s="28"/>
      <c r="W558" s="28"/>
      <c r="X558" s="28"/>
      <c r="Y558" s="28"/>
      <c r="Z558" s="28"/>
    </row>
    <row r="559" spans="1:26" ht="13.5" customHeight="1">
      <c r="A559" s="28"/>
      <c r="B559" s="29"/>
      <c r="C559" s="29"/>
      <c r="D559" s="29"/>
      <c r="E559" s="30"/>
      <c r="F559" s="28"/>
      <c r="G559" s="28"/>
      <c r="H559" s="28"/>
      <c r="I559" s="28"/>
      <c r="J559" s="28"/>
      <c r="K559" s="28"/>
      <c r="L559" s="28"/>
      <c r="M559" s="28"/>
      <c r="N559" s="28"/>
      <c r="O559" s="28"/>
      <c r="P559" s="28"/>
      <c r="Q559" s="28"/>
      <c r="R559" s="28"/>
      <c r="S559" s="28"/>
      <c r="T559" s="28"/>
      <c r="U559" s="28"/>
      <c r="V559" s="28"/>
      <c r="W559" s="28"/>
      <c r="X559" s="28"/>
      <c r="Y559" s="28"/>
      <c r="Z559" s="28"/>
    </row>
    <row r="560" spans="1:26" ht="13.5" customHeight="1">
      <c r="A560" s="28"/>
      <c r="B560" s="29"/>
      <c r="C560" s="29"/>
      <c r="D560" s="29"/>
      <c r="E560" s="30"/>
      <c r="F560" s="28"/>
      <c r="G560" s="28"/>
      <c r="H560" s="28"/>
      <c r="I560" s="28"/>
      <c r="J560" s="28"/>
      <c r="K560" s="28"/>
      <c r="L560" s="28"/>
      <c r="M560" s="28"/>
      <c r="N560" s="28"/>
      <c r="O560" s="28"/>
      <c r="P560" s="28"/>
      <c r="Q560" s="28"/>
      <c r="R560" s="28"/>
      <c r="S560" s="28"/>
      <c r="T560" s="28"/>
      <c r="U560" s="28"/>
      <c r="V560" s="28"/>
      <c r="W560" s="28"/>
      <c r="X560" s="28"/>
      <c r="Y560" s="28"/>
      <c r="Z560" s="28"/>
    </row>
    <row r="561" spans="1:26" ht="13.5" customHeight="1">
      <c r="A561" s="28"/>
      <c r="B561" s="29"/>
      <c r="C561" s="29"/>
      <c r="D561" s="29"/>
      <c r="E561" s="30"/>
      <c r="F561" s="28"/>
      <c r="G561" s="28"/>
      <c r="H561" s="28"/>
      <c r="I561" s="28"/>
      <c r="J561" s="28"/>
      <c r="K561" s="28"/>
      <c r="L561" s="28"/>
      <c r="M561" s="28"/>
      <c r="N561" s="28"/>
      <c r="O561" s="28"/>
      <c r="P561" s="28"/>
      <c r="Q561" s="28"/>
      <c r="R561" s="28"/>
      <c r="S561" s="28"/>
      <c r="T561" s="28"/>
      <c r="U561" s="28"/>
      <c r="V561" s="28"/>
      <c r="W561" s="28"/>
      <c r="X561" s="28"/>
      <c r="Y561" s="28"/>
      <c r="Z561" s="28"/>
    </row>
    <row r="562" spans="1:26" ht="13.5" customHeight="1">
      <c r="A562" s="28"/>
      <c r="B562" s="29"/>
      <c r="C562" s="29"/>
      <c r="D562" s="29"/>
      <c r="E562" s="30"/>
      <c r="F562" s="28"/>
      <c r="G562" s="28"/>
      <c r="H562" s="28"/>
      <c r="I562" s="28"/>
      <c r="J562" s="28"/>
      <c r="K562" s="28"/>
      <c r="L562" s="28"/>
      <c r="M562" s="28"/>
      <c r="N562" s="28"/>
      <c r="O562" s="28"/>
      <c r="P562" s="28"/>
      <c r="Q562" s="28"/>
      <c r="R562" s="28"/>
      <c r="S562" s="28"/>
      <c r="T562" s="28"/>
      <c r="U562" s="28"/>
      <c r="V562" s="28"/>
      <c r="W562" s="28"/>
      <c r="X562" s="28"/>
      <c r="Y562" s="28"/>
      <c r="Z562" s="28"/>
    </row>
    <row r="563" spans="1:26" ht="13.5" customHeight="1">
      <c r="A563" s="28"/>
      <c r="B563" s="29"/>
      <c r="C563" s="29"/>
      <c r="D563" s="29"/>
      <c r="E563" s="30"/>
      <c r="F563" s="28"/>
      <c r="G563" s="28"/>
      <c r="H563" s="28"/>
      <c r="I563" s="28"/>
      <c r="J563" s="28"/>
      <c r="K563" s="28"/>
      <c r="L563" s="28"/>
      <c r="M563" s="28"/>
      <c r="N563" s="28"/>
      <c r="O563" s="28"/>
      <c r="P563" s="28"/>
      <c r="Q563" s="28"/>
      <c r="R563" s="28"/>
      <c r="S563" s="28"/>
      <c r="T563" s="28"/>
      <c r="U563" s="28"/>
      <c r="V563" s="28"/>
      <c r="W563" s="28"/>
      <c r="X563" s="28"/>
      <c r="Y563" s="28"/>
      <c r="Z563" s="28"/>
    </row>
    <row r="564" spans="1:26" ht="13.5" customHeight="1">
      <c r="A564" s="28"/>
      <c r="B564" s="29"/>
      <c r="C564" s="29"/>
      <c r="D564" s="29"/>
      <c r="E564" s="30"/>
      <c r="F564" s="28"/>
      <c r="G564" s="28"/>
      <c r="H564" s="28"/>
      <c r="I564" s="28"/>
      <c r="J564" s="28"/>
      <c r="K564" s="28"/>
      <c r="L564" s="28"/>
      <c r="M564" s="28"/>
      <c r="N564" s="28"/>
      <c r="O564" s="28"/>
      <c r="P564" s="28"/>
      <c r="Q564" s="28"/>
      <c r="R564" s="28"/>
      <c r="S564" s="28"/>
      <c r="T564" s="28"/>
      <c r="U564" s="28"/>
      <c r="V564" s="28"/>
      <c r="W564" s="28"/>
      <c r="X564" s="28"/>
      <c r="Y564" s="28"/>
      <c r="Z564" s="28"/>
    </row>
    <row r="565" spans="1:26" ht="13.5" customHeight="1">
      <c r="A565" s="28"/>
      <c r="B565" s="29"/>
      <c r="C565" s="29"/>
      <c r="D565" s="29"/>
      <c r="E565" s="30"/>
      <c r="F565" s="28"/>
      <c r="G565" s="28"/>
      <c r="H565" s="28"/>
      <c r="I565" s="28"/>
      <c r="J565" s="28"/>
      <c r="K565" s="28"/>
      <c r="L565" s="28"/>
      <c r="M565" s="28"/>
      <c r="N565" s="28"/>
      <c r="O565" s="28"/>
      <c r="P565" s="28"/>
      <c r="Q565" s="28"/>
      <c r="R565" s="28"/>
      <c r="S565" s="28"/>
      <c r="T565" s="28"/>
      <c r="U565" s="28"/>
      <c r="V565" s="28"/>
      <c r="W565" s="28"/>
      <c r="X565" s="28"/>
      <c r="Y565" s="28"/>
      <c r="Z565" s="28"/>
    </row>
    <row r="566" spans="1:26" ht="13.5" customHeight="1">
      <c r="A566" s="28"/>
      <c r="B566" s="29"/>
      <c r="C566" s="29"/>
      <c r="D566" s="29"/>
      <c r="E566" s="30"/>
      <c r="F566" s="28"/>
      <c r="G566" s="28"/>
      <c r="H566" s="28"/>
      <c r="I566" s="28"/>
      <c r="J566" s="28"/>
      <c r="K566" s="28"/>
      <c r="L566" s="28"/>
      <c r="M566" s="28"/>
      <c r="N566" s="28"/>
      <c r="O566" s="28"/>
      <c r="P566" s="28"/>
      <c r="Q566" s="28"/>
      <c r="R566" s="28"/>
      <c r="S566" s="28"/>
      <c r="T566" s="28"/>
      <c r="U566" s="28"/>
      <c r="V566" s="28"/>
      <c r="W566" s="28"/>
      <c r="X566" s="28"/>
      <c r="Y566" s="28"/>
      <c r="Z566" s="28"/>
    </row>
    <row r="567" spans="1:26" ht="13.5" customHeight="1">
      <c r="A567" s="28"/>
      <c r="B567" s="29"/>
      <c r="C567" s="29"/>
      <c r="D567" s="29"/>
      <c r="E567" s="30"/>
      <c r="F567" s="28"/>
      <c r="G567" s="28"/>
      <c r="H567" s="28"/>
      <c r="I567" s="28"/>
      <c r="J567" s="28"/>
      <c r="K567" s="28"/>
      <c r="L567" s="28"/>
      <c r="M567" s="28"/>
      <c r="N567" s="28"/>
      <c r="O567" s="28"/>
      <c r="P567" s="28"/>
      <c r="Q567" s="28"/>
      <c r="R567" s="28"/>
      <c r="S567" s="28"/>
      <c r="T567" s="28"/>
      <c r="U567" s="28"/>
      <c r="V567" s="28"/>
      <c r="W567" s="28"/>
      <c r="X567" s="28"/>
      <c r="Y567" s="28"/>
      <c r="Z567" s="28"/>
    </row>
    <row r="568" spans="1:26" ht="13.5" customHeight="1">
      <c r="A568" s="28"/>
      <c r="B568" s="29"/>
      <c r="C568" s="29"/>
      <c r="D568" s="29"/>
      <c r="E568" s="30"/>
      <c r="F568" s="28"/>
      <c r="G568" s="28"/>
      <c r="H568" s="28"/>
      <c r="I568" s="28"/>
      <c r="J568" s="28"/>
      <c r="K568" s="28"/>
      <c r="L568" s="28"/>
      <c r="M568" s="28"/>
      <c r="N568" s="28"/>
      <c r="O568" s="28"/>
      <c r="P568" s="28"/>
      <c r="Q568" s="28"/>
      <c r="R568" s="28"/>
      <c r="S568" s="28"/>
      <c r="T568" s="28"/>
      <c r="U568" s="28"/>
      <c r="V568" s="28"/>
      <c r="W568" s="28"/>
      <c r="X568" s="28"/>
      <c r="Y568" s="28"/>
      <c r="Z568" s="28"/>
    </row>
    <row r="569" spans="1:26" ht="13.5" customHeight="1">
      <c r="A569" s="28"/>
      <c r="B569" s="29"/>
      <c r="C569" s="29"/>
      <c r="D569" s="29"/>
      <c r="E569" s="30"/>
      <c r="F569" s="28"/>
      <c r="G569" s="28"/>
      <c r="H569" s="28"/>
      <c r="I569" s="28"/>
      <c r="J569" s="28"/>
      <c r="K569" s="28"/>
      <c r="L569" s="28"/>
      <c r="M569" s="28"/>
      <c r="N569" s="28"/>
      <c r="O569" s="28"/>
      <c r="P569" s="28"/>
      <c r="Q569" s="28"/>
      <c r="R569" s="28"/>
      <c r="S569" s="28"/>
      <c r="T569" s="28"/>
      <c r="U569" s="28"/>
      <c r="V569" s="28"/>
      <c r="W569" s="28"/>
      <c r="X569" s="28"/>
      <c r="Y569" s="28"/>
      <c r="Z569" s="28"/>
    </row>
    <row r="570" spans="1:26" ht="13.5" customHeight="1">
      <c r="A570" s="28"/>
      <c r="B570" s="29"/>
      <c r="C570" s="29"/>
      <c r="D570" s="29"/>
      <c r="E570" s="30"/>
      <c r="F570" s="28"/>
      <c r="G570" s="28"/>
      <c r="H570" s="28"/>
      <c r="I570" s="28"/>
      <c r="J570" s="28"/>
      <c r="K570" s="28"/>
      <c r="L570" s="28"/>
      <c r="M570" s="28"/>
      <c r="N570" s="28"/>
      <c r="O570" s="28"/>
      <c r="P570" s="28"/>
      <c r="Q570" s="28"/>
      <c r="R570" s="28"/>
      <c r="S570" s="28"/>
      <c r="T570" s="28"/>
      <c r="U570" s="28"/>
      <c r="V570" s="28"/>
      <c r="W570" s="28"/>
      <c r="X570" s="28"/>
      <c r="Y570" s="28"/>
      <c r="Z570" s="28"/>
    </row>
    <row r="571" spans="1:26" ht="13.5" customHeight="1">
      <c r="A571" s="28"/>
      <c r="B571" s="29"/>
      <c r="C571" s="29"/>
      <c r="D571" s="29"/>
      <c r="E571" s="30"/>
      <c r="F571" s="28"/>
      <c r="G571" s="28"/>
      <c r="H571" s="28"/>
      <c r="I571" s="28"/>
      <c r="J571" s="28"/>
      <c r="K571" s="28"/>
      <c r="L571" s="28"/>
      <c r="M571" s="28"/>
      <c r="N571" s="28"/>
      <c r="O571" s="28"/>
      <c r="P571" s="28"/>
      <c r="Q571" s="28"/>
      <c r="R571" s="28"/>
      <c r="S571" s="28"/>
      <c r="T571" s="28"/>
      <c r="U571" s="28"/>
      <c r="V571" s="28"/>
      <c r="W571" s="28"/>
      <c r="X571" s="28"/>
      <c r="Y571" s="28"/>
      <c r="Z571" s="28"/>
    </row>
    <row r="572" spans="1:26" ht="13.5" customHeight="1">
      <c r="A572" s="28"/>
      <c r="B572" s="29"/>
      <c r="C572" s="29"/>
      <c r="D572" s="29"/>
      <c r="E572" s="30"/>
      <c r="F572" s="28"/>
      <c r="G572" s="28"/>
      <c r="H572" s="28"/>
      <c r="I572" s="28"/>
      <c r="J572" s="28"/>
      <c r="K572" s="28"/>
      <c r="L572" s="28"/>
      <c r="M572" s="28"/>
      <c r="N572" s="28"/>
      <c r="O572" s="28"/>
      <c r="P572" s="28"/>
      <c r="Q572" s="28"/>
      <c r="R572" s="28"/>
      <c r="S572" s="28"/>
      <c r="T572" s="28"/>
      <c r="U572" s="28"/>
      <c r="V572" s="28"/>
      <c r="W572" s="28"/>
      <c r="X572" s="28"/>
      <c r="Y572" s="28"/>
      <c r="Z572" s="28"/>
    </row>
    <row r="573" spans="1:26" ht="13.5" customHeight="1">
      <c r="A573" s="28"/>
      <c r="B573" s="29"/>
      <c r="C573" s="29"/>
      <c r="D573" s="29"/>
      <c r="E573" s="30"/>
      <c r="F573" s="28"/>
      <c r="G573" s="28"/>
      <c r="H573" s="28"/>
      <c r="I573" s="28"/>
      <c r="J573" s="28"/>
      <c r="K573" s="28"/>
      <c r="L573" s="28"/>
      <c r="M573" s="28"/>
      <c r="N573" s="28"/>
      <c r="O573" s="28"/>
      <c r="P573" s="28"/>
      <c r="Q573" s="28"/>
      <c r="R573" s="28"/>
      <c r="S573" s="28"/>
      <c r="T573" s="28"/>
      <c r="U573" s="28"/>
      <c r="V573" s="28"/>
      <c r="W573" s="28"/>
      <c r="X573" s="28"/>
      <c r="Y573" s="28"/>
      <c r="Z573" s="28"/>
    </row>
    <row r="574" spans="1:26" ht="13.5" customHeight="1">
      <c r="A574" s="28"/>
      <c r="B574" s="29"/>
      <c r="C574" s="29"/>
      <c r="D574" s="29"/>
      <c r="E574" s="30"/>
      <c r="F574" s="28"/>
      <c r="G574" s="28"/>
      <c r="H574" s="28"/>
      <c r="I574" s="28"/>
      <c r="J574" s="28"/>
      <c r="K574" s="28"/>
      <c r="L574" s="28"/>
      <c r="M574" s="28"/>
      <c r="N574" s="28"/>
      <c r="O574" s="28"/>
      <c r="P574" s="28"/>
      <c r="Q574" s="28"/>
      <c r="R574" s="28"/>
      <c r="S574" s="28"/>
      <c r="T574" s="28"/>
      <c r="U574" s="28"/>
      <c r="V574" s="28"/>
      <c r="W574" s="28"/>
      <c r="X574" s="28"/>
      <c r="Y574" s="28"/>
      <c r="Z574" s="28"/>
    </row>
    <row r="575" spans="1:26" ht="13.5" customHeight="1">
      <c r="A575" s="28"/>
      <c r="B575" s="29"/>
      <c r="C575" s="29"/>
      <c r="D575" s="29"/>
      <c r="E575" s="30"/>
      <c r="F575" s="28"/>
      <c r="G575" s="28"/>
      <c r="H575" s="28"/>
      <c r="I575" s="28"/>
      <c r="J575" s="28"/>
      <c r="K575" s="28"/>
      <c r="L575" s="28"/>
      <c r="M575" s="28"/>
      <c r="N575" s="28"/>
      <c r="O575" s="28"/>
      <c r="P575" s="28"/>
      <c r="Q575" s="28"/>
      <c r="R575" s="28"/>
      <c r="S575" s="28"/>
      <c r="T575" s="28"/>
      <c r="U575" s="28"/>
      <c r="V575" s="28"/>
      <c r="W575" s="28"/>
      <c r="X575" s="28"/>
      <c r="Y575" s="28"/>
      <c r="Z575" s="28"/>
    </row>
    <row r="576" spans="1:26" ht="13.5" customHeight="1">
      <c r="A576" s="28"/>
      <c r="B576" s="29"/>
      <c r="C576" s="29"/>
      <c r="D576" s="29"/>
      <c r="E576" s="30"/>
      <c r="F576" s="28"/>
      <c r="G576" s="28"/>
      <c r="H576" s="28"/>
      <c r="I576" s="28"/>
      <c r="J576" s="28"/>
      <c r="K576" s="28"/>
      <c r="L576" s="28"/>
      <c r="M576" s="28"/>
      <c r="N576" s="28"/>
      <c r="O576" s="28"/>
      <c r="P576" s="28"/>
      <c r="Q576" s="28"/>
      <c r="R576" s="28"/>
      <c r="S576" s="28"/>
      <c r="T576" s="28"/>
      <c r="U576" s="28"/>
      <c r="V576" s="28"/>
      <c r="W576" s="28"/>
      <c r="X576" s="28"/>
      <c r="Y576" s="28"/>
      <c r="Z576" s="28"/>
    </row>
    <row r="577" spans="1:26" ht="13.5" customHeight="1">
      <c r="A577" s="28"/>
      <c r="B577" s="29"/>
      <c r="C577" s="29"/>
      <c r="D577" s="29"/>
      <c r="E577" s="30"/>
      <c r="F577" s="28"/>
      <c r="G577" s="28"/>
      <c r="H577" s="28"/>
      <c r="I577" s="28"/>
      <c r="J577" s="28"/>
      <c r="K577" s="28"/>
      <c r="L577" s="28"/>
      <c r="M577" s="28"/>
      <c r="N577" s="28"/>
      <c r="O577" s="28"/>
      <c r="P577" s="28"/>
      <c r="Q577" s="28"/>
      <c r="R577" s="28"/>
      <c r="S577" s="28"/>
      <c r="T577" s="28"/>
      <c r="U577" s="28"/>
      <c r="V577" s="28"/>
      <c r="W577" s="28"/>
      <c r="X577" s="28"/>
      <c r="Y577" s="28"/>
      <c r="Z577" s="28"/>
    </row>
    <row r="578" spans="1:26" ht="13.5" customHeight="1">
      <c r="A578" s="28"/>
      <c r="B578" s="29"/>
      <c r="C578" s="29"/>
      <c r="D578" s="29"/>
      <c r="E578" s="30"/>
      <c r="F578" s="28"/>
      <c r="G578" s="28"/>
      <c r="H578" s="28"/>
      <c r="I578" s="28"/>
      <c r="J578" s="28"/>
      <c r="K578" s="28"/>
      <c r="L578" s="28"/>
      <c r="M578" s="28"/>
      <c r="N578" s="28"/>
      <c r="O578" s="28"/>
      <c r="P578" s="28"/>
      <c r="Q578" s="28"/>
      <c r="R578" s="28"/>
      <c r="S578" s="28"/>
      <c r="T578" s="28"/>
      <c r="U578" s="28"/>
      <c r="V578" s="28"/>
      <c r="W578" s="28"/>
      <c r="X578" s="28"/>
      <c r="Y578" s="28"/>
      <c r="Z578" s="28"/>
    </row>
    <row r="579" spans="1:26" ht="13.5" customHeight="1">
      <c r="A579" s="28"/>
      <c r="B579" s="29"/>
      <c r="C579" s="29"/>
      <c r="D579" s="29"/>
      <c r="E579" s="30"/>
      <c r="F579" s="28"/>
      <c r="G579" s="28"/>
      <c r="H579" s="28"/>
      <c r="I579" s="28"/>
      <c r="J579" s="28"/>
      <c r="K579" s="28"/>
      <c r="L579" s="28"/>
      <c r="M579" s="28"/>
      <c r="N579" s="28"/>
      <c r="O579" s="28"/>
      <c r="P579" s="28"/>
      <c r="Q579" s="28"/>
      <c r="R579" s="28"/>
      <c r="S579" s="28"/>
      <c r="T579" s="28"/>
      <c r="U579" s="28"/>
      <c r="V579" s="28"/>
      <c r="W579" s="28"/>
      <c r="X579" s="28"/>
      <c r="Y579" s="28"/>
      <c r="Z579" s="28"/>
    </row>
    <row r="580" spans="1:26" ht="13.5" customHeight="1">
      <c r="A580" s="28"/>
      <c r="B580" s="29"/>
      <c r="C580" s="29"/>
      <c r="D580" s="29"/>
      <c r="E580" s="30"/>
      <c r="F580" s="28"/>
      <c r="G580" s="28"/>
      <c r="H580" s="28"/>
      <c r="I580" s="28"/>
      <c r="J580" s="28"/>
      <c r="K580" s="28"/>
      <c r="L580" s="28"/>
      <c r="M580" s="28"/>
      <c r="N580" s="28"/>
      <c r="O580" s="28"/>
      <c r="P580" s="28"/>
      <c r="Q580" s="28"/>
      <c r="R580" s="28"/>
      <c r="S580" s="28"/>
      <c r="T580" s="28"/>
      <c r="U580" s="28"/>
      <c r="V580" s="28"/>
      <c r="W580" s="28"/>
      <c r="X580" s="28"/>
      <c r="Y580" s="28"/>
      <c r="Z580" s="28"/>
    </row>
    <row r="581" spans="1:26" ht="13.5" customHeight="1">
      <c r="A581" s="28"/>
      <c r="B581" s="29"/>
      <c r="C581" s="29"/>
      <c r="D581" s="29"/>
      <c r="E581" s="30"/>
      <c r="F581" s="28"/>
      <c r="G581" s="28"/>
      <c r="H581" s="28"/>
      <c r="I581" s="28"/>
      <c r="J581" s="28"/>
      <c r="K581" s="28"/>
      <c r="L581" s="28"/>
      <c r="M581" s="28"/>
      <c r="N581" s="28"/>
      <c r="O581" s="28"/>
      <c r="P581" s="28"/>
      <c r="Q581" s="28"/>
      <c r="R581" s="28"/>
      <c r="S581" s="28"/>
      <c r="T581" s="28"/>
      <c r="U581" s="28"/>
      <c r="V581" s="28"/>
      <c r="W581" s="28"/>
      <c r="X581" s="28"/>
      <c r="Y581" s="28"/>
      <c r="Z581" s="28"/>
    </row>
    <row r="582" spans="1:26" ht="13.5" customHeight="1">
      <c r="A582" s="28"/>
      <c r="B582" s="29"/>
      <c r="C582" s="29"/>
      <c r="D582" s="29"/>
      <c r="E582" s="30"/>
      <c r="F582" s="28"/>
      <c r="G582" s="28"/>
      <c r="H582" s="28"/>
      <c r="I582" s="28"/>
      <c r="J582" s="28"/>
      <c r="K582" s="28"/>
      <c r="L582" s="28"/>
      <c r="M582" s="28"/>
      <c r="N582" s="28"/>
      <c r="O582" s="28"/>
      <c r="P582" s="28"/>
      <c r="Q582" s="28"/>
      <c r="R582" s="28"/>
      <c r="S582" s="28"/>
      <c r="T582" s="28"/>
      <c r="U582" s="28"/>
      <c r="V582" s="28"/>
      <c r="W582" s="28"/>
      <c r="X582" s="28"/>
      <c r="Y582" s="28"/>
      <c r="Z582" s="28"/>
    </row>
    <row r="583" spans="1:26" ht="13.5" customHeight="1">
      <c r="A583" s="28"/>
      <c r="B583" s="29"/>
      <c r="C583" s="29"/>
      <c r="D583" s="29"/>
      <c r="E583" s="30"/>
      <c r="F583" s="28"/>
      <c r="G583" s="28"/>
      <c r="H583" s="28"/>
      <c r="I583" s="28"/>
      <c r="J583" s="28"/>
      <c r="K583" s="28"/>
      <c r="L583" s="28"/>
      <c r="M583" s="28"/>
      <c r="N583" s="28"/>
      <c r="O583" s="28"/>
      <c r="P583" s="28"/>
      <c r="Q583" s="28"/>
      <c r="R583" s="28"/>
      <c r="S583" s="28"/>
      <c r="T583" s="28"/>
      <c r="U583" s="28"/>
      <c r="V583" s="28"/>
      <c r="W583" s="28"/>
      <c r="X583" s="28"/>
      <c r="Y583" s="28"/>
      <c r="Z583" s="28"/>
    </row>
    <row r="584" spans="1:26" ht="13.5" customHeight="1">
      <c r="A584" s="28"/>
      <c r="B584" s="29"/>
      <c r="C584" s="29"/>
      <c r="D584" s="29"/>
      <c r="E584" s="30"/>
      <c r="F584" s="28"/>
      <c r="G584" s="28"/>
      <c r="H584" s="28"/>
      <c r="I584" s="28"/>
      <c r="J584" s="28"/>
      <c r="K584" s="28"/>
      <c r="L584" s="28"/>
      <c r="M584" s="28"/>
      <c r="N584" s="28"/>
      <c r="O584" s="28"/>
      <c r="P584" s="28"/>
      <c r="Q584" s="28"/>
      <c r="R584" s="28"/>
      <c r="S584" s="28"/>
      <c r="T584" s="28"/>
      <c r="U584" s="28"/>
      <c r="V584" s="28"/>
      <c r="W584" s="28"/>
      <c r="X584" s="28"/>
      <c r="Y584" s="28"/>
      <c r="Z584" s="28"/>
    </row>
    <row r="585" spans="1:26" ht="13.5" customHeight="1">
      <c r="A585" s="28"/>
      <c r="B585" s="29"/>
      <c r="C585" s="29"/>
      <c r="D585" s="29"/>
      <c r="E585" s="30"/>
      <c r="F585" s="28"/>
      <c r="G585" s="28"/>
      <c r="H585" s="28"/>
      <c r="I585" s="28"/>
      <c r="J585" s="28"/>
      <c r="K585" s="28"/>
      <c r="L585" s="28"/>
      <c r="M585" s="28"/>
      <c r="N585" s="28"/>
      <c r="O585" s="28"/>
      <c r="P585" s="28"/>
      <c r="Q585" s="28"/>
      <c r="R585" s="28"/>
      <c r="S585" s="28"/>
      <c r="T585" s="28"/>
      <c r="U585" s="28"/>
      <c r="V585" s="28"/>
      <c r="W585" s="28"/>
      <c r="X585" s="28"/>
      <c r="Y585" s="28"/>
      <c r="Z585" s="28"/>
    </row>
    <row r="586" spans="1:26" ht="13.5" customHeight="1">
      <c r="A586" s="28"/>
      <c r="B586" s="29"/>
      <c r="C586" s="29"/>
      <c r="D586" s="29"/>
      <c r="E586" s="30"/>
      <c r="F586" s="28"/>
      <c r="G586" s="28"/>
      <c r="H586" s="28"/>
      <c r="I586" s="28"/>
      <c r="J586" s="28"/>
      <c r="K586" s="28"/>
      <c r="L586" s="28"/>
      <c r="M586" s="28"/>
      <c r="N586" s="28"/>
      <c r="O586" s="28"/>
      <c r="P586" s="28"/>
      <c r="Q586" s="28"/>
      <c r="R586" s="28"/>
      <c r="S586" s="28"/>
      <c r="T586" s="28"/>
      <c r="U586" s="28"/>
      <c r="V586" s="28"/>
      <c r="W586" s="28"/>
      <c r="X586" s="28"/>
      <c r="Y586" s="28"/>
      <c r="Z586" s="28"/>
    </row>
    <row r="587" spans="1:26" ht="13.5" customHeight="1">
      <c r="A587" s="28"/>
      <c r="B587" s="29"/>
      <c r="C587" s="29"/>
      <c r="D587" s="29"/>
      <c r="E587" s="30"/>
      <c r="F587" s="28"/>
      <c r="G587" s="28"/>
      <c r="H587" s="28"/>
      <c r="I587" s="28"/>
      <c r="J587" s="28"/>
      <c r="K587" s="28"/>
      <c r="L587" s="28"/>
      <c r="M587" s="28"/>
      <c r="N587" s="28"/>
      <c r="O587" s="28"/>
      <c r="P587" s="28"/>
      <c r="Q587" s="28"/>
      <c r="R587" s="28"/>
      <c r="S587" s="28"/>
      <c r="T587" s="28"/>
      <c r="U587" s="28"/>
      <c r="V587" s="28"/>
      <c r="W587" s="28"/>
      <c r="X587" s="28"/>
      <c r="Y587" s="28"/>
      <c r="Z587" s="28"/>
    </row>
    <row r="588" spans="1:26" ht="13.5" customHeight="1">
      <c r="A588" s="28"/>
      <c r="B588" s="29"/>
      <c r="C588" s="29"/>
      <c r="D588" s="29"/>
      <c r="E588" s="30"/>
      <c r="F588" s="28"/>
      <c r="G588" s="28"/>
      <c r="H588" s="28"/>
      <c r="I588" s="28"/>
      <c r="J588" s="28"/>
      <c r="K588" s="28"/>
      <c r="L588" s="28"/>
      <c r="M588" s="28"/>
      <c r="N588" s="28"/>
      <c r="O588" s="28"/>
      <c r="P588" s="28"/>
      <c r="Q588" s="28"/>
      <c r="R588" s="28"/>
      <c r="S588" s="28"/>
      <c r="T588" s="28"/>
      <c r="U588" s="28"/>
      <c r="V588" s="28"/>
      <c r="W588" s="28"/>
      <c r="X588" s="28"/>
      <c r="Y588" s="28"/>
      <c r="Z588" s="28"/>
    </row>
    <row r="589" spans="1:26" ht="13.5" customHeight="1">
      <c r="A589" s="28"/>
      <c r="B589" s="29"/>
      <c r="C589" s="29"/>
      <c r="D589" s="29"/>
      <c r="E589" s="30"/>
      <c r="F589" s="28"/>
      <c r="G589" s="28"/>
      <c r="H589" s="28"/>
      <c r="I589" s="28"/>
      <c r="J589" s="28"/>
      <c r="K589" s="28"/>
      <c r="L589" s="28"/>
      <c r="M589" s="28"/>
      <c r="N589" s="28"/>
      <c r="O589" s="28"/>
      <c r="P589" s="28"/>
      <c r="Q589" s="28"/>
      <c r="R589" s="28"/>
      <c r="S589" s="28"/>
      <c r="T589" s="28"/>
      <c r="U589" s="28"/>
      <c r="V589" s="28"/>
      <c r="W589" s="28"/>
      <c r="X589" s="28"/>
      <c r="Y589" s="28"/>
      <c r="Z589" s="28"/>
    </row>
    <row r="590" spans="1:26" ht="13.5" customHeight="1">
      <c r="A590" s="28"/>
      <c r="B590" s="29"/>
      <c r="C590" s="29"/>
      <c r="D590" s="29"/>
      <c r="E590" s="30"/>
      <c r="F590" s="28"/>
      <c r="G590" s="28"/>
      <c r="H590" s="28"/>
      <c r="I590" s="28"/>
      <c r="J590" s="28"/>
      <c r="K590" s="28"/>
      <c r="L590" s="28"/>
      <c r="M590" s="28"/>
      <c r="N590" s="28"/>
      <c r="O590" s="28"/>
      <c r="P590" s="28"/>
      <c r="Q590" s="28"/>
      <c r="R590" s="28"/>
      <c r="S590" s="28"/>
      <c r="T590" s="28"/>
      <c r="U590" s="28"/>
      <c r="V590" s="28"/>
      <c r="W590" s="28"/>
      <c r="X590" s="28"/>
      <c r="Y590" s="28"/>
      <c r="Z590" s="28"/>
    </row>
    <row r="591" spans="1:26" ht="13.5" customHeight="1">
      <c r="A591" s="28"/>
      <c r="B591" s="29"/>
      <c r="C591" s="29"/>
      <c r="D591" s="29"/>
      <c r="E591" s="30"/>
      <c r="F591" s="28"/>
      <c r="G591" s="28"/>
      <c r="H591" s="28"/>
      <c r="I591" s="28"/>
      <c r="J591" s="28"/>
      <c r="K591" s="28"/>
      <c r="L591" s="28"/>
      <c r="M591" s="28"/>
      <c r="N591" s="28"/>
      <c r="O591" s="28"/>
      <c r="P591" s="28"/>
      <c r="Q591" s="28"/>
      <c r="R591" s="28"/>
      <c r="S591" s="28"/>
      <c r="T591" s="28"/>
      <c r="U591" s="28"/>
      <c r="V591" s="28"/>
      <c r="W591" s="28"/>
      <c r="X591" s="28"/>
      <c r="Y591" s="28"/>
      <c r="Z591" s="28"/>
    </row>
    <row r="592" spans="1:26" ht="13.5" customHeight="1">
      <c r="A592" s="28"/>
      <c r="B592" s="29"/>
      <c r="C592" s="29"/>
      <c r="D592" s="29"/>
      <c r="E592" s="30"/>
      <c r="F592" s="28"/>
      <c r="G592" s="28"/>
      <c r="H592" s="28"/>
      <c r="I592" s="28"/>
      <c r="J592" s="28"/>
      <c r="K592" s="28"/>
      <c r="L592" s="28"/>
      <c r="M592" s="28"/>
      <c r="N592" s="28"/>
      <c r="O592" s="28"/>
      <c r="P592" s="28"/>
      <c r="Q592" s="28"/>
      <c r="R592" s="28"/>
      <c r="S592" s="28"/>
      <c r="T592" s="28"/>
      <c r="U592" s="28"/>
      <c r="V592" s="28"/>
      <c r="W592" s="28"/>
      <c r="X592" s="28"/>
      <c r="Y592" s="28"/>
      <c r="Z592" s="28"/>
    </row>
    <row r="593" spans="1:26" ht="13.5" customHeight="1">
      <c r="A593" s="28"/>
      <c r="B593" s="29"/>
      <c r="C593" s="29"/>
      <c r="D593" s="29"/>
      <c r="E593" s="30"/>
      <c r="F593" s="28"/>
      <c r="G593" s="28"/>
      <c r="H593" s="28"/>
      <c r="I593" s="28"/>
      <c r="J593" s="28"/>
      <c r="K593" s="28"/>
      <c r="L593" s="28"/>
      <c r="M593" s="28"/>
      <c r="N593" s="28"/>
      <c r="O593" s="28"/>
      <c r="P593" s="28"/>
      <c r="Q593" s="28"/>
      <c r="R593" s="28"/>
      <c r="S593" s="28"/>
      <c r="T593" s="28"/>
      <c r="U593" s="28"/>
      <c r="V593" s="28"/>
      <c r="W593" s="28"/>
      <c r="X593" s="28"/>
      <c r="Y593" s="28"/>
      <c r="Z593" s="28"/>
    </row>
    <row r="594" spans="1:26" ht="13.5" customHeight="1">
      <c r="A594" s="28"/>
      <c r="B594" s="29"/>
      <c r="C594" s="29"/>
      <c r="D594" s="29"/>
      <c r="E594" s="30"/>
      <c r="F594" s="28"/>
      <c r="G594" s="28"/>
      <c r="H594" s="28"/>
      <c r="I594" s="28"/>
      <c r="J594" s="28"/>
      <c r="K594" s="28"/>
      <c r="L594" s="28"/>
      <c r="M594" s="28"/>
      <c r="N594" s="28"/>
      <c r="O594" s="28"/>
      <c r="P594" s="28"/>
      <c r="Q594" s="28"/>
      <c r="R594" s="28"/>
      <c r="S594" s="28"/>
      <c r="T594" s="28"/>
      <c r="U594" s="28"/>
      <c r="V594" s="28"/>
      <c r="W594" s="28"/>
      <c r="X594" s="28"/>
      <c r="Y594" s="28"/>
      <c r="Z594" s="28"/>
    </row>
    <row r="595" spans="1:26" ht="13.5" customHeight="1">
      <c r="A595" s="28"/>
      <c r="B595" s="29"/>
      <c r="C595" s="29"/>
      <c r="D595" s="29"/>
      <c r="E595" s="30"/>
      <c r="F595" s="28"/>
      <c r="G595" s="28"/>
      <c r="H595" s="28"/>
      <c r="I595" s="28"/>
      <c r="J595" s="28"/>
      <c r="K595" s="28"/>
      <c r="L595" s="28"/>
      <c r="M595" s="28"/>
      <c r="N595" s="28"/>
      <c r="O595" s="28"/>
      <c r="P595" s="28"/>
      <c r="Q595" s="28"/>
      <c r="R595" s="28"/>
      <c r="S595" s="28"/>
      <c r="T595" s="28"/>
      <c r="U595" s="28"/>
      <c r="V595" s="28"/>
      <c r="W595" s="28"/>
      <c r="X595" s="28"/>
      <c r="Y595" s="28"/>
      <c r="Z595" s="28"/>
    </row>
    <row r="596" spans="1:26" ht="13.5" customHeight="1">
      <c r="A596" s="28"/>
      <c r="B596" s="29"/>
      <c r="C596" s="29"/>
      <c r="D596" s="29"/>
      <c r="E596" s="30"/>
      <c r="F596" s="28"/>
      <c r="G596" s="28"/>
      <c r="H596" s="28"/>
      <c r="I596" s="28"/>
      <c r="J596" s="28"/>
      <c r="K596" s="28"/>
      <c r="L596" s="28"/>
      <c r="M596" s="28"/>
      <c r="N596" s="28"/>
      <c r="O596" s="28"/>
      <c r="P596" s="28"/>
      <c r="Q596" s="28"/>
      <c r="R596" s="28"/>
      <c r="S596" s="28"/>
      <c r="T596" s="28"/>
      <c r="U596" s="28"/>
      <c r="V596" s="28"/>
      <c r="W596" s="28"/>
      <c r="X596" s="28"/>
      <c r="Y596" s="28"/>
      <c r="Z596" s="28"/>
    </row>
    <row r="597" spans="1:26" ht="13.5" customHeight="1">
      <c r="A597" s="28"/>
      <c r="B597" s="29"/>
      <c r="C597" s="29"/>
      <c r="D597" s="29"/>
      <c r="E597" s="30"/>
      <c r="F597" s="28"/>
      <c r="G597" s="28"/>
      <c r="H597" s="28"/>
      <c r="I597" s="28"/>
      <c r="J597" s="28"/>
      <c r="K597" s="28"/>
      <c r="L597" s="28"/>
      <c r="M597" s="28"/>
      <c r="N597" s="28"/>
      <c r="O597" s="28"/>
      <c r="P597" s="28"/>
      <c r="Q597" s="28"/>
      <c r="R597" s="28"/>
      <c r="S597" s="28"/>
      <c r="T597" s="28"/>
      <c r="U597" s="28"/>
      <c r="V597" s="28"/>
      <c r="W597" s="28"/>
      <c r="X597" s="28"/>
      <c r="Y597" s="28"/>
      <c r="Z597" s="28"/>
    </row>
    <row r="598" spans="1:26" ht="13.5" customHeight="1">
      <c r="A598" s="28"/>
      <c r="B598" s="29"/>
      <c r="C598" s="29"/>
      <c r="D598" s="29"/>
      <c r="E598" s="30"/>
      <c r="F598" s="28"/>
      <c r="G598" s="28"/>
      <c r="H598" s="28"/>
      <c r="I598" s="28"/>
      <c r="J598" s="28"/>
      <c r="K598" s="28"/>
      <c r="L598" s="28"/>
      <c r="M598" s="28"/>
      <c r="N598" s="28"/>
      <c r="O598" s="28"/>
      <c r="P598" s="28"/>
      <c r="Q598" s="28"/>
      <c r="R598" s="28"/>
      <c r="S598" s="28"/>
      <c r="T598" s="28"/>
      <c r="U598" s="28"/>
      <c r="V598" s="28"/>
      <c r="W598" s="28"/>
      <c r="X598" s="28"/>
      <c r="Y598" s="28"/>
      <c r="Z598" s="28"/>
    </row>
    <row r="599" spans="1:26" ht="13.5" customHeight="1">
      <c r="A599" s="28"/>
      <c r="B599" s="29"/>
      <c r="C599" s="29"/>
      <c r="D599" s="29"/>
      <c r="E599" s="30"/>
      <c r="F599" s="28"/>
      <c r="G599" s="28"/>
      <c r="H599" s="28"/>
      <c r="I599" s="28"/>
      <c r="J599" s="28"/>
      <c r="K599" s="28"/>
      <c r="L599" s="28"/>
      <c r="M599" s="28"/>
      <c r="N599" s="28"/>
      <c r="O599" s="28"/>
      <c r="P599" s="28"/>
      <c r="Q599" s="28"/>
      <c r="R599" s="28"/>
      <c r="S599" s="28"/>
      <c r="T599" s="28"/>
      <c r="U599" s="28"/>
      <c r="V599" s="28"/>
      <c r="W599" s="28"/>
      <c r="X599" s="28"/>
      <c r="Y599" s="28"/>
      <c r="Z599" s="28"/>
    </row>
    <row r="600" spans="1:26" ht="13.5" customHeight="1">
      <c r="A600" s="28"/>
      <c r="B600" s="29"/>
      <c r="C600" s="29"/>
      <c r="D600" s="29"/>
      <c r="E600" s="30"/>
      <c r="F600" s="28"/>
      <c r="G600" s="28"/>
      <c r="H600" s="28"/>
      <c r="I600" s="28"/>
      <c r="J600" s="28"/>
      <c r="K600" s="28"/>
      <c r="L600" s="28"/>
      <c r="M600" s="28"/>
      <c r="N600" s="28"/>
      <c r="O600" s="28"/>
      <c r="P600" s="28"/>
      <c r="Q600" s="28"/>
      <c r="R600" s="28"/>
      <c r="S600" s="28"/>
      <c r="T600" s="28"/>
      <c r="U600" s="28"/>
      <c r="V600" s="28"/>
      <c r="W600" s="28"/>
      <c r="X600" s="28"/>
      <c r="Y600" s="28"/>
      <c r="Z600" s="28"/>
    </row>
    <row r="601" spans="1:26" ht="13.5" customHeight="1">
      <c r="A601" s="28"/>
      <c r="B601" s="29"/>
      <c r="C601" s="29"/>
      <c r="D601" s="29"/>
      <c r="E601" s="30"/>
      <c r="F601" s="28"/>
      <c r="G601" s="28"/>
      <c r="H601" s="28"/>
      <c r="I601" s="28"/>
      <c r="J601" s="28"/>
      <c r="K601" s="28"/>
      <c r="L601" s="28"/>
      <c r="M601" s="28"/>
      <c r="N601" s="28"/>
      <c r="O601" s="28"/>
      <c r="P601" s="28"/>
      <c r="Q601" s="28"/>
      <c r="R601" s="28"/>
      <c r="S601" s="28"/>
      <c r="T601" s="28"/>
      <c r="U601" s="28"/>
      <c r="V601" s="28"/>
      <c r="W601" s="28"/>
      <c r="X601" s="28"/>
      <c r="Y601" s="28"/>
      <c r="Z601" s="28"/>
    </row>
    <row r="602" spans="1:26" ht="13.5" customHeight="1">
      <c r="A602" s="28"/>
      <c r="B602" s="29"/>
      <c r="C602" s="29"/>
      <c r="D602" s="29"/>
      <c r="E602" s="30"/>
      <c r="F602" s="28"/>
      <c r="G602" s="28"/>
      <c r="H602" s="28"/>
      <c r="I602" s="28"/>
      <c r="J602" s="28"/>
      <c r="K602" s="28"/>
      <c r="L602" s="28"/>
      <c r="M602" s="28"/>
      <c r="N602" s="28"/>
      <c r="O602" s="28"/>
      <c r="P602" s="28"/>
      <c r="Q602" s="28"/>
      <c r="R602" s="28"/>
      <c r="S602" s="28"/>
      <c r="T602" s="28"/>
      <c r="U602" s="28"/>
      <c r="V602" s="28"/>
      <c r="W602" s="28"/>
      <c r="X602" s="28"/>
      <c r="Y602" s="28"/>
      <c r="Z602" s="28"/>
    </row>
    <row r="603" spans="1:26" ht="13.5" customHeight="1">
      <c r="A603" s="28"/>
      <c r="B603" s="29"/>
      <c r="C603" s="29"/>
      <c r="D603" s="29"/>
      <c r="E603" s="30"/>
      <c r="F603" s="28"/>
      <c r="G603" s="28"/>
      <c r="H603" s="28"/>
      <c r="I603" s="28"/>
      <c r="J603" s="28"/>
      <c r="K603" s="28"/>
      <c r="L603" s="28"/>
      <c r="M603" s="28"/>
      <c r="N603" s="28"/>
      <c r="O603" s="28"/>
      <c r="P603" s="28"/>
      <c r="Q603" s="28"/>
      <c r="R603" s="28"/>
      <c r="S603" s="28"/>
      <c r="T603" s="28"/>
      <c r="U603" s="28"/>
      <c r="V603" s="28"/>
      <c r="W603" s="28"/>
      <c r="X603" s="28"/>
      <c r="Y603" s="28"/>
      <c r="Z603" s="28"/>
    </row>
    <row r="604" spans="1:26" ht="13.5" customHeight="1">
      <c r="A604" s="28"/>
      <c r="B604" s="29"/>
      <c r="C604" s="29"/>
      <c r="D604" s="29"/>
      <c r="E604" s="30"/>
      <c r="F604" s="28"/>
      <c r="G604" s="28"/>
      <c r="H604" s="28"/>
      <c r="I604" s="28"/>
      <c r="J604" s="28"/>
      <c r="K604" s="28"/>
      <c r="L604" s="28"/>
      <c r="M604" s="28"/>
      <c r="N604" s="28"/>
      <c r="O604" s="28"/>
      <c r="P604" s="28"/>
      <c r="Q604" s="28"/>
      <c r="R604" s="28"/>
      <c r="S604" s="28"/>
      <c r="T604" s="28"/>
      <c r="U604" s="28"/>
      <c r="V604" s="28"/>
      <c r="W604" s="28"/>
      <c r="X604" s="28"/>
      <c r="Y604" s="28"/>
      <c r="Z604" s="28"/>
    </row>
    <row r="605" spans="1:26" ht="13.5" customHeight="1">
      <c r="A605" s="28"/>
      <c r="B605" s="29"/>
      <c r="C605" s="29"/>
      <c r="D605" s="29"/>
      <c r="E605" s="30"/>
      <c r="F605" s="28"/>
      <c r="G605" s="28"/>
      <c r="H605" s="28"/>
      <c r="I605" s="28"/>
      <c r="J605" s="28"/>
      <c r="K605" s="28"/>
      <c r="L605" s="28"/>
      <c r="M605" s="28"/>
      <c r="N605" s="28"/>
      <c r="O605" s="28"/>
      <c r="P605" s="28"/>
      <c r="Q605" s="28"/>
      <c r="R605" s="28"/>
      <c r="S605" s="28"/>
      <c r="T605" s="28"/>
      <c r="U605" s="28"/>
      <c r="V605" s="28"/>
      <c r="W605" s="28"/>
      <c r="X605" s="28"/>
      <c r="Y605" s="28"/>
      <c r="Z605" s="28"/>
    </row>
    <row r="606" spans="1:26" ht="13.5" customHeight="1">
      <c r="A606" s="28"/>
      <c r="B606" s="29"/>
      <c r="C606" s="29"/>
      <c r="D606" s="29"/>
      <c r="E606" s="30"/>
      <c r="F606" s="28"/>
      <c r="G606" s="28"/>
      <c r="H606" s="28"/>
      <c r="I606" s="28"/>
      <c r="J606" s="28"/>
      <c r="K606" s="28"/>
      <c r="L606" s="28"/>
      <c r="M606" s="28"/>
      <c r="N606" s="28"/>
      <c r="O606" s="28"/>
      <c r="P606" s="28"/>
      <c r="Q606" s="28"/>
      <c r="R606" s="28"/>
      <c r="S606" s="28"/>
      <c r="T606" s="28"/>
      <c r="U606" s="28"/>
      <c r="V606" s="28"/>
      <c r="W606" s="28"/>
      <c r="X606" s="28"/>
      <c r="Y606" s="28"/>
      <c r="Z606" s="28"/>
    </row>
    <row r="607" spans="1:26" ht="13.5" customHeight="1">
      <c r="A607" s="28"/>
      <c r="B607" s="29"/>
      <c r="C607" s="29"/>
      <c r="D607" s="29"/>
      <c r="E607" s="30"/>
      <c r="F607" s="28"/>
      <c r="G607" s="28"/>
      <c r="H607" s="28"/>
      <c r="I607" s="28"/>
      <c r="J607" s="28"/>
      <c r="K607" s="28"/>
      <c r="L607" s="28"/>
      <c r="M607" s="28"/>
      <c r="N607" s="28"/>
      <c r="O607" s="28"/>
      <c r="P607" s="28"/>
      <c r="Q607" s="28"/>
      <c r="R607" s="28"/>
      <c r="S607" s="28"/>
      <c r="T607" s="28"/>
      <c r="U607" s="28"/>
      <c r="V607" s="28"/>
      <c r="W607" s="28"/>
      <c r="X607" s="28"/>
      <c r="Y607" s="28"/>
      <c r="Z607" s="28"/>
    </row>
    <row r="608" spans="1:26" ht="13.5" customHeight="1">
      <c r="A608" s="28"/>
      <c r="B608" s="29"/>
      <c r="C608" s="29"/>
      <c r="D608" s="29"/>
      <c r="E608" s="30"/>
      <c r="F608" s="28"/>
      <c r="G608" s="28"/>
      <c r="H608" s="28"/>
      <c r="I608" s="28"/>
      <c r="J608" s="28"/>
      <c r="K608" s="28"/>
      <c r="L608" s="28"/>
      <c r="M608" s="28"/>
      <c r="N608" s="28"/>
      <c r="O608" s="28"/>
      <c r="P608" s="28"/>
      <c r="Q608" s="28"/>
      <c r="R608" s="28"/>
      <c r="S608" s="28"/>
      <c r="T608" s="28"/>
      <c r="U608" s="28"/>
      <c r="V608" s="28"/>
      <c r="W608" s="28"/>
      <c r="X608" s="28"/>
      <c r="Y608" s="28"/>
      <c r="Z608" s="28"/>
    </row>
    <row r="609" spans="1:26" ht="13.5" customHeight="1">
      <c r="A609" s="28"/>
      <c r="B609" s="29"/>
      <c r="C609" s="29"/>
      <c r="D609" s="29"/>
      <c r="E609" s="30"/>
      <c r="F609" s="28"/>
      <c r="G609" s="28"/>
      <c r="H609" s="28"/>
      <c r="I609" s="28"/>
      <c r="J609" s="28"/>
      <c r="K609" s="28"/>
      <c r="L609" s="28"/>
      <c r="M609" s="28"/>
      <c r="N609" s="28"/>
      <c r="O609" s="28"/>
      <c r="P609" s="28"/>
      <c r="Q609" s="28"/>
      <c r="R609" s="28"/>
      <c r="S609" s="28"/>
      <c r="T609" s="28"/>
      <c r="U609" s="28"/>
      <c r="V609" s="28"/>
      <c r="W609" s="28"/>
      <c r="X609" s="28"/>
      <c r="Y609" s="28"/>
      <c r="Z609" s="28"/>
    </row>
    <row r="610" spans="1:26" ht="13.5" customHeight="1">
      <c r="A610" s="28"/>
      <c r="B610" s="29"/>
      <c r="C610" s="29"/>
      <c r="D610" s="29"/>
      <c r="E610" s="30"/>
      <c r="F610" s="28"/>
      <c r="G610" s="28"/>
      <c r="H610" s="28"/>
      <c r="I610" s="28"/>
      <c r="J610" s="28"/>
      <c r="K610" s="28"/>
      <c r="L610" s="28"/>
      <c r="M610" s="28"/>
      <c r="N610" s="28"/>
      <c r="O610" s="28"/>
      <c r="P610" s="28"/>
      <c r="Q610" s="28"/>
      <c r="R610" s="28"/>
      <c r="S610" s="28"/>
      <c r="T610" s="28"/>
      <c r="U610" s="28"/>
      <c r="V610" s="28"/>
      <c r="W610" s="28"/>
      <c r="X610" s="28"/>
      <c r="Y610" s="28"/>
      <c r="Z610" s="28"/>
    </row>
    <row r="611" spans="1:26" ht="13.5" customHeight="1">
      <c r="A611" s="28"/>
      <c r="B611" s="29"/>
      <c r="C611" s="29"/>
      <c r="D611" s="29"/>
      <c r="E611" s="30"/>
      <c r="F611" s="28"/>
      <c r="G611" s="28"/>
      <c r="H611" s="28"/>
      <c r="I611" s="28"/>
      <c r="J611" s="28"/>
      <c r="K611" s="28"/>
      <c r="L611" s="28"/>
      <c r="M611" s="28"/>
      <c r="N611" s="28"/>
      <c r="O611" s="28"/>
      <c r="P611" s="28"/>
      <c r="Q611" s="28"/>
      <c r="R611" s="28"/>
      <c r="S611" s="28"/>
      <c r="T611" s="28"/>
      <c r="U611" s="28"/>
      <c r="V611" s="28"/>
      <c r="W611" s="28"/>
      <c r="X611" s="28"/>
      <c r="Y611" s="28"/>
      <c r="Z611" s="28"/>
    </row>
    <row r="612" spans="1:26" ht="13.5" customHeight="1">
      <c r="A612" s="28"/>
      <c r="B612" s="29"/>
      <c r="C612" s="29"/>
      <c r="D612" s="29"/>
      <c r="E612" s="30"/>
      <c r="F612" s="28"/>
      <c r="G612" s="28"/>
      <c r="H612" s="28"/>
      <c r="I612" s="28"/>
      <c r="J612" s="28"/>
      <c r="K612" s="28"/>
      <c r="L612" s="28"/>
      <c r="M612" s="28"/>
      <c r="N612" s="28"/>
      <c r="O612" s="28"/>
      <c r="P612" s="28"/>
      <c r="Q612" s="28"/>
      <c r="R612" s="28"/>
      <c r="S612" s="28"/>
      <c r="T612" s="28"/>
      <c r="U612" s="28"/>
      <c r="V612" s="28"/>
      <c r="W612" s="28"/>
      <c r="X612" s="28"/>
      <c r="Y612" s="28"/>
      <c r="Z612" s="28"/>
    </row>
    <row r="613" spans="1:26" ht="13.5" customHeight="1">
      <c r="A613" s="28"/>
      <c r="B613" s="29"/>
      <c r="C613" s="29"/>
      <c r="D613" s="29"/>
      <c r="E613" s="30"/>
      <c r="F613" s="28"/>
      <c r="G613" s="28"/>
      <c r="H613" s="28"/>
      <c r="I613" s="28"/>
      <c r="J613" s="28"/>
      <c r="K613" s="28"/>
      <c r="L613" s="28"/>
      <c r="M613" s="28"/>
      <c r="N613" s="28"/>
      <c r="O613" s="28"/>
      <c r="P613" s="28"/>
      <c r="Q613" s="28"/>
      <c r="R613" s="28"/>
      <c r="S613" s="28"/>
      <c r="T613" s="28"/>
      <c r="U613" s="28"/>
      <c r="V613" s="28"/>
      <c r="W613" s="28"/>
      <c r="X613" s="28"/>
      <c r="Y613" s="28"/>
      <c r="Z613" s="28"/>
    </row>
    <row r="614" spans="1:26" ht="13.5" customHeight="1">
      <c r="A614" s="28"/>
      <c r="B614" s="29"/>
      <c r="C614" s="29"/>
      <c r="D614" s="29"/>
      <c r="E614" s="30"/>
      <c r="F614" s="28"/>
      <c r="G614" s="28"/>
      <c r="H614" s="28"/>
      <c r="I614" s="28"/>
      <c r="J614" s="28"/>
      <c r="K614" s="28"/>
      <c r="L614" s="28"/>
      <c r="M614" s="28"/>
      <c r="N614" s="28"/>
      <c r="O614" s="28"/>
      <c r="P614" s="28"/>
      <c r="Q614" s="28"/>
      <c r="R614" s="28"/>
      <c r="S614" s="28"/>
      <c r="T614" s="28"/>
      <c r="U614" s="28"/>
      <c r="V614" s="28"/>
      <c r="W614" s="28"/>
      <c r="X614" s="28"/>
      <c r="Y614" s="28"/>
      <c r="Z614" s="28"/>
    </row>
    <row r="615" spans="1:26" ht="13.5" customHeight="1">
      <c r="A615" s="28"/>
      <c r="B615" s="29"/>
      <c r="C615" s="29"/>
      <c r="D615" s="29"/>
      <c r="E615" s="30"/>
      <c r="F615" s="28"/>
      <c r="G615" s="28"/>
      <c r="H615" s="28"/>
      <c r="I615" s="28"/>
      <c r="J615" s="28"/>
      <c r="K615" s="28"/>
      <c r="L615" s="28"/>
      <c r="M615" s="28"/>
      <c r="N615" s="28"/>
      <c r="O615" s="28"/>
      <c r="P615" s="28"/>
      <c r="Q615" s="28"/>
      <c r="R615" s="28"/>
      <c r="S615" s="28"/>
      <c r="T615" s="28"/>
      <c r="U615" s="28"/>
      <c r="V615" s="28"/>
      <c r="W615" s="28"/>
      <c r="X615" s="28"/>
      <c r="Y615" s="28"/>
      <c r="Z615" s="28"/>
    </row>
    <row r="616" spans="1:26" ht="13.5" customHeight="1">
      <c r="A616" s="28"/>
      <c r="B616" s="29"/>
      <c r="C616" s="29"/>
      <c r="D616" s="29"/>
      <c r="E616" s="30"/>
      <c r="F616" s="28"/>
      <c r="G616" s="28"/>
      <c r="H616" s="28"/>
      <c r="I616" s="28"/>
      <c r="J616" s="28"/>
      <c r="K616" s="28"/>
      <c r="L616" s="28"/>
      <c r="M616" s="28"/>
      <c r="N616" s="28"/>
      <c r="O616" s="28"/>
      <c r="P616" s="28"/>
      <c r="Q616" s="28"/>
      <c r="R616" s="28"/>
      <c r="S616" s="28"/>
      <c r="T616" s="28"/>
      <c r="U616" s="28"/>
      <c r="V616" s="28"/>
      <c r="W616" s="28"/>
      <c r="X616" s="28"/>
      <c r="Y616" s="28"/>
      <c r="Z616" s="28"/>
    </row>
    <row r="617" spans="1:26" ht="13.5" customHeight="1">
      <c r="A617" s="28"/>
      <c r="B617" s="29"/>
      <c r="C617" s="29"/>
      <c r="D617" s="29"/>
      <c r="E617" s="30"/>
      <c r="F617" s="28"/>
      <c r="G617" s="28"/>
      <c r="H617" s="28"/>
      <c r="I617" s="28"/>
      <c r="J617" s="28"/>
      <c r="K617" s="28"/>
      <c r="L617" s="28"/>
      <c r="M617" s="28"/>
      <c r="N617" s="28"/>
      <c r="O617" s="28"/>
      <c r="P617" s="28"/>
      <c r="Q617" s="28"/>
      <c r="R617" s="28"/>
      <c r="S617" s="28"/>
      <c r="T617" s="28"/>
      <c r="U617" s="28"/>
      <c r="V617" s="28"/>
      <c r="W617" s="28"/>
      <c r="X617" s="28"/>
      <c r="Y617" s="28"/>
      <c r="Z617" s="28"/>
    </row>
    <row r="618" spans="1:26" ht="13.5" customHeight="1">
      <c r="A618" s="28"/>
      <c r="B618" s="29"/>
      <c r="C618" s="29"/>
      <c r="D618" s="29"/>
      <c r="E618" s="30"/>
      <c r="F618" s="28"/>
      <c r="G618" s="28"/>
      <c r="H618" s="28"/>
      <c r="I618" s="28"/>
      <c r="J618" s="28"/>
      <c r="K618" s="28"/>
      <c r="L618" s="28"/>
      <c r="M618" s="28"/>
      <c r="N618" s="28"/>
      <c r="O618" s="28"/>
      <c r="P618" s="28"/>
      <c r="Q618" s="28"/>
      <c r="R618" s="28"/>
      <c r="S618" s="28"/>
      <c r="T618" s="28"/>
      <c r="U618" s="28"/>
      <c r="V618" s="28"/>
      <c r="W618" s="28"/>
      <c r="X618" s="28"/>
      <c r="Y618" s="28"/>
      <c r="Z618" s="28"/>
    </row>
    <row r="619" spans="1:26" ht="13.5" customHeight="1">
      <c r="A619" s="28"/>
      <c r="B619" s="29"/>
      <c r="C619" s="29"/>
      <c r="D619" s="29"/>
      <c r="E619" s="30"/>
      <c r="F619" s="28"/>
      <c r="G619" s="28"/>
      <c r="H619" s="28"/>
      <c r="I619" s="28"/>
      <c r="J619" s="28"/>
      <c r="K619" s="28"/>
      <c r="L619" s="28"/>
      <c r="M619" s="28"/>
      <c r="N619" s="28"/>
      <c r="O619" s="28"/>
      <c r="P619" s="28"/>
      <c r="Q619" s="28"/>
      <c r="R619" s="28"/>
      <c r="S619" s="28"/>
      <c r="T619" s="28"/>
      <c r="U619" s="28"/>
      <c r="V619" s="28"/>
      <c r="W619" s="28"/>
      <c r="X619" s="28"/>
      <c r="Y619" s="28"/>
      <c r="Z619" s="28"/>
    </row>
    <row r="620" spans="1:26" ht="13.5" customHeight="1">
      <c r="A620" s="28"/>
      <c r="B620" s="29"/>
      <c r="C620" s="29"/>
      <c r="D620" s="29"/>
      <c r="E620" s="30"/>
      <c r="F620" s="28"/>
      <c r="G620" s="28"/>
      <c r="H620" s="28"/>
      <c r="I620" s="28"/>
      <c r="J620" s="28"/>
      <c r="K620" s="28"/>
      <c r="L620" s="28"/>
      <c r="M620" s="28"/>
      <c r="N620" s="28"/>
      <c r="O620" s="28"/>
      <c r="P620" s="28"/>
      <c r="Q620" s="28"/>
      <c r="R620" s="28"/>
      <c r="S620" s="28"/>
      <c r="T620" s="28"/>
      <c r="U620" s="28"/>
      <c r="V620" s="28"/>
      <c r="W620" s="28"/>
      <c r="X620" s="28"/>
      <c r="Y620" s="28"/>
      <c r="Z620" s="28"/>
    </row>
    <row r="621" spans="1:26" ht="13.5" customHeight="1">
      <c r="A621" s="28"/>
      <c r="B621" s="29"/>
      <c r="C621" s="29"/>
      <c r="D621" s="29"/>
      <c r="E621" s="30"/>
      <c r="F621" s="28"/>
      <c r="G621" s="28"/>
      <c r="H621" s="28"/>
      <c r="I621" s="28"/>
      <c r="J621" s="28"/>
      <c r="K621" s="28"/>
      <c r="L621" s="28"/>
      <c r="M621" s="28"/>
      <c r="N621" s="28"/>
      <c r="O621" s="28"/>
      <c r="P621" s="28"/>
      <c r="Q621" s="28"/>
      <c r="R621" s="28"/>
      <c r="S621" s="28"/>
      <c r="T621" s="28"/>
      <c r="U621" s="28"/>
      <c r="V621" s="28"/>
      <c r="W621" s="28"/>
      <c r="X621" s="28"/>
      <c r="Y621" s="28"/>
      <c r="Z621" s="28"/>
    </row>
    <row r="622" spans="1:26" ht="13.5" customHeight="1">
      <c r="A622" s="28"/>
      <c r="B622" s="29"/>
      <c r="C622" s="29"/>
      <c r="D622" s="29"/>
      <c r="E622" s="30"/>
      <c r="F622" s="28"/>
      <c r="G622" s="28"/>
      <c r="H622" s="28"/>
      <c r="I622" s="28"/>
      <c r="J622" s="28"/>
      <c r="K622" s="28"/>
      <c r="L622" s="28"/>
      <c r="M622" s="28"/>
      <c r="N622" s="28"/>
      <c r="O622" s="28"/>
      <c r="P622" s="28"/>
      <c r="Q622" s="28"/>
      <c r="R622" s="28"/>
      <c r="S622" s="28"/>
      <c r="T622" s="28"/>
      <c r="U622" s="28"/>
      <c r="V622" s="28"/>
      <c r="W622" s="28"/>
      <c r="X622" s="28"/>
      <c r="Y622" s="28"/>
      <c r="Z622" s="28"/>
    </row>
    <row r="623" spans="1:26" ht="13.5" customHeight="1">
      <c r="A623" s="28"/>
      <c r="B623" s="29"/>
      <c r="C623" s="29"/>
      <c r="D623" s="29"/>
      <c r="E623" s="30"/>
      <c r="F623" s="28"/>
      <c r="G623" s="28"/>
      <c r="H623" s="28"/>
      <c r="I623" s="28"/>
      <c r="J623" s="28"/>
      <c r="K623" s="28"/>
      <c r="L623" s="28"/>
      <c r="M623" s="28"/>
      <c r="N623" s="28"/>
      <c r="O623" s="28"/>
      <c r="P623" s="28"/>
      <c r="Q623" s="28"/>
      <c r="R623" s="28"/>
      <c r="S623" s="28"/>
      <c r="T623" s="28"/>
      <c r="U623" s="28"/>
      <c r="V623" s="28"/>
      <c r="W623" s="28"/>
      <c r="X623" s="28"/>
      <c r="Y623" s="28"/>
      <c r="Z623" s="28"/>
    </row>
    <row r="624" spans="1:26" ht="13.5" customHeight="1">
      <c r="A624" s="28"/>
      <c r="B624" s="29"/>
      <c r="C624" s="29"/>
      <c r="D624" s="29"/>
      <c r="E624" s="30"/>
      <c r="F624" s="28"/>
      <c r="G624" s="28"/>
      <c r="H624" s="28"/>
      <c r="I624" s="28"/>
      <c r="J624" s="28"/>
      <c r="K624" s="28"/>
      <c r="L624" s="28"/>
      <c r="M624" s="28"/>
      <c r="N624" s="28"/>
      <c r="O624" s="28"/>
      <c r="P624" s="28"/>
      <c r="Q624" s="28"/>
      <c r="R624" s="28"/>
      <c r="S624" s="28"/>
      <c r="T624" s="28"/>
      <c r="U624" s="28"/>
      <c r="V624" s="28"/>
      <c r="W624" s="28"/>
      <c r="X624" s="28"/>
      <c r="Y624" s="28"/>
      <c r="Z624" s="28"/>
    </row>
    <row r="625" spans="1:26" ht="13.5" customHeight="1">
      <c r="A625" s="28"/>
      <c r="B625" s="29"/>
      <c r="C625" s="29"/>
      <c r="D625" s="29"/>
      <c r="E625" s="30"/>
      <c r="F625" s="28"/>
      <c r="G625" s="28"/>
      <c r="H625" s="28"/>
      <c r="I625" s="28"/>
      <c r="J625" s="28"/>
      <c r="K625" s="28"/>
      <c r="L625" s="28"/>
      <c r="M625" s="28"/>
      <c r="N625" s="28"/>
      <c r="O625" s="28"/>
      <c r="P625" s="28"/>
      <c r="Q625" s="28"/>
      <c r="R625" s="28"/>
      <c r="S625" s="28"/>
      <c r="T625" s="28"/>
      <c r="U625" s="28"/>
      <c r="V625" s="28"/>
      <c r="W625" s="28"/>
      <c r="X625" s="28"/>
      <c r="Y625" s="28"/>
      <c r="Z625" s="28"/>
    </row>
    <row r="626" spans="1:26" ht="13.5" customHeight="1">
      <c r="A626" s="28"/>
      <c r="B626" s="29"/>
      <c r="C626" s="29"/>
      <c r="D626" s="29"/>
      <c r="E626" s="30"/>
      <c r="F626" s="28"/>
      <c r="G626" s="28"/>
      <c r="H626" s="28"/>
      <c r="I626" s="28"/>
      <c r="J626" s="28"/>
      <c r="K626" s="28"/>
      <c r="L626" s="28"/>
      <c r="M626" s="28"/>
      <c r="N626" s="28"/>
      <c r="O626" s="28"/>
      <c r="P626" s="28"/>
      <c r="Q626" s="28"/>
      <c r="R626" s="28"/>
      <c r="S626" s="28"/>
      <c r="T626" s="28"/>
      <c r="U626" s="28"/>
      <c r="V626" s="28"/>
      <c r="W626" s="28"/>
      <c r="X626" s="28"/>
      <c r="Y626" s="28"/>
      <c r="Z626" s="28"/>
    </row>
    <row r="627" spans="1:26" ht="13.5" customHeight="1">
      <c r="A627" s="28"/>
      <c r="B627" s="29"/>
      <c r="C627" s="29"/>
      <c r="D627" s="29"/>
      <c r="E627" s="30"/>
      <c r="F627" s="28"/>
      <c r="G627" s="28"/>
      <c r="H627" s="28"/>
      <c r="I627" s="28"/>
      <c r="J627" s="28"/>
      <c r="K627" s="28"/>
      <c r="L627" s="28"/>
      <c r="M627" s="28"/>
      <c r="N627" s="28"/>
      <c r="O627" s="28"/>
      <c r="P627" s="28"/>
      <c r="Q627" s="28"/>
      <c r="R627" s="28"/>
      <c r="S627" s="28"/>
      <c r="T627" s="28"/>
      <c r="U627" s="28"/>
      <c r="V627" s="28"/>
      <c r="W627" s="28"/>
      <c r="X627" s="28"/>
      <c r="Y627" s="28"/>
      <c r="Z627" s="28"/>
    </row>
    <row r="628" spans="1:26" ht="13.5" customHeight="1">
      <c r="A628" s="28"/>
      <c r="B628" s="29"/>
      <c r="C628" s="29"/>
      <c r="D628" s="29"/>
      <c r="E628" s="30"/>
      <c r="F628" s="28"/>
      <c r="G628" s="28"/>
      <c r="H628" s="28"/>
      <c r="I628" s="28"/>
      <c r="J628" s="28"/>
      <c r="K628" s="28"/>
      <c r="L628" s="28"/>
      <c r="M628" s="28"/>
      <c r="N628" s="28"/>
      <c r="O628" s="28"/>
      <c r="P628" s="28"/>
      <c r="Q628" s="28"/>
      <c r="R628" s="28"/>
      <c r="S628" s="28"/>
      <c r="T628" s="28"/>
      <c r="U628" s="28"/>
      <c r="V628" s="28"/>
      <c r="W628" s="28"/>
      <c r="X628" s="28"/>
      <c r="Y628" s="28"/>
      <c r="Z628" s="28"/>
    </row>
    <row r="629" spans="1:26" ht="13.5" customHeight="1">
      <c r="A629" s="28"/>
      <c r="B629" s="29"/>
      <c r="C629" s="29"/>
      <c r="D629" s="29"/>
      <c r="E629" s="30"/>
      <c r="F629" s="28"/>
      <c r="G629" s="28"/>
      <c r="H629" s="28"/>
      <c r="I629" s="28"/>
      <c r="J629" s="28"/>
      <c r="K629" s="28"/>
      <c r="L629" s="28"/>
      <c r="M629" s="28"/>
      <c r="N629" s="28"/>
      <c r="O629" s="28"/>
      <c r="P629" s="28"/>
      <c r="Q629" s="28"/>
      <c r="R629" s="28"/>
      <c r="S629" s="28"/>
      <c r="T629" s="28"/>
      <c r="U629" s="28"/>
      <c r="V629" s="28"/>
      <c r="W629" s="28"/>
      <c r="X629" s="28"/>
      <c r="Y629" s="28"/>
      <c r="Z629" s="28"/>
    </row>
    <row r="630" spans="1:26" ht="13.5" customHeight="1">
      <c r="A630" s="28"/>
      <c r="B630" s="29"/>
      <c r="C630" s="29"/>
      <c r="D630" s="29"/>
      <c r="E630" s="30"/>
      <c r="F630" s="28"/>
      <c r="G630" s="28"/>
      <c r="H630" s="28"/>
      <c r="I630" s="28"/>
      <c r="J630" s="28"/>
      <c r="K630" s="28"/>
      <c r="L630" s="28"/>
      <c r="M630" s="28"/>
      <c r="N630" s="28"/>
      <c r="O630" s="28"/>
      <c r="P630" s="28"/>
      <c r="Q630" s="28"/>
      <c r="R630" s="28"/>
      <c r="S630" s="28"/>
      <c r="T630" s="28"/>
      <c r="U630" s="28"/>
      <c r="V630" s="28"/>
      <c r="W630" s="28"/>
      <c r="X630" s="28"/>
      <c r="Y630" s="28"/>
      <c r="Z630" s="28"/>
    </row>
    <row r="631" spans="1:26" ht="13.5" customHeight="1">
      <c r="A631" s="28"/>
      <c r="B631" s="29"/>
      <c r="C631" s="29"/>
      <c r="D631" s="29"/>
      <c r="E631" s="30"/>
      <c r="F631" s="28"/>
      <c r="G631" s="28"/>
      <c r="H631" s="28"/>
      <c r="I631" s="28"/>
      <c r="J631" s="28"/>
      <c r="K631" s="28"/>
      <c r="L631" s="28"/>
      <c r="M631" s="28"/>
      <c r="N631" s="28"/>
      <c r="O631" s="28"/>
      <c r="P631" s="28"/>
      <c r="Q631" s="28"/>
      <c r="R631" s="28"/>
      <c r="S631" s="28"/>
      <c r="T631" s="28"/>
      <c r="U631" s="28"/>
      <c r="V631" s="28"/>
      <c r="W631" s="28"/>
      <c r="X631" s="28"/>
      <c r="Y631" s="28"/>
      <c r="Z631" s="28"/>
    </row>
    <row r="632" spans="1:26" ht="13.5" customHeight="1">
      <c r="A632" s="28"/>
      <c r="B632" s="29"/>
      <c r="C632" s="29"/>
      <c r="D632" s="29"/>
      <c r="E632" s="30"/>
      <c r="F632" s="28"/>
      <c r="G632" s="28"/>
      <c r="H632" s="28"/>
      <c r="I632" s="28"/>
      <c r="J632" s="28"/>
      <c r="K632" s="28"/>
      <c r="L632" s="28"/>
      <c r="M632" s="28"/>
      <c r="N632" s="28"/>
      <c r="O632" s="28"/>
      <c r="P632" s="28"/>
      <c r="Q632" s="28"/>
      <c r="R632" s="28"/>
      <c r="S632" s="28"/>
      <c r="T632" s="28"/>
      <c r="U632" s="28"/>
      <c r="V632" s="28"/>
      <c r="W632" s="28"/>
      <c r="X632" s="28"/>
      <c r="Y632" s="28"/>
      <c r="Z632" s="28"/>
    </row>
    <row r="633" spans="1:26" ht="13.5" customHeight="1">
      <c r="A633" s="28"/>
      <c r="B633" s="29"/>
      <c r="C633" s="29"/>
      <c r="D633" s="29"/>
      <c r="E633" s="30"/>
      <c r="F633" s="28"/>
      <c r="G633" s="28"/>
      <c r="H633" s="28"/>
      <c r="I633" s="28"/>
      <c r="J633" s="28"/>
      <c r="K633" s="28"/>
      <c r="L633" s="28"/>
      <c r="M633" s="28"/>
      <c r="N633" s="28"/>
      <c r="O633" s="28"/>
      <c r="P633" s="28"/>
      <c r="Q633" s="28"/>
      <c r="R633" s="28"/>
      <c r="S633" s="28"/>
      <c r="T633" s="28"/>
      <c r="U633" s="28"/>
      <c r="V633" s="28"/>
      <c r="W633" s="28"/>
      <c r="X633" s="28"/>
      <c r="Y633" s="28"/>
      <c r="Z633" s="28"/>
    </row>
    <row r="634" spans="1:26" ht="13.5" customHeight="1">
      <c r="A634" s="28"/>
      <c r="B634" s="29"/>
      <c r="C634" s="29"/>
      <c r="D634" s="29"/>
      <c r="E634" s="30"/>
      <c r="F634" s="28"/>
      <c r="G634" s="28"/>
      <c r="H634" s="28"/>
      <c r="I634" s="28"/>
      <c r="J634" s="28"/>
      <c r="K634" s="28"/>
      <c r="L634" s="28"/>
      <c r="M634" s="28"/>
      <c r="N634" s="28"/>
      <c r="O634" s="28"/>
      <c r="P634" s="28"/>
      <c r="Q634" s="28"/>
      <c r="R634" s="28"/>
      <c r="S634" s="28"/>
      <c r="T634" s="28"/>
      <c r="U634" s="28"/>
      <c r="V634" s="28"/>
      <c r="W634" s="28"/>
      <c r="X634" s="28"/>
      <c r="Y634" s="28"/>
      <c r="Z634" s="28"/>
    </row>
    <row r="635" spans="1:26" ht="13.5" customHeight="1">
      <c r="A635" s="28"/>
      <c r="B635" s="29"/>
      <c r="C635" s="29"/>
      <c r="D635" s="29"/>
      <c r="E635" s="30"/>
      <c r="F635" s="28"/>
      <c r="G635" s="28"/>
      <c r="H635" s="28"/>
      <c r="I635" s="28"/>
      <c r="J635" s="28"/>
      <c r="K635" s="28"/>
      <c r="L635" s="28"/>
      <c r="M635" s="28"/>
      <c r="N635" s="28"/>
      <c r="O635" s="28"/>
      <c r="P635" s="28"/>
      <c r="Q635" s="28"/>
      <c r="R635" s="28"/>
      <c r="S635" s="28"/>
      <c r="T635" s="28"/>
      <c r="U635" s="28"/>
      <c r="V635" s="28"/>
      <c r="W635" s="28"/>
      <c r="X635" s="28"/>
      <c r="Y635" s="28"/>
      <c r="Z635" s="28"/>
    </row>
    <row r="636" spans="1:26" ht="13.5" customHeight="1">
      <c r="A636" s="28"/>
      <c r="B636" s="29"/>
      <c r="C636" s="29"/>
      <c r="D636" s="29"/>
      <c r="E636" s="30"/>
      <c r="F636" s="28"/>
      <c r="G636" s="28"/>
      <c r="H636" s="28"/>
      <c r="I636" s="28"/>
      <c r="J636" s="28"/>
      <c r="K636" s="28"/>
      <c r="L636" s="28"/>
      <c r="M636" s="28"/>
      <c r="N636" s="28"/>
      <c r="O636" s="28"/>
      <c r="P636" s="28"/>
      <c r="Q636" s="28"/>
      <c r="R636" s="28"/>
      <c r="S636" s="28"/>
      <c r="T636" s="28"/>
      <c r="U636" s="28"/>
      <c r="V636" s="28"/>
      <c r="W636" s="28"/>
      <c r="X636" s="28"/>
      <c r="Y636" s="28"/>
      <c r="Z636" s="28"/>
    </row>
    <row r="637" spans="1:26" ht="13.5" customHeight="1">
      <c r="A637" s="28"/>
      <c r="B637" s="29"/>
      <c r="C637" s="29"/>
      <c r="D637" s="29"/>
      <c r="E637" s="30"/>
      <c r="F637" s="28"/>
      <c r="G637" s="28"/>
      <c r="H637" s="28"/>
      <c r="I637" s="28"/>
      <c r="J637" s="28"/>
      <c r="K637" s="28"/>
      <c r="L637" s="28"/>
      <c r="M637" s="28"/>
      <c r="N637" s="28"/>
      <c r="O637" s="28"/>
      <c r="P637" s="28"/>
      <c r="Q637" s="28"/>
      <c r="R637" s="28"/>
      <c r="S637" s="28"/>
      <c r="T637" s="28"/>
      <c r="U637" s="28"/>
      <c r="V637" s="28"/>
      <c r="W637" s="28"/>
      <c r="X637" s="28"/>
      <c r="Y637" s="28"/>
      <c r="Z637" s="28"/>
    </row>
    <row r="638" spans="1:26" ht="13.5" customHeight="1">
      <c r="A638" s="28"/>
      <c r="B638" s="29"/>
      <c r="C638" s="29"/>
      <c r="D638" s="29"/>
      <c r="E638" s="30"/>
      <c r="F638" s="28"/>
      <c r="G638" s="28"/>
      <c r="H638" s="28"/>
      <c r="I638" s="28"/>
      <c r="J638" s="28"/>
      <c r="K638" s="28"/>
      <c r="L638" s="28"/>
      <c r="M638" s="28"/>
      <c r="N638" s="28"/>
      <c r="O638" s="28"/>
      <c r="P638" s="28"/>
      <c r="Q638" s="28"/>
      <c r="R638" s="28"/>
      <c r="S638" s="28"/>
      <c r="T638" s="28"/>
      <c r="U638" s="28"/>
      <c r="V638" s="28"/>
      <c r="W638" s="28"/>
      <c r="X638" s="28"/>
      <c r="Y638" s="28"/>
      <c r="Z638" s="28"/>
    </row>
    <row r="639" spans="1:26" ht="13.5" customHeight="1">
      <c r="A639" s="28"/>
      <c r="B639" s="29"/>
      <c r="C639" s="29"/>
      <c r="D639" s="29"/>
      <c r="E639" s="30"/>
      <c r="F639" s="28"/>
      <c r="G639" s="28"/>
      <c r="H639" s="28"/>
      <c r="I639" s="28"/>
      <c r="J639" s="28"/>
      <c r="K639" s="28"/>
      <c r="L639" s="28"/>
      <c r="M639" s="28"/>
      <c r="N639" s="28"/>
      <c r="O639" s="28"/>
      <c r="P639" s="28"/>
      <c r="Q639" s="28"/>
      <c r="R639" s="28"/>
      <c r="S639" s="28"/>
      <c r="T639" s="28"/>
      <c r="U639" s="28"/>
      <c r="V639" s="28"/>
      <c r="W639" s="28"/>
      <c r="X639" s="28"/>
      <c r="Y639" s="28"/>
      <c r="Z639" s="28"/>
    </row>
    <row r="640" spans="1:26" ht="13.5" customHeight="1">
      <c r="A640" s="28"/>
      <c r="B640" s="29"/>
      <c r="C640" s="29"/>
      <c r="D640" s="29"/>
      <c r="E640" s="30"/>
      <c r="F640" s="28"/>
      <c r="G640" s="28"/>
      <c r="H640" s="28"/>
      <c r="I640" s="28"/>
      <c r="J640" s="28"/>
      <c r="K640" s="28"/>
      <c r="L640" s="28"/>
      <c r="M640" s="28"/>
      <c r="N640" s="28"/>
      <c r="O640" s="28"/>
      <c r="P640" s="28"/>
      <c r="Q640" s="28"/>
      <c r="R640" s="28"/>
      <c r="S640" s="28"/>
      <c r="T640" s="28"/>
      <c r="U640" s="28"/>
      <c r="V640" s="28"/>
      <c r="W640" s="28"/>
      <c r="X640" s="28"/>
      <c r="Y640" s="28"/>
      <c r="Z640" s="28"/>
    </row>
    <row r="641" spans="1:26" ht="13.5" customHeight="1">
      <c r="A641" s="28"/>
      <c r="B641" s="29"/>
      <c r="C641" s="29"/>
      <c r="D641" s="29"/>
      <c r="E641" s="30"/>
      <c r="F641" s="28"/>
      <c r="G641" s="28"/>
      <c r="H641" s="28"/>
      <c r="I641" s="28"/>
      <c r="J641" s="28"/>
      <c r="K641" s="28"/>
      <c r="L641" s="28"/>
      <c r="M641" s="28"/>
      <c r="N641" s="28"/>
      <c r="O641" s="28"/>
      <c r="P641" s="28"/>
      <c r="Q641" s="28"/>
      <c r="R641" s="28"/>
      <c r="S641" s="28"/>
      <c r="T641" s="28"/>
      <c r="U641" s="28"/>
      <c r="V641" s="28"/>
      <c r="W641" s="28"/>
      <c r="X641" s="28"/>
      <c r="Y641" s="28"/>
      <c r="Z641" s="28"/>
    </row>
    <row r="642" spans="1:26" ht="13.5" customHeight="1">
      <c r="A642" s="28"/>
      <c r="B642" s="29"/>
      <c r="C642" s="29"/>
      <c r="D642" s="29"/>
      <c r="E642" s="30"/>
      <c r="F642" s="28"/>
      <c r="G642" s="28"/>
      <c r="H642" s="28"/>
      <c r="I642" s="28"/>
      <c r="J642" s="28"/>
      <c r="K642" s="28"/>
      <c r="L642" s="28"/>
      <c r="M642" s="28"/>
      <c r="N642" s="28"/>
      <c r="O642" s="28"/>
      <c r="P642" s="28"/>
      <c r="Q642" s="28"/>
      <c r="R642" s="28"/>
      <c r="S642" s="28"/>
      <c r="T642" s="28"/>
      <c r="U642" s="28"/>
      <c r="V642" s="28"/>
      <c r="W642" s="28"/>
      <c r="X642" s="28"/>
      <c r="Y642" s="28"/>
      <c r="Z642" s="28"/>
    </row>
    <row r="643" spans="1:26" ht="13.5" customHeight="1">
      <c r="A643" s="28"/>
      <c r="B643" s="29"/>
      <c r="C643" s="29"/>
      <c r="D643" s="29"/>
      <c r="E643" s="30"/>
      <c r="F643" s="28"/>
      <c r="G643" s="28"/>
      <c r="H643" s="28"/>
      <c r="I643" s="28"/>
      <c r="J643" s="28"/>
      <c r="K643" s="28"/>
      <c r="L643" s="28"/>
      <c r="M643" s="28"/>
      <c r="N643" s="28"/>
      <c r="O643" s="28"/>
      <c r="P643" s="28"/>
      <c r="Q643" s="28"/>
      <c r="R643" s="28"/>
      <c r="S643" s="28"/>
      <c r="T643" s="28"/>
      <c r="U643" s="28"/>
      <c r="V643" s="28"/>
      <c r="W643" s="28"/>
      <c r="X643" s="28"/>
      <c r="Y643" s="28"/>
      <c r="Z643" s="28"/>
    </row>
    <row r="644" spans="1:26" ht="13.5" customHeight="1">
      <c r="A644" s="28"/>
      <c r="B644" s="29"/>
      <c r="C644" s="29"/>
      <c r="D644" s="29"/>
      <c r="E644" s="30"/>
      <c r="F644" s="28"/>
      <c r="G644" s="28"/>
      <c r="H644" s="28"/>
      <c r="I644" s="28"/>
      <c r="J644" s="28"/>
      <c r="K644" s="28"/>
      <c r="L644" s="28"/>
      <c r="M644" s="28"/>
      <c r="N644" s="28"/>
      <c r="O644" s="28"/>
      <c r="P644" s="28"/>
      <c r="Q644" s="28"/>
      <c r="R644" s="28"/>
      <c r="S644" s="28"/>
      <c r="T644" s="28"/>
      <c r="U644" s="28"/>
      <c r="V644" s="28"/>
      <c r="W644" s="28"/>
      <c r="X644" s="28"/>
      <c r="Y644" s="28"/>
      <c r="Z644" s="28"/>
    </row>
    <row r="645" spans="1:26" ht="13.5" customHeight="1">
      <c r="A645" s="28"/>
      <c r="B645" s="29"/>
      <c r="C645" s="29"/>
      <c r="D645" s="29"/>
      <c r="E645" s="30"/>
      <c r="F645" s="28"/>
      <c r="G645" s="28"/>
      <c r="H645" s="28"/>
      <c r="I645" s="28"/>
      <c r="J645" s="28"/>
      <c r="K645" s="28"/>
      <c r="L645" s="28"/>
      <c r="M645" s="28"/>
      <c r="N645" s="28"/>
      <c r="O645" s="28"/>
      <c r="P645" s="28"/>
      <c r="Q645" s="28"/>
      <c r="R645" s="28"/>
      <c r="S645" s="28"/>
      <c r="T645" s="28"/>
      <c r="U645" s="28"/>
      <c r="V645" s="28"/>
      <c r="W645" s="28"/>
      <c r="X645" s="28"/>
      <c r="Y645" s="28"/>
      <c r="Z645" s="28"/>
    </row>
    <row r="646" spans="1:26" ht="13.5" customHeight="1">
      <c r="A646" s="28"/>
      <c r="B646" s="29"/>
      <c r="C646" s="29"/>
      <c r="D646" s="29"/>
      <c r="E646" s="30"/>
      <c r="F646" s="28"/>
      <c r="G646" s="28"/>
      <c r="H646" s="28"/>
      <c r="I646" s="28"/>
      <c r="J646" s="28"/>
      <c r="K646" s="28"/>
      <c r="L646" s="28"/>
      <c r="M646" s="28"/>
      <c r="N646" s="28"/>
      <c r="O646" s="28"/>
      <c r="P646" s="28"/>
      <c r="Q646" s="28"/>
      <c r="R646" s="28"/>
      <c r="S646" s="28"/>
      <c r="T646" s="28"/>
      <c r="U646" s="28"/>
      <c r="V646" s="28"/>
      <c r="W646" s="28"/>
      <c r="X646" s="28"/>
      <c r="Y646" s="28"/>
      <c r="Z646" s="28"/>
    </row>
    <row r="647" spans="1:26" ht="13.5" customHeight="1">
      <c r="A647" s="28"/>
      <c r="B647" s="29"/>
      <c r="C647" s="29"/>
      <c r="D647" s="29"/>
      <c r="E647" s="30"/>
      <c r="F647" s="28"/>
      <c r="G647" s="28"/>
      <c r="H647" s="28"/>
      <c r="I647" s="28"/>
      <c r="J647" s="28"/>
      <c r="K647" s="28"/>
      <c r="L647" s="28"/>
      <c r="M647" s="28"/>
      <c r="N647" s="28"/>
      <c r="O647" s="28"/>
      <c r="P647" s="28"/>
      <c r="Q647" s="28"/>
      <c r="R647" s="28"/>
      <c r="S647" s="28"/>
      <c r="T647" s="28"/>
      <c r="U647" s="28"/>
      <c r="V647" s="28"/>
      <c r="W647" s="28"/>
      <c r="X647" s="28"/>
      <c r="Y647" s="28"/>
      <c r="Z647" s="28"/>
    </row>
    <row r="648" spans="1:26" ht="13.5" customHeight="1">
      <c r="A648" s="28"/>
      <c r="B648" s="29"/>
      <c r="C648" s="29"/>
      <c r="D648" s="29"/>
      <c r="E648" s="30"/>
      <c r="F648" s="28"/>
      <c r="G648" s="28"/>
      <c r="H648" s="28"/>
      <c r="I648" s="28"/>
      <c r="J648" s="28"/>
      <c r="K648" s="28"/>
      <c r="L648" s="28"/>
      <c r="M648" s="28"/>
      <c r="N648" s="28"/>
      <c r="O648" s="28"/>
      <c r="P648" s="28"/>
      <c r="Q648" s="28"/>
      <c r="R648" s="28"/>
      <c r="S648" s="28"/>
      <c r="T648" s="28"/>
      <c r="U648" s="28"/>
      <c r="V648" s="28"/>
      <c r="W648" s="28"/>
      <c r="X648" s="28"/>
      <c r="Y648" s="28"/>
      <c r="Z648" s="28"/>
    </row>
    <row r="649" spans="1:26" ht="13.5" customHeight="1">
      <c r="A649" s="28"/>
      <c r="B649" s="29"/>
      <c r="C649" s="29"/>
      <c r="D649" s="29"/>
      <c r="E649" s="30"/>
      <c r="F649" s="28"/>
      <c r="G649" s="28"/>
      <c r="H649" s="28"/>
      <c r="I649" s="28"/>
      <c r="J649" s="28"/>
      <c r="K649" s="28"/>
      <c r="L649" s="28"/>
      <c r="M649" s="28"/>
      <c r="N649" s="28"/>
      <c r="O649" s="28"/>
      <c r="P649" s="28"/>
      <c r="Q649" s="28"/>
      <c r="R649" s="28"/>
      <c r="S649" s="28"/>
      <c r="T649" s="28"/>
      <c r="U649" s="28"/>
      <c r="V649" s="28"/>
      <c r="W649" s="28"/>
      <c r="X649" s="28"/>
      <c r="Y649" s="28"/>
      <c r="Z649" s="28"/>
    </row>
    <row r="650" spans="1:26" ht="13.5" customHeight="1">
      <c r="A650" s="28"/>
      <c r="B650" s="29"/>
      <c r="C650" s="29"/>
      <c r="D650" s="29"/>
      <c r="E650" s="30"/>
      <c r="F650" s="28"/>
      <c r="G650" s="28"/>
      <c r="H650" s="28"/>
      <c r="I650" s="28"/>
      <c r="J650" s="28"/>
      <c r="K650" s="28"/>
      <c r="L650" s="28"/>
      <c r="M650" s="28"/>
      <c r="N650" s="28"/>
      <c r="O650" s="28"/>
      <c r="P650" s="28"/>
      <c r="Q650" s="28"/>
      <c r="R650" s="28"/>
      <c r="S650" s="28"/>
      <c r="T650" s="28"/>
      <c r="U650" s="28"/>
      <c r="V650" s="28"/>
      <c r="W650" s="28"/>
      <c r="X650" s="28"/>
      <c r="Y650" s="28"/>
      <c r="Z650" s="28"/>
    </row>
    <row r="651" spans="1:26" ht="13.5" customHeight="1">
      <c r="A651" s="28"/>
      <c r="B651" s="29"/>
      <c r="C651" s="29"/>
      <c r="D651" s="29"/>
      <c r="E651" s="30"/>
      <c r="F651" s="28"/>
      <c r="G651" s="28"/>
      <c r="H651" s="28"/>
      <c r="I651" s="28"/>
      <c r="J651" s="28"/>
      <c r="K651" s="28"/>
      <c r="L651" s="28"/>
      <c r="M651" s="28"/>
      <c r="N651" s="28"/>
      <c r="O651" s="28"/>
      <c r="P651" s="28"/>
      <c r="Q651" s="28"/>
      <c r="R651" s="28"/>
      <c r="S651" s="28"/>
      <c r="T651" s="28"/>
      <c r="U651" s="28"/>
      <c r="V651" s="28"/>
      <c r="W651" s="28"/>
      <c r="X651" s="28"/>
      <c r="Y651" s="28"/>
      <c r="Z651" s="28"/>
    </row>
    <row r="652" spans="1:26" ht="13.5" customHeight="1">
      <c r="A652" s="28"/>
      <c r="B652" s="29"/>
      <c r="C652" s="29"/>
      <c r="D652" s="29"/>
      <c r="E652" s="30"/>
      <c r="F652" s="28"/>
      <c r="G652" s="28"/>
      <c r="H652" s="28"/>
      <c r="I652" s="28"/>
      <c r="J652" s="28"/>
      <c r="K652" s="28"/>
      <c r="L652" s="28"/>
      <c r="M652" s="28"/>
      <c r="N652" s="28"/>
      <c r="O652" s="28"/>
      <c r="P652" s="28"/>
      <c r="Q652" s="28"/>
      <c r="R652" s="28"/>
      <c r="S652" s="28"/>
      <c r="T652" s="28"/>
      <c r="U652" s="28"/>
      <c r="V652" s="28"/>
      <c r="W652" s="28"/>
      <c r="X652" s="28"/>
      <c r="Y652" s="28"/>
      <c r="Z652" s="28"/>
    </row>
    <row r="653" spans="1:26" ht="13.5" customHeight="1">
      <c r="A653" s="28"/>
      <c r="B653" s="29"/>
      <c r="C653" s="29"/>
      <c r="D653" s="29"/>
      <c r="E653" s="30"/>
      <c r="F653" s="28"/>
      <c r="G653" s="28"/>
      <c r="H653" s="28"/>
      <c r="I653" s="28"/>
      <c r="J653" s="28"/>
      <c r="K653" s="28"/>
      <c r="L653" s="28"/>
      <c r="M653" s="28"/>
      <c r="N653" s="28"/>
      <c r="O653" s="28"/>
      <c r="P653" s="28"/>
      <c r="Q653" s="28"/>
      <c r="R653" s="28"/>
      <c r="S653" s="28"/>
      <c r="T653" s="28"/>
      <c r="U653" s="28"/>
      <c r="V653" s="28"/>
      <c r="W653" s="28"/>
      <c r="X653" s="28"/>
      <c r="Y653" s="28"/>
      <c r="Z653" s="28"/>
    </row>
    <row r="654" spans="1:26" ht="13.5" customHeight="1">
      <c r="A654" s="28"/>
      <c r="B654" s="29"/>
      <c r="C654" s="29"/>
      <c r="D654" s="29"/>
      <c r="E654" s="30"/>
      <c r="F654" s="28"/>
      <c r="G654" s="28"/>
      <c r="H654" s="28"/>
      <c r="I654" s="28"/>
      <c r="J654" s="28"/>
      <c r="K654" s="28"/>
      <c r="L654" s="28"/>
      <c r="M654" s="28"/>
      <c r="N654" s="28"/>
      <c r="O654" s="28"/>
      <c r="P654" s="28"/>
      <c r="Q654" s="28"/>
      <c r="R654" s="28"/>
      <c r="S654" s="28"/>
      <c r="T654" s="28"/>
      <c r="U654" s="28"/>
      <c r="V654" s="28"/>
      <c r="W654" s="28"/>
      <c r="X654" s="28"/>
      <c r="Y654" s="28"/>
      <c r="Z654" s="28"/>
    </row>
    <row r="655" spans="1:26" ht="13.5" customHeight="1">
      <c r="A655" s="28"/>
      <c r="B655" s="29"/>
      <c r="C655" s="29"/>
      <c r="D655" s="29"/>
      <c r="E655" s="30"/>
      <c r="F655" s="28"/>
      <c r="G655" s="28"/>
      <c r="H655" s="28"/>
      <c r="I655" s="28"/>
      <c r="J655" s="28"/>
      <c r="K655" s="28"/>
      <c r="L655" s="28"/>
      <c r="M655" s="28"/>
      <c r="N655" s="28"/>
      <c r="O655" s="28"/>
      <c r="P655" s="28"/>
      <c r="Q655" s="28"/>
      <c r="R655" s="28"/>
      <c r="S655" s="28"/>
      <c r="T655" s="28"/>
      <c r="U655" s="28"/>
      <c r="V655" s="28"/>
      <c r="W655" s="28"/>
      <c r="X655" s="28"/>
      <c r="Y655" s="28"/>
      <c r="Z655" s="28"/>
    </row>
    <row r="656" spans="1:26" ht="13.5" customHeight="1">
      <c r="A656" s="28"/>
      <c r="B656" s="29"/>
      <c r="C656" s="29"/>
      <c r="D656" s="29"/>
      <c r="E656" s="30"/>
      <c r="F656" s="28"/>
      <c r="G656" s="28"/>
      <c r="H656" s="28"/>
      <c r="I656" s="28"/>
      <c r="J656" s="28"/>
      <c r="K656" s="28"/>
      <c r="L656" s="28"/>
      <c r="M656" s="28"/>
      <c r="N656" s="28"/>
      <c r="O656" s="28"/>
      <c r="P656" s="28"/>
      <c r="Q656" s="28"/>
      <c r="R656" s="28"/>
      <c r="S656" s="28"/>
      <c r="T656" s="28"/>
      <c r="U656" s="28"/>
      <c r="V656" s="28"/>
      <c r="W656" s="28"/>
      <c r="X656" s="28"/>
      <c r="Y656" s="28"/>
      <c r="Z656" s="28"/>
    </row>
    <row r="657" spans="1:26" ht="13.5" customHeight="1">
      <c r="A657" s="28"/>
      <c r="B657" s="29"/>
      <c r="C657" s="29"/>
      <c r="D657" s="29"/>
      <c r="E657" s="30"/>
      <c r="F657" s="28"/>
      <c r="G657" s="28"/>
      <c r="H657" s="28"/>
      <c r="I657" s="28"/>
      <c r="J657" s="28"/>
      <c r="K657" s="28"/>
      <c r="L657" s="28"/>
      <c r="M657" s="28"/>
      <c r="N657" s="28"/>
      <c r="O657" s="28"/>
      <c r="P657" s="28"/>
      <c r="Q657" s="28"/>
      <c r="R657" s="28"/>
      <c r="S657" s="28"/>
      <c r="T657" s="28"/>
      <c r="U657" s="28"/>
      <c r="V657" s="28"/>
      <c r="W657" s="28"/>
      <c r="X657" s="28"/>
      <c r="Y657" s="28"/>
      <c r="Z657" s="28"/>
    </row>
    <row r="658" spans="1:26" ht="13.5" customHeight="1">
      <c r="A658" s="28"/>
      <c r="B658" s="29"/>
      <c r="C658" s="29"/>
      <c r="D658" s="29"/>
      <c r="E658" s="30"/>
      <c r="F658" s="28"/>
      <c r="G658" s="28"/>
      <c r="H658" s="28"/>
      <c r="I658" s="28"/>
      <c r="J658" s="28"/>
      <c r="K658" s="28"/>
      <c r="L658" s="28"/>
      <c r="M658" s="28"/>
      <c r="N658" s="28"/>
      <c r="O658" s="28"/>
      <c r="P658" s="28"/>
      <c r="Q658" s="28"/>
      <c r="R658" s="28"/>
      <c r="S658" s="28"/>
      <c r="T658" s="28"/>
      <c r="U658" s="28"/>
      <c r="V658" s="28"/>
      <c r="W658" s="28"/>
      <c r="X658" s="28"/>
      <c r="Y658" s="28"/>
      <c r="Z658" s="28"/>
    </row>
    <row r="659" spans="1:26" ht="13.5" customHeight="1">
      <c r="A659" s="28"/>
      <c r="B659" s="29"/>
      <c r="C659" s="29"/>
      <c r="D659" s="29"/>
      <c r="E659" s="30"/>
      <c r="F659" s="28"/>
      <c r="G659" s="28"/>
      <c r="H659" s="28"/>
      <c r="I659" s="28"/>
      <c r="J659" s="28"/>
      <c r="K659" s="28"/>
      <c r="L659" s="28"/>
      <c r="M659" s="28"/>
      <c r="N659" s="28"/>
      <c r="O659" s="28"/>
      <c r="P659" s="28"/>
      <c r="Q659" s="28"/>
      <c r="R659" s="28"/>
      <c r="S659" s="28"/>
      <c r="T659" s="28"/>
      <c r="U659" s="28"/>
      <c r="V659" s="28"/>
      <c r="W659" s="28"/>
      <c r="X659" s="28"/>
      <c r="Y659" s="28"/>
      <c r="Z659" s="28"/>
    </row>
    <row r="660" spans="1:26" ht="13.5" customHeight="1">
      <c r="A660" s="28"/>
      <c r="B660" s="29"/>
      <c r="C660" s="29"/>
      <c r="D660" s="29"/>
      <c r="E660" s="30"/>
      <c r="F660" s="28"/>
      <c r="G660" s="28"/>
      <c r="H660" s="28"/>
      <c r="I660" s="28"/>
      <c r="J660" s="28"/>
      <c r="K660" s="28"/>
      <c r="L660" s="28"/>
      <c r="M660" s="28"/>
      <c r="N660" s="28"/>
      <c r="O660" s="28"/>
      <c r="P660" s="28"/>
      <c r="Q660" s="28"/>
      <c r="R660" s="28"/>
      <c r="S660" s="28"/>
      <c r="T660" s="28"/>
      <c r="U660" s="28"/>
      <c r="V660" s="28"/>
      <c r="W660" s="28"/>
      <c r="X660" s="28"/>
      <c r="Y660" s="28"/>
      <c r="Z660" s="28"/>
    </row>
    <row r="661" spans="1:26" ht="13.5" customHeight="1">
      <c r="A661" s="28"/>
      <c r="B661" s="29"/>
      <c r="C661" s="29"/>
      <c r="D661" s="29"/>
      <c r="E661" s="30"/>
      <c r="F661" s="28"/>
      <c r="G661" s="28"/>
      <c r="H661" s="28"/>
      <c r="I661" s="28"/>
      <c r="J661" s="28"/>
      <c r="K661" s="28"/>
      <c r="L661" s="28"/>
      <c r="M661" s="28"/>
      <c r="N661" s="28"/>
      <c r="O661" s="28"/>
      <c r="P661" s="28"/>
      <c r="Q661" s="28"/>
      <c r="R661" s="28"/>
      <c r="S661" s="28"/>
      <c r="T661" s="28"/>
      <c r="U661" s="28"/>
      <c r="V661" s="28"/>
      <c r="W661" s="28"/>
      <c r="X661" s="28"/>
      <c r="Y661" s="28"/>
      <c r="Z661" s="28"/>
    </row>
    <row r="662" spans="1:26" ht="13.5" customHeight="1">
      <c r="A662" s="28"/>
      <c r="B662" s="29"/>
      <c r="C662" s="29"/>
      <c r="D662" s="29"/>
      <c r="E662" s="30"/>
      <c r="F662" s="28"/>
      <c r="G662" s="28"/>
      <c r="H662" s="28"/>
      <c r="I662" s="28"/>
      <c r="J662" s="28"/>
      <c r="K662" s="28"/>
      <c r="L662" s="28"/>
      <c r="M662" s="28"/>
      <c r="N662" s="28"/>
      <c r="O662" s="28"/>
      <c r="P662" s="28"/>
      <c r="Q662" s="28"/>
      <c r="R662" s="28"/>
      <c r="S662" s="28"/>
      <c r="T662" s="28"/>
      <c r="U662" s="28"/>
      <c r="V662" s="28"/>
      <c r="W662" s="28"/>
      <c r="X662" s="28"/>
      <c r="Y662" s="28"/>
      <c r="Z662" s="28"/>
    </row>
    <row r="663" spans="1:26" ht="13.5" customHeight="1">
      <c r="A663" s="28"/>
      <c r="B663" s="29"/>
      <c r="C663" s="29"/>
      <c r="D663" s="29"/>
      <c r="E663" s="30"/>
      <c r="F663" s="28"/>
      <c r="G663" s="28"/>
      <c r="H663" s="28"/>
      <c r="I663" s="28"/>
      <c r="J663" s="28"/>
      <c r="K663" s="28"/>
      <c r="L663" s="28"/>
      <c r="M663" s="28"/>
      <c r="N663" s="28"/>
      <c r="O663" s="28"/>
      <c r="P663" s="28"/>
      <c r="Q663" s="28"/>
      <c r="R663" s="28"/>
      <c r="S663" s="28"/>
      <c r="T663" s="28"/>
      <c r="U663" s="28"/>
      <c r="V663" s="28"/>
      <c r="W663" s="28"/>
      <c r="X663" s="28"/>
      <c r="Y663" s="28"/>
      <c r="Z663" s="28"/>
    </row>
    <row r="664" spans="1:26" ht="13.5" customHeight="1">
      <c r="A664" s="28"/>
      <c r="B664" s="29"/>
      <c r="C664" s="29"/>
      <c r="D664" s="29"/>
      <c r="E664" s="30"/>
      <c r="F664" s="28"/>
      <c r="G664" s="28"/>
      <c r="H664" s="28"/>
      <c r="I664" s="28"/>
      <c r="J664" s="28"/>
      <c r="K664" s="28"/>
      <c r="L664" s="28"/>
      <c r="M664" s="28"/>
      <c r="N664" s="28"/>
      <c r="O664" s="28"/>
      <c r="P664" s="28"/>
      <c r="Q664" s="28"/>
      <c r="R664" s="28"/>
      <c r="S664" s="28"/>
      <c r="T664" s="28"/>
      <c r="U664" s="28"/>
      <c r="V664" s="28"/>
      <c r="W664" s="28"/>
      <c r="X664" s="28"/>
      <c r="Y664" s="28"/>
      <c r="Z664" s="28"/>
    </row>
    <row r="665" spans="1:26" ht="13.5" customHeight="1">
      <c r="A665" s="28"/>
      <c r="B665" s="29"/>
      <c r="C665" s="29"/>
      <c r="D665" s="29"/>
      <c r="E665" s="30"/>
      <c r="F665" s="28"/>
      <c r="G665" s="28"/>
      <c r="H665" s="28"/>
      <c r="I665" s="28"/>
      <c r="J665" s="28"/>
      <c r="K665" s="28"/>
      <c r="L665" s="28"/>
      <c r="M665" s="28"/>
      <c r="N665" s="28"/>
      <c r="O665" s="28"/>
      <c r="P665" s="28"/>
      <c r="Q665" s="28"/>
      <c r="R665" s="28"/>
      <c r="S665" s="28"/>
      <c r="T665" s="28"/>
      <c r="U665" s="28"/>
      <c r="V665" s="28"/>
      <c r="W665" s="28"/>
      <c r="X665" s="28"/>
      <c r="Y665" s="28"/>
      <c r="Z665" s="28"/>
    </row>
    <row r="666" spans="1:26" ht="13.5" customHeight="1">
      <c r="A666" s="28"/>
      <c r="B666" s="29"/>
      <c r="C666" s="29"/>
      <c r="D666" s="29"/>
      <c r="E666" s="30"/>
      <c r="F666" s="28"/>
      <c r="G666" s="28"/>
      <c r="H666" s="28"/>
      <c r="I666" s="28"/>
      <c r="J666" s="28"/>
      <c r="K666" s="28"/>
      <c r="L666" s="28"/>
      <c r="M666" s="28"/>
      <c r="N666" s="28"/>
      <c r="O666" s="28"/>
      <c r="P666" s="28"/>
      <c r="Q666" s="28"/>
      <c r="R666" s="28"/>
      <c r="S666" s="28"/>
      <c r="T666" s="28"/>
      <c r="U666" s="28"/>
      <c r="V666" s="28"/>
      <c r="W666" s="28"/>
      <c r="X666" s="28"/>
      <c r="Y666" s="28"/>
      <c r="Z666" s="28"/>
    </row>
    <row r="667" spans="1:26" ht="13.5" customHeight="1">
      <c r="A667" s="28"/>
      <c r="B667" s="29"/>
      <c r="C667" s="29"/>
      <c r="D667" s="29"/>
      <c r="E667" s="30"/>
      <c r="F667" s="28"/>
      <c r="G667" s="28"/>
      <c r="H667" s="28"/>
      <c r="I667" s="28"/>
      <c r="J667" s="28"/>
      <c r="K667" s="28"/>
      <c r="L667" s="28"/>
      <c r="M667" s="28"/>
      <c r="N667" s="28"/>
      <c r="O667" s="28"/>
      <c r="P667" s="28"/>
      <c r="Q667" s="28"/>
      <c r="R667" s="28"/>
      <c r="S667" s="28"/>
      <c r="T667" s="28"/>
      <c r="U667" s="28"/>
      <c r="V667" s="28"/>
      <c r="W667" s="28"/>
      <c r="X667" s="28"/>
      <c r="Y667" s="28"/>
      <c r="Z667" s="28"/>
    </row>
    <row r="668" spans="1:26" ht="13.5" customHeight="1">
      <c r="A668" s="28"/>
      <c r="B668" s="29"/>
      <c r="C668" s="29"/>
      <c r="D668" s="29"/>
      <c r="E668" s="30"/>
      <c r="F668" s="28"/>
      <c r="G668" s="28"/>
      <c r="H668" s="28"/>
      <c r="I668" s="28"/>
      <c r="J668" s="28"/>
      <c r="K668" s="28"/>
      <c r="L668" s="28"/>
      <c r="M668" s="28"/>
      <c r="N668" s="28"/>
      <c r="O668" s="28"/>
      <c r="P668" s="28"/>
      <c r="Q668" s="28"/>
      <c r="R668" s="28"/>
      <c r="S668" s="28"/>
      <c r="T668" s="28"/>
      <c r="U668" s="28"/>
      <c r="V668" s="28"/>
      <c r="W668" s="28"/>
      <c r="X668" s="28"/>
      <c r="Y668" s="28"/>
      <c r="Z668" s="28"/>
    </row>
    <row r="669" spans="1:26" ht="13.5" customHeight="1">
      <c r="A669" s="28"/>
      <c r="B669" s="29"/>
      <c r="C669" s="29"/>
      <c r="D669" s="29"/>
      <c r="E669" s="30"/>
      <c r="F669" s="28"/>
      <c r="G669" s="28"/>
      <c r="H669" s="28"/>
      <c r="I669" s="28"/>
      <c r="J669" s="28"/>
      <c r="K669" s="28"/>
      <c r="L669" s="28"/>
      <c r="M669" s="28"/>
      <c r="N669" s="28"/>
      <c r="O669" s="28"/>
      <c r="P669" s="28"/>
      <c r="Q669" s="28"/>
      <c r="R669" s="28"/>
      <c r="S669" s="28"/>
      <c r="T669" s="28"/>
      <c r="U669" s="28"/>
      <c r="V669" s="28"/>
      <c r="W669" s="28"/>
      <c r="X669" s="28"/>
      <c r="Y669" s="28"/>
      <c r="Z669" s="28"/>
    </row>
    <row r="670" spans="1:26" ht="13.5" customHeight="1">
      <c r="A670" s="28"/>
      <c r="B670" s="29"/>
      <c r="C670" s="29"/>
      <c r="D670" s="29"/>
      <c r="E670" s="30"/>
      <c r="F670" s="28"/>
      <c r="G670" s="28"/>
      <c r="H670" s="28"/>
      <c r="I670" s="28"/>
      <c r="J670" s="28"/>
      <c r="K670" s="28"/>
      <c r="L670" s="28"/>
      <c r="M670" s="28"/>
      <c r="N670" s="28"/>
      <c r="O670" s="28"/>
      <c r="P670" s="28"/>
      <c r="Q670" s="28"/>
      <c r="R670" s="28"/>
      <c r="S670" s="28"/>
      <c r="T670" s="28"/>
      <c r="U670" s="28"/>
      <c r="V670" s="28"/>
      <c r="W670" s="28"/>
      <c r="X670" s="28"/>
      <c r="Y670" s="28"/>
      <c r="Z670" s="28"/>
    </row>
    <row r="671" spans="1:26" ht="13.5" customHeight="1">
      <c r="A671" s="28"/>
      <c r="B671" s="29"/>
      <c r="C671" s="29"/>
      <c r="D671" s="29"/>
      <c r="E671" s="30"/>
      <c r="F671" s="28"/>
      <c r="G671" s="28"/>
      <c r="H671" s="28"/>
      <c r="I671" s="28"/>
      <c r="J671" s="28"/>
      <c r="K671" s="28"/>
      <c r="L671" s="28"/>
      <c r="M671" s="28"/>
      <c r="N671" s="28"/>
      <c r="O671" s="28"/>
      <c r="P671" s="28"/>
      <c r="Q671" s="28"/>
      <c r="R671" s="28"/>
      <c r="S671" s="28"/>
      <c r="T671" s="28"/>
      <c r="U671" s="28"/>
      <c r="V671" s="28"/>
      <c r="W671" s="28"/>
      <c r="X671" s="28"/>
      <c r="Y671" s="28"/>
      <c r="Z671" s="28"/>
    </row>
    <row r="672" spans="1:26" ht="13.5" customHeight="1">
      <c r="A672" s="28"/>
      <c r="B672" s="29"/>
      <c r="C672" s="29"/>
      <c r="D672" s="29"/>
      <c r="E672" s="30"/>
      <c r="F672" s="28"/>
      <c r="G672" s="28"/>
      <c r="H672" s="28"/>
      <c r="I672" s="28"/>
      <c r="J672" s="28"/>
      <c r="K672" s="28"/>
      <c r="L672" s="28"/>
      <c r="M672" s="28"/>
      <c r="N672" s="28"/>
      <c r="O672" s="28"/>
      <c r="P672" s="28"/>
      <c r="Q672" s="28"/>
      <c r="R672" s="28"/>
      <c r="S672" s="28"/>
      <c r="T672" s="28"/>
      <c r="U672" s="28"/>
      <c r="V672" s="28"/>
      <c r="W672" s="28"/>
      <c r="X672" s="28"/>
      <c r="Y672" s="28"/>
      <c r="Z672" s="28"/>
    </row>
    <row r="673" spans="1:26" ht="13.5" customHeight="1">
      <c r="A673" s="28"/>
      <c r="B673" s="29"/>
      <c r="C673" s="29"/>
      <c r="D673" s="29"/>
      <c r="E673" s="30"/>
      <c r="F673" s="28"/>
      <c r="G673" s="28"/>
      <c r="H673" s="28"/>
      <c r="I673" s="28"/>
      <c r="J673" s="28"/>
      <c r="K673" s="28"/>
      <c r="L673" s="28"/>
      <c r="M673" s="28"/>
      <c r="N673" s="28"/>
      <c r="O673" s="28"/>
      <c r="P673" s="28"/>
      <c r="Q673" s="28"/>
      <c r="R673" s="28"/>
      <c r="S673" s="28"/>
      <c r="T673" s="28"/>
      <c r="U673" s="28"/>
      <c r="V673" s="28"/>
      <c r="W673" s="28"/>
      <c r="X673" s="28"/>
      <c r="Y673" s="28"/>
      <c r="Z673" s="28"/>
    </row>
    <row r="674" spans="1:26" ht="13.5" customHeight="1">
      <c r="A674" s="28"/>
      <c r="B674" s="29"/>
      <c r="C674" s="29"/>
      <c r="D674" s="29"/>
      <c r="E674" s="30"/>
      <c r="F674" s="28"/>
      <c r="G674" s="28"/>
      <c r="H674" s="28"/>
      <c r="I674" s="28"/>
      <c r="J674" s="28"/>
      <c r="K674" s="28"/>
      <c r="L674" s="28"/>
      <c r="M674" s="28"/>
      <c r="N674" s="28"/>
      <c r="O674" s="28"/>
      <c r="P674" s="28"/>
      <c r="Q674" s="28"/>
      <c r="R674" s="28"/>
      <c r="S674" s="28"/>
      <c r="T674" s="28"/>
      <c r="U674" s="28"/>
      <c r="V674" s="28"/>
      <c r="W674" s="28"/>
      <c r="X674" s="28"/>
      <c r="Y674" s="28"/>
      <c r="Z674" s="28"/>
    </row>
    <row r="675" spans="1:26" ht="13.5" customHeight="1">
      <c r="A675" s="28"/>
      <c r="B675" s="29"/>
      <c r="C675" s="29"/>
      <c r="D675" s="29"/>
      <c r="E675" s="30"/>
      <c r="F675" s="28"/>
      <c r="G675" s="28"/>
      <c r="H675" s="28"/>
      <c r="I675" s="28"/>
      <c r="J675" s="28"/>
      <c r="K675" s="28"/>
      <c r="L675" s="28"/>
      <c r="M675" s="28"/>
      <c r="N675" s="28"/>
      <c r="O675" s="28"/>
      <c r="P675" s="28"/>
      <c r="Q675" s="28"/>
      <c r="R675" s="28"/>
      <c r="S675" s="28"/>
      <c r="T675" s="28"/>
      <c r="U675" s="28"/>
      <c r="V675" s="28"/>
      <c r="W675" s="28"/>
      <c r="X675" s="28"/>
      <c r="Y675" s="28"/>
      <c r="Z675" s="28"/>
    </row>
    <row r="676" spans="1:26" ht="13.5" customHeight="1">
      <c r="A676" s="28"/>
      <c r="B676" s="29"/>
      <c r="C676" s="29"/>
      <c r="D676" s="29"/>
      <c r="E676" s="30"/>
      <c r="F676" s="28"/>
      <c r="G676" s="28"/>
      <c r="H676" s="28"/>
      <c r="I676" s="28"/>
      <c r="J676" s="28"/>
      <c r="K676" s="28"/>
      <c r="L676" s="28"/>
      <c r="M676" s="28"/>
      <c r="N676" s="28"/>
      <c r="O676" s="28"/>
      <c r="P676" s="28"/>
      <c r="Q676" s="28"/>
      <c r="R676" s="28"/>
      <c r="S676" s="28"/>
      <c r="T676" s="28"/>
      <c r="U676" s="28"/>
      <c r="V676" s="28"/>
      <c r="W676" s="28"/>
      <c r="X676" s="28"/>
      <c r="Y676" s="28"/>
      <c r="Z676" s="28"/>
    </row>
    <row r="677" spans="1:26" ht="13.5" customHeight="1">
      <c r="A677" s="28"/>
      <c r="B677" s="29"/>
      <c r="C677" s="29"/>
      <c r="D677" s="29"/>
      <c r="E677" s="30"/>
      <c r="F677" s="28"/>
      <c r="G677" s="28"/>
      <c r="H677" s="28"/>
      <c r="I677" s="28"/>
      <c r="J677" s="28"/>
      <c r="K677" s="28"/>
      <c r="L677" s="28"/>
      <c r="M677" s="28"/>
      <c r="N677" s="28"/>
      <c r="O677" s="28"/>
      <c r="P677" s="28"/>
      <c r="Q677" s="28"/>
      <c r="R677" s="28"/>
      <c r="S677" s="28"/>
      <c r="T677" s="28"/>
      <c r="U677" s="28"/>
      <c r="V677" s="28"/>
      <c r="W677" s="28"/>
      <c r="X677" s="28"/>
      <c r="Y677" s="28"/>
      <c r="Z677" s="28"/>
    </row>
    <row r="678" spans="1:26" ht="13.5" customHeight="1">
      <c r="A678" s="28"/>
      <c r="B678" s="29"/>
      <c r="C678" s="29"/>
      <c r="D678" s="29"/>
      <c r="E678" s="30"/>
      <c r="F678" s="28"/>
      <c r="G678" s="28"/>
      <c r="H678" s="28"/>
      <c r="I678" s="28"/>
      <c r="J678" s="28"/>
      <c r="K678" s="28"/>
      <c r="L678" s="28"/>
      <c r="M678" s="28"/>
      <c r="N678" s="28"/>
      <c r="O678" s="28"/>
      <c r="P678" s="28"/>
      <c r="Q678" s="28"/>
      <c r="R678" s="28"/>
      <c r="S678" s="28"/>
      <c r="T678" s="28"/>
      <c r="U678" s="28"/>
      <c r="V678" s="28"/>
      <c r="W678" s="28"/>
      <c r="X678" s="28"/>
      <c r="Y678" s="28"/>
      <c r="Z678" s="28"/>
    </row>
    <row r="679" spans="1:26" ht="13.5" customHeight="1">
      <c r="A679" s="28"/>
      <c r="B679" s="29"/>
      <c r="C679" s="29"/>
      <c r="D679" s="29"/>
      <c r="E679" s="30"/>
      <c r="F679" s="28"/>
      <c r="G679" s="28"/>
      <c r="H679" s="28"/>
      <c r="I679" s="28"/>
      <c r="J679" s="28"/>
      <c r="K679" s="28"/>
      <c r="L679" s="28"/>
      <c r="M679" s="28"/>
      <c r="N679" s="28"/>
      <c r="O679" s="28"/>
      <c r="P679" s="28"/>
      <c r="Q679" s="28"/>
      <c r="R679" s="28"/>
      <c r="S679" s="28"/>
      <c r="T679" s="28"/>
      <c r="U679" s="28"/>
      <c r="V679" s="28"/>
      <c r="W679" s="28"/>
      <c r="X679" s="28"/>
      <c r="Y679" s="28"/>
      <c r="Z679" s="28"/>
    </row>
    <row r="680" spans="1:26" ht="13.5" customHeight="1">
      <c r="A680" s="28"/>
      <c r="B680" s="29"/>
      <c r="C680" s="29"/>
      <c r="D680" s="29"/>
      <c r="E680" s="30"/>
      <c r="F680" s="28"/>
      <c r="G680" s="28"/>
      <c r="H680" s="28"/>
      <c r="I680" s="28"/>
      <c r="J680" s="28"/>
      <c r="K680" s="28"/>
      <c r="L680" s="28"/>
      <c r="M680" s="28"/>
      <c r="N680" s="28"/>
      <c r="O680" s="28"/>
      <c r="P680" s="28"/>
      <c r="Q680" s="28"/>
      <c r="R680" s="28"/>
      <c r="S680" s="28"/>
      <c r="T680" s="28"/>
      <c r="U680" s="28"/>
      <c r="V680" s="28"/>
      <c r="W680" s="28"/>
      <c r="X680" s="28"/>
      <c r="Y680" s="28"/>
      <c r="Z680" s="28"/>
    </row>
    <row r="681" spans="1:26" ht="13.5" customHeight="1">
      <c r="A681" s="28"/>
      <c r="B681" s="29"/>
      <c r="C681" s="29"/>
      <c r="D681" s="29"/>
      <c r="E681" s="30"/>
      <c r="F681" s="28"/>
      <c r="G681" s="28"/>
      <c r="H681" s="28"/>
      <c r="I681" s="28"/>
      <c r="J681" s="28"/>
      <c r="K681" s="28"/>
      <c r="L681" s="28"/>
      <c r="M681" s="28"/>
      <c r="N681" s="28"/>
      <c r="O681" s="28"/>
      <c r="P681" s="28"/>
      <c r="Q681" s="28"/>
      <c r="R681" s="28"/>
      <c r="S681" s="28"/>
      <c r="T681" s="28"/>
      <c r="U681" s="28"/>
      <c r="V681" s="28"/>
      <c r="W681" s="28"/>
      <c r="X681" s="28"/>
      <c r="Y681" s="28"/>
      <c r="Z681" s="28"/>
    </row>
    <row r="682" spans="1:26" ht="13.5" customHeight="1">
      <c r="A682" s="28"/>
      <c r="B682" s="29"/>
      <c r="C682" s="29"/>
      <c r="D682" s="29"/>
      <c r="E682" s="30"/>
      <c r="F682" s="28"/>
      <c r="G682" s="28"/>
      <c r="H682" s="28"/>
      <c r="I682" s="28"/>
      <c r="J682" s="28"/>
      <c r="K682" s="28"/>
      <c r="L682" s="28"/>
      <c r="M682" s="28"/>
      <c r="N682" s="28"/>
      <c r="O682" s="28"/>
      <c r="P682" s="28"/>
      <c r="Q682" s="28"/>
      <c r="R682" s="28"/>
      <c r="S682" s="28"/>
      <c r="T682" s="28"/>
      <c r="U682" s="28"/>
      <c r="V682" s="28"/>
      <c r="W682" s="28"/>
      <c r="X682" s="28"/>
      <c r="Y682" s="28"/>
      <c r="Z682" s="28"/>
    </row>
    <row r="683" spans="1:26" ht="13.5" customHeight="1">
      <c r="A683" s="28"/>
      <c r="B683" s="29"/>
      <c r="C683" s="29"/>
      <c r="D683" s="29"/>
      <c r="E683" s="30"/>
      <c r="F683" s="28"/>
      <c r="G683" s="28"/>
      <c r="H683" s="28"/>
      <c r="I683" s="28"/>
      <c r="J683" s="28"/>
      <c r="K683" s="28"/>
      <c r="L683" s="28"/>
      <c r="M683" s="28"/>
      <c r="N683" s="28"/>
      <c r="O683" s="28"/>
      <c r="P683" s="28"/>
      <c r="Q683" s="28"/>
      <c r="R683" s="28"/>
      <c r="S683" s="28"/>
      <c r="T683" s="28"/>
      <c r="U683" s="28"/>
      <c r="V683" s="28"/>
      <c r="W683" s="28"/>
      <c r="X683" s="28"/>
      <c r="Y683" s="28"/>
      <c r="Z683" s="28"/>
    </row>
    <row r="684" spans="1:26" ht="13.5" customHeight="1">
      <c r="A684" s="28"/>
      <c r="B684" s="29"/>
      <c r="C684" s="29"/>
      <c r="D684" s="29"/>
      <c r="E684" s="30"/>
      <c r="F684" s="28"/>
      <c r="G684" s="28"/>
      <c r="H684" s="28"/>
      <c r="I684" s="28"/>
      <c r="J684" s="28"/>
      <c r="K684" s="28"/>
      <c r="L684" s="28"/>
      <c r="M684" s="28"/>
      <c r="N684" s="28"/>
      <c r="O684" s="28"/>
      <c r="P684" s="28"/>
      <c r="Q684" s="28"/>
      <c r="R684" s="28"/>
      <c r="S684" s="28"/>
      <c r="T684" s="28"/>
      <c r="U684" s="28"/>
      <c r="V684" s="28"/>
      <c r="W684" s="28"/>
      <c r="X684" s="28"/>
      <c r="Y684" s="28"/>
      <c r="Z684" s="28"/>
    </row>
    <row r="685" spans="1:26" ht="13.5" customHeight="1">
      <c r="A685" s="28"/>
      <c r="B685" s="29"/>
      <c r="C685" s="29"/>
      <c r="D685" s="29"/>
      <c r="E685" s="30"/>
      <c r="F685" s="28"/>
      <c r="G685" s="28"/>
      <c r="H685" s="28"/>
      <c r="I685" s="28"/>
      <c r="J685" s="28"/>
      <c r="K685" s="28"/>
      <c r="L685" s="28"/>
      <c r="M685" s="28"/>
      <c r="N685" s="28"/>
      <c r="O685" s="28"/>
      <c r="P685" s="28"/>
      <c r="Q685" s="28"/>
      <c r="R685" s="28"/>
      <c r="S685" s="28"/>
      <c r="T685" s="28"/>
      <c r="U685" s="28"/>
      <c r="V685" s="28"/>
      <c r="W685" s="28"/>
      <c r="X685" s="28"/>
      <c r="Y685" s="28"/>
      <c r="Z685" s="28"/>
    </row>
    <row r="686" spans="1:26" ht="13.5" customHeight="1">
      <c r="A686" s="28"/>
      <c r="B686" s="29"/>
      <c r="C686" s="29"/>
      <c r="D686" s="29"/>
      <c r="E686" s="30"/>
      <c r="F686" s="28"/>
      <c r="G686" s="28"/>
      <c r="H686" s="28"/>
      <c r="I686" s="28"/>
      <c r="J686" s="28"/>
      <c r="K686" s="28"/>
      <c r="L686" s="28"/>
      <c r="M686" s="28"/>
      <c r="N686" s="28"/>
      <c r="O686" s="28"/>
      <c r="P686" s="28"/>
      <c r="Q686" s="28"/>
      <c r="R686" s="28"/>
      <c r="S686" s="28"/>
      <c r="T686" s="28"/>
      <c r="U686" s="28"/>
      <c r="V686" s="28"/>
      <c r="W686" s="28"/>
      <c r="X686" s="28"/>
      <c r="Y686" s="28"/>
      <c r="Z686" s="28"/>
    </row>
    <row r="687" spans="1:26" ht="13.5" customHeight="1">
      <c r="A687" s="28"/>
      <c r="B687" s="29"/>
      <c r="C687" s="29"/>
      <c r="D687" s="29"/>
      <c r="E687" s="30"/>
      <c r="F687" s="28"/>
      <c r="G687" s="28"/>
      <c r="H687" s="28"/>
      <c r="I687" s="28"/>
      <c r="J687" s="28"/>
      <c r="K687" s="28"/>
      <c r="L687" s="28"/>
      <c r="M687" s="28"/>
      <c r="N687" s="28"/>
      <c r="O687" s="28"/>
      <c r="P687" s="28"/>
      <c r="Q687" s="28"/>
      <c r="R687" s="28"/>
      <c r="S687" s="28"/>
      <c r="T687" s="28"/>
      <c r="U687" s="28"/>
      <c r="V687" s="28"/>
      <c r="W687" s="28"/>
      <c r="X687" s="28"/>
      <c r="Y687" s="28"/>
      <c r="Z687" s="28"/>
    </row>
    <row r="688" spans="1:26" ht="13.5" customHeight="1">
      <c r="A688" s="28"/>
      <c r="B688" s="29"/>
      <c r="C688" s="29"/>
      <c r="D688" s="29"/>
      <c r="E688" s="30"/>
      <c r="F688" s="28"/>
      <c r="G688" s="28"/>
      <c r="H688" s="28"/>
      <c r="I688" s="28"/>
      <c r="J688" s="28"/>
      <c r="K688" s="28"/>
      <c r="L688" s="28"/>
      <c r="M688" s="28"/>
      <c r="N688" s="28"/>
      <c r="O688" s="28"/>
      <c r="P688" s="28"/>
      <c r="Q688" s="28"/>
      <c r="R688" s="28"/>
      <c r="S688" s="28"/>
      <c r="T688" s="28"/>
      <c r="U688" s="28"/>
      <c r="V688" s="28"/>
      <c r="W688" s="28"/>
      <c r="X688" s="28"/>
      <c r="Y688" s="28"/>
      <c r="Z688" s="28"/>
    </row>
    <row r="689" spans="1:26" ht="13.5" customHeight="1">
      <c r="A689" s="28"/>
      <c r="B689" s="29"/>
      <c r="C689" s="29"/>
      <c r="D689" s="29"/>
      <c r="E689" s="30"/>
      <c r="F689" s="28"/>
      <c r="G689" s="28"/>
      <c r="H689" s="28"/>
      <c r="I689" s="28"/>
      <c r="J689" s="28"/>
      <c r="K689" s="28"/>
      <c r="L689" s="28"/>
      <c r="M689" s="28"/>
      <c r="N689" s="28"/>
      <c r="O689" s="28"/>
      <c r="P689" s="28"/>
      <c r="Q689" s="28"/>
      <c r="R689" s="28"/>
      <c r="S689" s="28"/>
      <c r="T689" s="28"/>
      <c r="U689" s="28"/>
      <c r="V689" s="28"/>
      <c r="W689" s="28"/>
      <c r="X689" s="28"/>
      <c r="Y689" s="28"/>
      <c r="Z689" s="28"/>
    </row>
    <row r="690" spans="1:26" ht="13.5" customHeight="1">
      <c r="A690" s="28"/>
      <c r="B690" s="29"/>
      <c r="C690" s="29"/>
      <c r="D690" s="29"/>
      <c r="E690" s="30"/>
      <c r="F690" s="28"/>
      <c r="G690" s="28"/>
      <c r="H690" s="28"/>
      <c r="I690" s="28"/>
      <c r="J690" s="28"/>
      <c r="K690" s="28"/>
      <c r="L690" s="28"/>
      <c r="M690" s="28"/>
      <c r="N690" s="28"/>
      <c r="O690" s="28"/>
      <c r="P690" s="28"/>
      <c r="Q690" s="28"/>
      <c r="R690" s="28"/>
      <c r="S690" s="28"/>
      <c r="T690" s="28"/>
      <c r="U690" s="28"/>
      <c r="V690" s="28"/>
      <c r="W690" s="28"/>
      <c r="X690" s="28"/>
      <c r="Y690" s="28"/>
      <c r="Z690" s="28"/>
    </row>
    <row r="691" spans="1:26" ht="13.5" customHeight="1">
      <c r="A691" s="28"/>
      <c r="B691" s="29"/>
      <c r="C691" s="29"/>
      <c r="D691" s="29"/>
      <c r="E691" s="30"/>
      <c r="F691" s="28"/>
      <c r="G691" s="28"/>
      <c r="H691" s="28"/>
      <c r="I691" s="28"/>
      <c r="J691" s="28"/>
      <c r="K691" s="28"/>
      <c r="L691" s="28"/>
      <c r="M691" s="28"/>
      <c r="N691" s="28"/>
      <c r="O691" s="28"/>
      <c r="P691" s="28"/>
      <c r="Q691" s="28"/>
      <c r="R691" s="28"/>
      <c r="S691" s="28"/>
      <c r="T691" s="28"/>
      <c r="U691" s="28"/>
      <c r="V691" s="28"/>
      <c r="W691" s="28"/>
      <c r="X691" s="28"/>
      <c r="Y691" s="28"/>
      <c r="Z691" s="28"/>
    </row>
    <row r="692" spans="1:26" ht="13.5" customHeight="1">
      <c r="A692" s="28"/>
      <c r="B692" s="29"/>
      <c r="C692" s="29"/>
      <c r="D692" s="29"/>
      <c r="E692" s="30"/>
      <c r="F692" s="28"/>
      <c r="G692" s="28"/>
      <c r="H692" s="28"/>
      <c r="I692" s="28"/>
      <c r="J692" s="28"/>
      <c r="K692" s="28"/>
      <c r="L692" s="28"/>
      <c r="M692" s="28"/>
      <c r="N692" s="28"/>
      <c r="O692" s="28"/>
      <c r="P692" s="28"/>
      <c r="Q692" s="28"/>
      <c r="R692" s="28"/>
      <c r="S692" s="28"/>
      <c r="T692" s="28"/>
      <c r="U692" s="28"/>
      <c r="V692" s="28"/>
      <c r="W692" s="28"/>
      <c r="X692" s="28"/>
      <c r="Y692" s="28"/>
      <c r="Z692" s="28"/>
    </row>
    <row r="693" spans="1:26" ht="13.5" customHeight="1">
      <c r="A693" s="28"/>
      <c r="B693" s="29"/>
      <c r="C693" s="29"/>
      <c r="D693" s="29"/>
      <c r="E693" s="30"/>
      <c r="F693" s="28"/>
      <c r="G693" s="28"/>
      <c r="H693" s="28"/>
      <c r="I693" s="28"/>
      <c r="J693" s="28"/>
      <c r="K693" s="28"/>
      <c r="L693" s="28"/>
      <c r="M693" s="28"/>
      <c r="N693" s="28"/>
      <c r="O693" s="28"/>
      <c r="P693" s="28"/>
      <c r="Q693" s="28"/>
      <c r="R693" s="28"/>
      <c r="S693" s="28"/>
      <c r="T693" s="28"/>
      <c r="U693" s="28"/>
      <c r="V693" s="28"/>
      <c r="W693" s="28"/>
      <c r="X693" s="28"/>
      <c r="Y693" s="28"/>
      <c r="Z693" s="28"/>
    </row>
    <row r="694" spans="1:26" ht="13.5" customHeight="1">
      <c r="A694" s="28"/>
      <c r="B694" s="29"/>
      <c r="C694" s="29"/>
      <c r="D694" s="29"/>
      <c r="E694" s="30"/>
      <c r="F694" s="28"/>
      <c r="G694" s="28"/>
      <c r="H694" s="28"/>
      <c r="I694" s="28"/>
      <c r="J694" s="28"/>
      <c r="K694" s="28"/>
      <c r="L694" s="28"/>
      <c r="M694" s="28"/>
      <c r="N694" s="28"/>
      <c r="O694" s="28"/>
      <c r="P694" s="28"/>
      <c r="Q694" s="28"/>
      <c r="R694" s="28"/>
      <c r="S694" s="28"/>
      <c r="T694" s="28"/>
      <c r="U694" s="28"/>
      <c r="V694" s="28"/>
      <c r="W694" s="28"/>
      <c r="X694" s="28"/>
      <c r="Y694" s="28"/>
      <c r="Z694" s="28"/>
    </row>
    <row r="695" spans="1:26" ht="13.5" customHeight="1">
      <c r="A695" s="28"/>
      <c r="B695" s="29"/>
      <c r="C695" s="29"/>
      <c r="D695" s="29"/>
      <c r="E695" s="30"/>
      <c r="F695" s="28"/>
      <c r="G695" s="28"/>
      <c r="H695" s="28"/>
      <c r="I695" s="28"/>
      <c r="J695" s="28"/>
      <c r="K695" s="28"/>
      <c r="L695" s="28"/>
      <c r="M695" s="28"/>
      <c r="N695" s="28"/>
      <c r="O695" s="28"/>
      <c r="P695" s="28"/>
      <c r="Q695" s="28"/>
      <c r="R695" s="28"/>
      <c r="S695" s="28"/>
      <c r="T695" s="28"/>
      <c r="U695" s="28"/>
      <c r="V695" s="28"/>
      <c r="W695" s="28"/>
      <c r="X695" s="28"/>
      <c r="Y695" s="28"/>
      <c r="Z695" s="28"/>
    </row>
    <row r="696" spans="1:26" ht="13.5" customHeight="1">
      <c r="A696" s="28"/>
      <c r="B696" s="29"/>
      <c r="C696" s="29"/>
      <c r="D696" s="29"/>
      <c r="E696" s="30"/>
      <c r="F696" s="28"/>
      <c r="G696" s="28"/>
      <c r="H696" s="28"/>
      <c r="I696" s="28"/>
      <c r="J696" s="28"/>
      <c r="K696" s="28"/>
      <c r="L696" s="28"/>
      <c r="M696" s="28"/>
      <c r="N696" s="28"/>
      <c r="O696" s="28"/>
      <c r="P696" s="28"/>
      <c r="Q696" s="28"/>
      <c r="R696" s="28"/>
      <c r="S696" s="28"/>
      <c r="T696" s="28"/>
      <c r="U696" s="28"/>
      <c r="V696" s="28"/>
      <c r="W696" s="28"/>
      <c r="X696" s="28"/>
      <c r="Y696" s="28"/>
      <c r="Z696" s="28"/>
    </row>
    <row r="697" spans="1:26" ht="13.5" customHeight="1">
      <c r="A697" s="28"/>
      <c r="B697" s="29"/>
      <c r="C697" s="29"/>
      <c r="D697" s="29"/>
      <c r="E697" s="30"/>
      <c r="F697" s="28"/>
      <c r="G697" s="28"/>
      <c r="H697" s="28"/>
      <c r="I697" s="28"/>
      <c r="J697" s="28"/>
      <c r="K697" s="28"/>
      <c r="L697" s="28"/>
      <c r="M697" s="28"/>
      <c r="N697" s="28"/>
      <c r="O697" s="28"/>
      <c r="P697" s="28"/>
      <c r="Q697" s="28"/>
      <c r="R697" s="28"/>
      <c r="S697" s="28"/>
      <c r="T697" s="28"/>
      <c r="U697" s="28"/>
      <c r="V697" s="28"/>
      <c r="W697" s="28"/>
      <c r="X697" s="28"/>
      <c r="Y697" s="28"/>
      <c r="Z697" s="28"/>
    </row>
    <row r="698" spans="1:26" ht="13.5" customHeight="1">
      <c r="A698" s="28"/>
      <c r="B698" s="29"/>
      <c r="C698" s="29"/>
      <c r="D698" s="29"/>
      <c r="E698" s="30"/>
      <c r="F698" s="28"/>
      <c r="G698" s="28"/>
      <c r="H698" s="28"/>
      <c r="I698" s="28"/>
      <c r="J698" s="28"/>
      <c r="K698" s="28"/>
      <c r="L698" s="28"/>
      <c r="M698" s="28"/>
      <c r="N698" s="28"/>
      <c r="O698" s="28"/>
      <c r="P698" s="28"/>
      <c r="Q698" s="28"/>
      <c r="R698" s="28"/>
      <c r="S698" s="28"/>
      <c r="T698" s="28"/>
      <c r="U698" s="28"/>
      <c r="V698" s="28"/>
      <c r="W698" s="28"/>
      <c r="X698" s="28"/>
      <c r="Y698" s="28"/>
      <c r="Z698" s="28"/>
    </row>
    <row r="699" spans="1:26" ht="13.5" customHeight="1">
      <c r="A699" s="28"/>
      <c r="B699" s="29"/>
      <c r="C699" s="29"/>
      <c r="D699" s="29"/>
      <c r="E699" s="30"/>
      <c r="F699" s="28"/>
      <c r="G699" s="28"/>
      <c r="H699" s="28"/>
      <c r="I699" s="28"/>
      <c r="J699" s="28"/>
      <c r="K699" s="28"/>
      <c r="L699" s="28"/>
      <c r="M699" s="28"/>
      <c r="N699" s="28"/>
      <c r="O699" s="28"/>
      <c r="P699" s="28"/>
      <c r="Q699" s="28"/>
      <c r="R699" s="28"/>
      <c r="S699" s="28"/>
      <c r="T699" s="28"/>
      <c r="U699" s="28"/>
      <c r="V699" s="28"/>
      <c r="W699" s="28"/>
      <c r="X699" s="28"/>
      <c r="Y699" s="28"/>
      <c r="Z699" s="28"/>
    </row>
    <row r="700" spans="1:26" ht="13.5" customHeight="1">
      <c r="A700" s="28"/>
      <c r="B700" s="29"/>
      <c r="C700" s="29"/>
      <c r="D700" s="29"/>
      <c r="E700" s="30"/>
      <c r="F700" s="28"/>
      <c r="G700" s="28"/>
      <c r="H700" s="28"/>
      <c r="I700" s="28"/>
      <c r="J700" s="28"/>
      <c r="K700" s="28"/>
      <c r="L700" s="28"/>
      <c r="M700" s="28"/>
      <c r="N700" s="28"/>
      <c r="O700" s="28"/>
      <c r="P700" s="28"/>
      <c r="Q700" s="28"/>
      <c r="R700" s="28"/>
      <c r="S700" s="28"/>
      <c r="T700" s="28"/>
      <c r="U700" s="28"/>
      <c r="V700" s="28"/>
      <c r="W700" s="28"/>
      <c r="X700" s="28"/>
      <c r="Y700" s="28"/>
      <c r="Z700" s="28"/>
    </row>
    <row r="701" spans="1:26" ht="13.5" customHeight="1">
      <c r="A701" s="28"/>
      <c r="B701" s="29"/>
      <c r="C701" s="29"/>
      <c r="D701" s="29"/>
      <c r="E701" s="30"/>
      <c r="F701" s="28"/>
      <c r="G701" s="28"/>
      <c r="H701" s="28"/>
      <c r="I701" s="28"/>
      <c r="J701" s="28"/>
      <c r="K701" s="28"/>
      <c r="L701" s="28"/>
      <c r="M701" s="28"/>
      <c r="N701" s="28"/>
      <c r="O701" s="28"/>
      <c r="P701" s="28"/>
      <c r="Q701" s="28"/>
      <c r="R701" s="28"/>
      <c r="S701" s="28"/>
      <c r="T701" s="28"/>
      <c r="U701" s="28"/>
      <c r="V701" s="28"/>
      <c r="W701" s="28"/>
      <c r="X701" s="28"/>
      <c r="Y701" s="28"/>
      <c r="Z701" s="28"/>
    </row>
    <row r="702" spans="1:26" ht="13.5" customHeight="1">
      <c r="A702" s="28"/>
      <c r="B702" s="29"/>
      <c r="C702" s="29"/>
      <c r="D702" s="29"/>
      <c r="E702" s="30"/>
      <c r="F702" s="28"/>
      <c r="G702" s="28"/>
      <c r="H702" s="28"/>
      <c r="I702" s="28"/>
      <c r="J702" s="28"/>
      <c r="K702" s="28"/>
      <c r="L702" s="28"/>
      <c r="M702" s="28"/>
      <c r="N702" s="28"/>
      <c r="O702" s="28"/>
      <c r="P702" s="28"/>
      <c r="Q702" s="28"/>
      <c r="R702" s="28"/>
      <c r="S702" s="28"/>
      <c r="T702" s="28"/>
      <c r="U702" s="28"/>
      <c r="V702" s="28"/>
      <c r="W702" s="28"/>
      <c r="X702" s="28"/>
      <c r="Y702" s="28"/>
      <c r="Z702" s="28"/>
    </row>
    <row r="703" spans="1:26" ht="13.5" customHeight="1">
      <c r="A703" s="28"/>
      <c r="B703" s="29"/>
      <c r="C703" s="29"/>
      <c r="D703" s="29"/>
      <c r="E703" s="30"/>
      <c r="F703" s="28"/>
      <c r="G703" s="28"/>
      <c r="H703" s="28"/>
      <c r="I703" s="28"/>
      <c r="J703" s="28"/>
      <c r="K703" s="28"/>
      <c r="L703" s="28"/>
      <c r="M703" s="28"/>
      <c r="N703" s="28"/>
      <c r="O703" s="28"/>
      <c r="P703" s="28"/>
      <c r="Q703" s="28"/>
      <c r="R703" s="28"/>
      <c r="S703" s="28"/>
      <c r="T703" s="28"/>
      <c r="U703" s="28"/>
      <c r="V703" s="28"/>
      <c r="W703" s="28"/>
      <c r="X703" s="28"/>
      <c r="Y703" s="28"/>
      <c r="Z703" s="28"/>
    </row>
    <row r="704" spans="1:26" ht="13.5" customHeight="1">
      <c r="A704" s="28"/>
      <c r="B704" s="29"/>
      <c r="C704" s="29"/>
      <c r="D704" s="29"/>
      <c r="E704" s="30"/>
      <c r="F704" s="28"/>
      <c r="G704" s="28"/>
      <c r="H704" s="28"/>
      <c r="I704" s="28"/>
      <c r="J704" s="28"/>
      <c r="K704" s="28"/>
      <c r="L704" s="28"/>
      <c r="M704" s="28"/>
      <c r="N704" s="28"/>
      <c r="O704" s="28"/>
      <c r="P704" s="28"/>
      <c r="Q704" s="28"/>
      <c r="R704" s="28"/>
      <c r="S704" s="28"/>
      <c r="T704" s="28"/>
      <c r="U704" s="28"/>
      <c r="V704" s="28"/>
      <c r="W704" s="28"/>
      <c r="X704" s="28"/>
      <c r="Y704" s="28"/>
      <c r="Z704" s="28"/>
    </row>
    <row r="705" spans="1:26" ht="13.5" customHeight="1">
      <c r="A705" s="28"/>
      <c r="B705" s="29"/>
      <c r="C705" s="29"/>
      <c r="D705" s="29"/>
      <c r="E705" s="30"/>
      <c r="F705" s="28"/>
      <c r="G705" s="28"/>
      <c r="H705" s="28"/>
      <c r="I705" s="28"/>
      <c r="J705" s="28"/>
      <c r="K705" s="28"/>
      <c r="L705" s="28"/>
      <c r="M705" s="28"/>
      <c r="N705" s="28"/>
      <c r="O705" s="28"/>
      <c r="P705" s="28"/>
      <c r="Q705" s="28"/>
      <c r="R705" s="28"/>
      <c r="S705" s="28"/>
      <c r="T705" s="28"/>
      <c r="U705" s="28"/>
      <c r="V705" s="28"/>
      <c r="W705" s="28"/>
      <c r="X705" s="28"/>
      <c r="Y705" s="28"/>
      <c r="Z705" s="28"/>
    </row>
    <row r="706" spans="1:26" ht="13.5" customHeight="1">
      <c r="A706" s="28"/>
      <c r="B706" s="29"/>
      <c r="C706" s="29"/>
      <c r="D706" s="29"/>
      <c r="E706" s="30"/>
      <c r="F706" s="28"/>
      <c r="G706" s="28"/>
      <c r="H706" s="28"/>
      <c r="I706" s="28"/>
      <c r="J706" s="28"/>
      <c r="K706" s="28"/>
      <c r="L706" s="28"/>
      <c r="M706" s="28"/>
      <c r="N706" s="28"/>
      <c r="O706" s="28"/>
      <c r="P706" s="28"/>
      <c r="Q706" s="28"/>
      <c r="R706" s="28"/>
      <c r="S706" s="28"/>
      <c r="T706" s="28"/>
      <c r="U706" s="28"/>
      <c r="V706" s="28"/>
      <c r="W706" s="28"/>
      <c r="X706" s="28"/>
      <c r="Y706" s="28"/>
      <c r="Z706" s="28"/>
    </row>
    <row r="707" spans="1:26" ht="13.5" customHeight="1">
      <c r="A707" s="28"/>
      <c r="B707" s="29"/>
      <c r="C707" s="29"/>
      <c r="D707" s="29"/>
      <c r="E707" s="30"/>
      <c r="F707" s="28"/>
      <c r="G707" s="28"/>
      <c r="H707" s="28"/>
      <c r="I707" s="28"/>
      <c r="J707" s="28"/>
      <c r="K707" s="28"/>
      <c r="L707" s="28"/>
      <c r="M707" s="28"/>
      <c r="N707" s="28"/>
      <c r="O707" s="28"/>
      <c r="P707" s="28"/>
      <c r="Q707" s="28"/>
      <c r="R707" s="28"/>
      <c r="S707" s="28"/>
      <c r="T707" s="28"/>
      <c r="U707" s="28"/>
      <c r="V707" s="28"/>
      <c r="W707" s="28"/>
      <c r="X707" s="28"/>
      <c r="Y707" s="28"/>
      <c r="Z707" s="28"/>
    </row>
    <row r="708" spans="1:26" ht="13.5" customHeight="1">
      <c r="A708" s="28"/>
      <c r="B708" s="29"/>
      <c r="C708" s="29"/>
      <c r="D708" s="29"/>
      <c r="E708" s="30"/>
      <c r="F708" s="28"/>
      <c r="G708" s="28"/>
      <c r="H708" s="28"/>
      <c r="I708" s="28"/>
      <c r="J708" s="28"/>
      <c r="K708" s="28"/>
      <c r="L708" s="28"/>
      <c r="M708" s="28"/>
      <c r="N708" s="28"/>
      <c r="O708" s="28"/>
      <c r="P708" s="28"/>
      <c r="Q708" s="28"/>
      <c r="R708" s="28"/>
      <c r="S708" s="28"/>
      <c r="T708" s="28"/>
      <c r="U708" s="28"/>
      <c r="V708" s="28"/>
      <c r="W708" s="28"/>
      <c r="X708" s="28"/>
      <c r="Y708" s="28"/>
      <c r="Z708" s="28"/>
    </row>
    <row r="709" spans="1:26" ht="13.5" customHeight="1">
      <c r="A709" s="28"/>
      <c r="B709" s="29"/>
      <c r="C709" s="29"/>
      <c r="D709" s="29"/>
      <c r="E709" s="30"/>
      <c r="F709" s="28"/>
      <c r="G709" s="28"/>
      <c r="H709" s="28"/>
      <c r="I709" s="28"/>
      <c r="J709" s="28"/>
      <c r="K709" s="28"/>
      <c r="L709" s="28"/>
      <c r="M709" s="28"/>
      <c r="N709" s="28"/>
      <c r="O709" s="28"/>
      <c r="P709" s="28"/>
      <c r="Q709" s="28"/>
      <c r="R709" s="28"/>
      <c r="S709" s="28"/>
      <c r="T709" s="28"/>
      <c r="U709" s="28"/>
      <c r="V709" s="28"/>
      <c r="W709" s="28"/>
      <c r="X709" s="28"/>
      <c r="Y709" s="28"/>
      <c r="Z709" s="28"/>
    </row>
    <row r="710" spans="1:26" ht="13.5" customHeight="1">
      <c r="A710" s="28"/>
      <c r="B710" s="29"/>
      <c r="C710" s="29"/>
      <c r="D710" s="29"/>
      <c r="E710" s="30"/>
      <c r="F710" s="28"/>
      <c r="G710" s="28"/>
      <c r="H710" s="28"/>
      <c r="I710" s="28"/>
      <c r="J710" s="28"/>
      <c r="K710" s="28"/>
      <c r="L710" s="28"/>
      <c r="M710" s="28"/>
      <c r="N710" s="28"/>
      <c r="O710" s="28"/>
      <c r="P710" s="28"/>
      <c r="Q710" s="28"/>
      <c r="R710" s="28"/>
      <c r="S710" s="28"/>
      <c r="T710" s="28"/>
      <c r="U710" s="28"/>
      <c r="V710" s="28"/>
      <c r="W710" s="28"/>
      <c r="X710" s="28"/>
      <c r="Y710" s="28"/>
      <c r="Z710" s="28"/>
    </row>
    <row r="711" spans="1:26" ht="13.5" customHeight="1">
      <c r="A711" s="28"/>
      <c r="B711" s="29"/>
      <c r="C711" s="29"/>
      <c r="D711" s="29"/>
      <c r="E711" s="30"/>
      <c r="F711" s="28"/>
      <c r="G711" s="28"/>
      <c r="H711" s="28"/>
      <c r="I711" s="28"/>
      <c r="J711" s="28"/>
      <c r="K711" s="28"/>
      <c r="L711" s="28"/>
      <c r="M711" s="28"/>
      <c r="N711" s="28"/>
      <c r="O711" s="28"/>
      <c r="P711" s="28"/>
      <c r="Q711" s="28"/>
      <c r="R711" s="28"/>
      <c r="S711" s="28"/>
      <c r="T711" s="28"/>
      <c r="U711" s="28"/>
      <c r="V711" s="28"/>
      <c r="W711" s="28"/>
      <c r="X711" s="28"/>
      <c r="Y711" s="28"/>
      <c r="Z711" s="28"/>
    </row>
    <row r="712" spans="1:26" ht="13.5" customHeight="1">
      <c r="A712" s="28"/>
      <c r="B712" s="29"/>
      <c r="C712" s="29"/>
      <c r="D712" s="29"/>
      <c r="E712" s="30"/>
      <c r="F712" s="28"/>
      <c r="G712" s="28"/>
      <c r="H712" s="28"/>
      <c r="I712" s="28"/>
      <c r="J712" s="28"/>
      <c r="K712" s="28"/>
      <c r="L712" s="28"/>
      <c r="M712" s="28"/>
      <c r="N712" s="28"/>
      <c r="O712" s="28"/>
      <c r="P712" s="28"/>
      <c r="Q712" s="28"/>
      <c r="R712" s="28"/>
      <c r="S712" s="28"/>
      <c r="T712" s="28"/>
      <c r="U712" s="28"/>
      <c r="V712" s="28"/>
      <c r="W712" s="28"/>
      <c r="X712" s="28"/>
      <c r="Y712" s="28"/>
      <c r="Z712" s="28"/>
    </row>
    <row r="713" spans="1:26" ht="13.5" customHeight="1">
      <c r="A713" s="28"/>
      <c r="B713" s="29"/>
      <c r="C713" s="29"/>
      <c r="D713" s="29"/>
      <c r="E713" s="30"/>
      <c r="F713" s="28"/>
      <c r="G713" s="28"/>
      <c r="H713" s="28"/>
      <c r="I713" s="28"/>
      <c r="J713" s="28"/>
      <c r="K713" s="28"/>
      <c r="L713" s="28"/>
      <c r="M713" s="28"/>
      <c r="N713" s="28"/>
      <c r="O713" s="28"/>
      <c r="P713" s="28"/>
      <c r="Q713" s="28"/>
      <c r="R713" s="28"/>
      <c r="S713" s="28"/>
      <c r="T713" s="28"/>
      <c r="U713" s="28"/>
      <c r="V713" s="28"/>
      <c r="W713" s="28"/>
      <c r="X713" s="28"/>
      <c r="Y713" s="28"/>
      <c r="Z713" s="28"/>
    </row>
    <row r="714" spans="1:26" ht="13.5" customHeight="1">
      <c r="A714" s="28"/>
      <c r="B714" s="29"/>
      <c r="C714" s="29"/>
      <c r="D714" s="29"/>
      <c r="E714" s="30"/>
      <c r="F714" s="28"/>
      <c r="G714" s="28"/>
      <c r="H714" s="28"/>
      <c r="I714" s="28"/>
      <c r="J714" s="28"/>
      <c r="K714" s="28"/>
      <c r="L714" s="28"/>
      <c r="M714" s="28"/>
      <c r="N714" s="28"/>
      <c r="O714" s="28"/>
      <c r="P714" s="28"/>
      <c r="Q714" s="28"/>
      <c r="R714" s="28"/>
      <c r="S714" s="28"/>
      <c r="T714" s="28"/>
      <c r="U714" s="28"/>
      <c r="V714" s="28"/>
      <c r="W714" s="28"/>
      <c r="X714" s="28"/>
      <c r="Y714" s="28"/>
      <c r="Z714" s="28"/>
    </row>
    <row r="715" spans="1:26" ht="13.5" customHeight="1">
      <c r="A715" s="28"/>
      <c r="B715" s="29"/>
      <c r="C715" s="29"/>
      <c r="D715" s="29"/>
      <c r="E715" s="30"/>
      <c r="F715" s="28"/>
      <c r="G715" s="28"/>
      <c r="H715" s="28"/>
      <c r="I715" s="28"/>
      <c r="J715" s="28"/>
      <c r="K715" s="28"/>
      <c r="L715" s="28"/>
      <c r="M715" s="28"/>
      <c r="N715" s="28"/>
      <c r="O715" s="28"/>
      <c r="P715" s="28"/>
      <c r="Q715" s="28"/>
      <c r="R715" s="28"/>
      <c r="S715" s="28"/>
      <c r="T715" s="28"/>
      <c r="U715" s="28"/>
      <c r="V715" s="28"/>
      <c r="W715" s="28"/>
      <c r="X715" s="28"/>
      <c r="Y715" s="28"/>
      <c r="Z715" s="28"/>
    </row>
    <row r="716" spans="1:26" ht="13.5" customHeight="1">
      <c r="A716" s="28"/>
      <c r="B716" s="29"/>
      <c r="C716" s="29"/>
      <c r="D716" s="29"/>
      <c r="E716" s="30"/>
      <c r="F716" s="28"/>
      <c r="G716" s="28"/>
      <c r="H716" s="28"/>
      <c r="I716" s="28"/>
      <c r="J716" s="28"/>
      <c r="K716" s="28"/>
      <c r="L716" s="28"/>
      <c r="M716" s="28"/>
      <c r="N716" s="28"/>
      <c r="O716" s="28"/>
      <c r="P716" s="28"/>
      <c r="Q716" s="28"/>
      <c r="R716" s="28"/>
      <c r="S716" s="28"/>
      <c r="T716" s="28"/>
      <c r="U716" s="28"/>
      <c r="V716" s="28"/>
      <c r="W716" s="28"/>
      <c r="X716" s="28"/>
      <c r="Y716" s="28"/>
      <c r="Z716" s="28"/>
    </row>
    <row r="717" spans="1:26" ht="13.5" customHeight="1">
      <c r="A717" s="28"/>
      <c r="B717" s="29"/>
      <c r="C717" s="29"/>
      <c r="D717" s="29"/>
      <c r="E717" s="30"/>
      <c r="F717" s="28"/>
      <c r="G717" s="28"/>
      <c r="H717" s="28"/>
      <c r="I717" s="28"/>
      <c r="J717" s="28"/>
      <c r="K717" s="28"/>
      <c r="L717" s="28"/>
      <c r="M717" s="28"/>
      <c r="N717" s="28"/>
      <c r="O717" s="28"/>
      <c r="P717" s="28"/>
      <c r="Q717" s="28"/>
      <c r="R717" s="28"/>
      <c r="S717" s="28"/>
      <c r="T717" s="28"/>
      <c r="U717" s="28"/>
      <c r="V717" s="28"/>
      <c r="W717" s="28"/>
      <c r="X717" s="28"/>
      <c r="Y717" s="28"/>
      <c r="Z717" s="28"/>
    </row>
    <row r="718" spans="1:26" ht="13.5" customHeight="1">
      <c r="A718" s="28"/>
      <c r="B718" s="29"/>
      <c r="C718" s="29"/>
      <c r="D718" s="29"/>
      <c r="E718" s="30"/>
      <c r="F718" s="28"/>
      <c r="G718" s="28"/>
      <c r="H718" s="28"/>
      <c r="I718" s="28"/>
      <c r="J718" s="28"/>
      <c r="K718" s="28"/>
      <c r="L718" s="28"/>
      <c r="M718" s="28"/>
      <c r="N718" s="28"/>
      <c r="O718" s="28"/>
      <c r="P718" s="28"/>
      <c r="Q718" s="28"/>
      <c r="R718" s="28"/>
      <c r="S718" s="28"/>
      <c r="T718" s="28"/>
      <c r="U718" s="28"/>
      <c r="V718" s="28"/>
      <c r="W718" s="28"/>
      <c r="X718" s="28"/>
      <c r="Y718" s="28"/>
      <c r="Z718" s="28"/>
    </row>
    <row r="719" spans="1:26" ht="13.5" customHeight="1">
      <c r="A719" s="28"/>
      <c r="B719" s="29"/>
      <c r="C719" s="29"/>
      <c r="D719" s="29"/>
      <c r="E719" s="30"/>
      <c r="F719" s="28"/>
      <c r="G719" s="28"/>
      <c r="H719" s="28"/>
      <c r="I719" s="28"/>
      <c r="J719" s="28"/>
      <c r="K719" s="28"/>
      <c r="L719" s="28"/>
      <c r="M719" s="28"/>
      <c r="N719" s="28"/>
      <c r="O719" s="28"/>
      <c r="P719" s="28"/>
      <c r="Q719" s="28"/>
      <c r="R719" s="28"/>
      <c r="S719" s="28"/>
      <c r="T719" s="28"/>
      <c r="U719" s="28"/>
      <c r="V719" s="28"/>
      <c r="W719" s="28"/>
      <c r="X719" s="28"/>
      <c r="Y719" s="28"/>
      <c r="Z719" s="28"/>
    </row>
    <row r="720" spans="1:26" ht="13.5" customHeight="1">
      <c r="A720" s="28"/>
      <c r="B720" s="29"/>
      <c r="C720" s="29"/>
      <c r="D720" s="29"/>
      <c r="E720" s="30"/>
      <c r="F720" s="28"/>
      <c r="G720" s="28"/>
      <c r="H720" s="28"/>
      <c r="I720" s="28"/>
      <c r="J720" s="28"/>
      <c r="K720" s="28"/>
      <c r="L720" s="28"/>
      <c r="M720" s="28"/>
      <c r="N720" s="28"/>
      <c r="O720" s="28"/>
      <c r="P720" s="28"/>
      <c r="Q720" s="28"/>
      <c r="R720" s="28"/>
      <c r="S720" s="28"/>
      <c r="T720" s="28"/>
      <c r="U720" s="28"/>
      <c r="V720" s="28"/>
      <c r="W720" s="28"/>
      <c r="X720" s="28"/>
      <c r="Y720" s="28"/>
      <c r="Z720" s="28"/>
    </row>
    <row r="721" spans="1:26" ht="13.5" customHeight="1">
      <c r="A721" s="28"/>
      <c r="B721" s="29"/>
      <c r="C721" s="29"/>
      <c r="D721" s="29"/>
      <c r="E721" s="30"/>
      <c r="F721" s="28"/>
      <c r="G721" s="28"/>
      <c r="H721" s="28"/>
      <c r="I721" s="28"/>
      <c r="J721" s="28"/>
      <c r="K721" s="28"/>
      <c r="L721" s="28"/>
      <c r="M721" s="28"/>
      <c r="N721" s="28"/>
      <c r="O721" s="28"/>
      <c r="P721" s="28"/>
      <c r="Q721" s="28"/>
      <c r="R721" s="28"/>
      <c r="S721" s="28"/>
      <c r="T721" s="28"/>
      <c r="U721" s="28"/>
      <c r="V721" s="28"/>
      <c r="W721" s="28"/>
      <c r="X721" s="28"/>
      <c r="Y721" s="28"/>
      <c r="Z721" s="28"/>
    </row>
    <row r="722" spans="1:26" ht="13.5" customHeight="1">
      <c r="A722" s="28"/>
      <c r="B722" s="29"/>
      <c r="C722" s="29"/>
      <c r="D722" s="29"/>
      <c r="E722" s="30"/>
      <c r="F722" s="28"/>
      <c r="G722" s="28"/>
      <c r="H722" s="28"/>
      <c r="I722" s="28"/>
      <c r="J722" s="28"/>
      <c r="K722" s="28"/>
      <c r="L722" s="28"/>
      <c r="M722" s="28"/>
      <c r="N722" s="28"/>
      <c r="O722" s="28"/>
      <c r="P722" s="28"/>
      <c r="Q722" s="28"/>
      <c r="R722" s="28"/>
      <c r="S722" s="28"/>
      <c r="T722" s="28"/>
      <c r="U722" s="28"/>
      <c r="V722" s="28"/>
      <c r="W722" s="28"/>
      <c r="X722" s="28"/>
      <c r="Y722" s="28"/>
      <c r="Z722" s="28"/>
    </row>
    <row r="723" spans="1:26" ht="13.5" customHeight="1">
      <c r="A723" s="28"/>
      <c r="B723" s="29"/>
      <c r="C723" s="29"/>
      <c r="D723" s="29"/>
      <c r="E723" s="30"/>
      <c r="F723" s="28"/>
      <c r="G723" s="28"/>
      <c r="H723" s="28"/>
      <c r="I723" s="28"/>
      <c r="J723" s="28"/>
      <c r="K723" s="28"/>
      <c r="L723" s="28"/>
      <c r="M723" s="28"/>
      <c r="N723" s="28"/>
      <c r="O723" s="28"/>
      <c r="P723" s="28"/>
      <c r="Q723" s="28"/>
      <c r="R723" s="28"/>
      <c r="S723" s="28"/>
      <c r="T723" s="28"/>
      <c r="U723" s="28"/>
      <c r="V723" s="28"/>
      <c r="W723" s="28"/>
      <c r="X723" s="28"/>
      <c r="Y723" s="28"/>
      <c r="Z723" s="28"/>
    </row>
    <row r="724" spans="1:26" ht="13.5" customHeight="1">
      <c r="A724" s="28"/>
      <c r="B724" s="29"/>
      <c r="C724" s="29"/>
      <c r="D724" s="29"/>
      <c r="E724" s="30"/>
      <c r="F724" s="28"/>
      <c r="G724" s="28"/>
      <c r="H724" s="28"/>
      <c r="I724" s="28"/>
      <c r="J724" s="28"/>
      <c r="K724" s="28"/>
      <c r="L724" s="28"/>
      <c r="M724" s="28"/>
      <c r="N724" s="28"/>
      <c r="O724" s="28"/>
      <c r="P724" s="28"/>
      <c r="Q724" s="28"/>
      <c r="R724" s="28"/>
      <c r="S724" s="28"/>
      <c r="T724" s="28"/>
      <c r="U724" s="28"/>
      <c r="V724" s="28"/>
      <c r="W724" s="28"/>
      <c r="X724" s="28"/>
      <c r="Y724" s="28"/>
      <c r="Z724" s="28"/>
    </row>
    <row r="725" spans="1:26" ht="13.5" customHeight="1">
      <c r="A725" s="28"/>
      <c r="B725" s="29"/>
      <c r="C725" s="29"/>
      <c r="D725" s="29"/>
      <c r="E725" s="30"/>
      <c r="F725" s="28"/>
      <c r="G725" s="28"/>
      <c r="H725" s="28"/>
      <c r="I725" s="28"/>
      <c r="J725" s="28"/>
      <c r="K725" s="28"/>
      <c r="L725" s="28"/>
      <c r="M725" s="28"/>
      <c r="N725" s="28"/>
      <c r="O725" s="28"/>
      <c r="P725" s="28"/>
      <c r="Q725" s="28"/>
      <c r="R725" s="28"/>
      <c r="S725" s="28"/>
      <c r="T725" s="28"/>
      <c r="U725" s="28"/>
      <c r="V725" s="28"/>
      <c r="W725" s="28"/>
      <c r="X725" s="28"/>
      <c r="Y725" s="28"/>
      <c r="Z725" s="28"/>
    </row>
    <row r="726" spans="1:26" ht="13.5" customHeight="1">
      <c r="A726" s="28"/>
      <c r="B726" s="29"/>
      <c r="C726" s="29"/>
      <c r="D726" s="29"/>
      <c r="E726" s="30"/>
      <c r="F726" s="28"/>
      <c r="G726" s="28"/>
      <c r="H726" s="28"/>
      <c r="I726" s="28"/>
      <c r="J726" s="28"/>
      <c r="K726" s="28"/>
      <c r="L726" s="28"/>
      <c r="M726" s="28"/>
      <c r="N726" s="28"/>
      <c r="O726" s="28"/>
      <c r="P726" s="28"/>
      <c r="Q726" s="28"/>
      <c r="R726" s="28"/>
      <c r="S726" s="28"/>
      <c r="T726" s="28"/>
      <c r="U726" s="28"/>
      <c r="V726" s="28"/>
      <c r="W726" s="28"/>
      <c r="X726" s="28"/>
      <c r="Y726" s="28"/>
      <c r="Z726" s="28"/>
    </row>
    <row r="727" spans="1:26" ht="13.5" customHeight="1">
      <c r="A727" s="28"/>
      <c r="B727" s="29"/>
      <c r="C727" s="29"/>
      <c r="D727" s="29"/>
      <c r="E727" s="30"/>
      <c r="F727" s="28"/>
      <c r="G727" s="28"/>
      <c r="H727" s="28"/>
      <c r="I727" s="28"/>
      <c r="J727" s="28"/>
      <c r="K727" s="28"/>
      <c r="L727" s="28"/>
      <c r="M727" s="28"/>
      <c r="N727" s="28"/>
      <c r="O727" s="28"/>
      <c r="P727" s="28"/>
      <c r="Q727" s="28"/>
      <c r="R727" s="28"/>
      <c r="S727" s="28"/>
      <c r="T727" s="28"/>
      <c r="U727" s="28"/>
      <c r="V727" s="28"/>
      <c r="W727" s="28"/>
      <c r="X727" s="28"/>
      <c r="Y727" s="28"/>
      <c r="Z727" s="28"/>
    </row>
    <row r="728" spans="1:26" ht="13.5" customHeight="1">
      <c r="A728" s="28"/>
      <c r="B728" s="29"/>
      <c r="C728" s="29"/>
      <c r="D728" s="29"/>
      <c r="E728" s="30"/>
      <c r="F728" s="28"/>
      <c r="G728" s="28"/>
      <c r="H728" s="28"/>
      <c r="I728" s="28"/>
      <c r="J728" s="28"/>
      <c r="K728" s="28"/>
      <c r="L728" s="28"/>
      <c r="M728" s="28"/>
      <c r="N728" s="28"/>
      <c r="O728" s="28"/>
      <c r="P728" s="28"/>
      <c r="Q728" s="28"/>
      <c r="R728" s="28"/>
      <c r="S728" s="28"/>
      <c r="T728" s="28"/>
      <c r="U728" s="28"/>
      <c r="V728" s="28"/>
      <c r="W728" s="28"/>
      <c r="X728" s="28"/>
      <c r="Y728" s="28"/>
      <c r="Z728" s="28"/>
    </row>
    <row r="729" spans="1:26" ht="13.5" customHeight="1">
      <c r="A729" s="28"/>
      <c r="B729" s="29"/>
      <c r="C729" s="29"/>
      <c r="D729" s="29"/>
      <c r="E729" s="30"/>
      <c r="F729" s="28"/>
      <c r="G729" s="28"/>
      <c r="H729" s="28"/>
      <c r="I729" s="28"/>
      <c r="J729" s="28"/>
      <c r="K729" s="28"/>
      <c r="L729" s="28"/>
      <c r="M729" s="28"/>
      <c r="N729" s="28"/>
      <c r="O729" s="28"/>
      <c r="P729" s="28"/>
      <c r="Q729" s="28"/>
      <c r="R729" s="28"/>
      <c r="S729" s="28"/>
      <c r="T729" s="28"/>
      <c r="U729" s="28"/>
      <c r="V729" s="28"/>
      <c r="W729" s="28"/>
      <c r="X729" s="28"/>
      <c r="Y729" s="28"/>
      <c r="Z729" s="28"/>
    </row>
    <row r="730" spans="1:26" ht="13.5" customHeight="1">
      <c r="A730" s="28"/>
      <c r="B730" s="29"/>
      <c r="C730" s="29"/>
      <c r="D730" s="29"/>
      <c r="E730" s="30"/>
      <c r="F730" s="28"/>
      <c r="G730" s="28"/>
      <c r="H730" s="28"/>
      <c r="I730" s="28"/>
      <c r="J730" s="28"/>
      <c r="K730" s="28"/>
      <c r="L730" s="28"/>
      <c r="M730" s="28"/>
      <c r="N730" s="28"/>
      <c r="O730" s="28"/>
      <c r="P730" s="28"/>
      <c r="Q730" s="28"/>
      <c r="R730" s="28"/>
      <c r="S730" s="28"/>
      <c r="T730" s="28"/>
      <c r="U730" s="28"/>
      <c r="V730" s="28"/>
      <c r="W730" s="28"/>
      <c r="X730" s="28"/>
      <c r="Y730" s="28"/>
      <c r="Z730" s="28"/>
    </row>
    <row r="731" spans="1:26" ht="13.5" customHeight="1">
      <c r="A731" s="28"/>
      <c r="B731" s="29"/>
      <c r="C731" s="29"/>
      <c r="D731" s="29"/>
      <c r="E731" s="30"/>
      <c r="F731" s="28"/>
      <c r="G731" s="28"/>
      <c r="H731" s="28"/>
      <c r="I731" s="28"/>
      <c r="J731" s="28"/>
      <c r="K731" s="28"/>
      <c r="L731" s="28"/>
      <c r="M731" s="28"/>
      <c r="N731" s="28"/>
      <c r="O731" s="28"/>
      <c r="P731" s="28"/>
      <c r="Q731" s="28"/>
      <c r="R731" s="28"/>
      <c r="S731" s="28"/>
      <c r="T731" s="28"/>
      <c r="U731" s="28"/>
      <c r="V731" s="28"/>
      <c r="W731" s="28"/>
      <c r="X731" s="28"/>
      <c r="Y731" s="28"/>
      <c r="Z731" s="28"/>
    </row>
    <row r="732" spans="1:26" ht="13.5" customHeight="1">
      <c r="A732" s="28"/>
      <c r="B732" s="29"/>
      <c r="C732" s="29"/>
      <c r="D732" s="29"/>
      <c r="E732" s="30"/>
      <c r="F732" s="28"/>
      <c r="G732" s="28"/>
      <c r="H732" s="28"/>
      <c r="I732" s="28"/>
      <c r="J732" s="28"/>
      <c r="K732" s="28"/>
      <c r="L732" s="28"/>
      <c r="M732" s="28"/>
      <c r="N732" s="28"/>
      <c r="O732" s="28"/>
      <c r="P732" s="28"/>
      <c r="Q732" s="28"/>
      <c r="R732" s="28"/>
      <c r="S732" s="28"/>
      <c r="T732" s="28"/>
      <c r="U732" s="28"/>
      <c r="V732" s="28"/>
      <c r="W732" s="28"/>
      <c r="X732" s="28"/>
      <c r="Y732" s="28"/>
      <c r="Z732" s="28"/>
    </row>
    <row r="733" spans="1:26" ht="13.5" customHeight="1">
      <c r="A733" s="28"/>
      <c r="B733" s="29"/>
      <c r="C733" s="29"/>
      <c r="D733" s="29"/>
      <c r="E733" s="30"/>
      <c r="F733" s="28"/>
      <c r="G733" s="28"/>
      <c r="H733" s="28"/>
      <c r="I733" s="28"/>
      <c r="J733" s="28"/>
      <c r="K733" s="28"/>
      <c r="L733" s="28"/>
      <c r="M733" s="28"/>
      <c r="N733" s="28"/>
      <c r="O733" s="28"/>
      <c r="P733" s="28"/>
      <c r="Q733" s="28"/>
      <c r="R733" s="28"/>
      <c r="S733" s="28"/>
      <c r="T733" s="28"/>
      <c r="U733" s="28"/>
      <c r="V733" s="28"/>
      <c r="W733" s="28"/>
      <c r="X733" s="28"/>
      <c r="Y733" s="28"/>
      <c r="Z733" s="28"/>
    </row>
    <row r="734" spans="1:26" ht="13.5" customHeight="1">
      <c r="A734" s="28"/>
      <c r="B734" s="29"/>
      <c r="C734" s="29"/>
      <c r="D734" s="29"/>
      <c r="E734" s="30"/>
      <c r="F734" s="28"/>
      <c r="G734" s="28"/>
      <c r="H734" s="28"/>
      <c r="I734" s="28"/>
      <c r="J734" s="28"/>
      <c r="K734" s="28"/>
      <c r="L734" s="28"/>
      <c r="M734" s="28"/>
      <c r="N734" s="28"/>
      <c r="O734" s="28"/>
      <c r="P734" s="28"/>
      <c r="Q734" s="28"/>
      <c r="R734" s="28"/>
      <c r="S734" s="28"/>
      <c r="T734" s="28"/>
      <c r="U734" s="28"/>
      <c r="V734" s="28"/>
      <c r="W734" s="28"/>
      <c r="X734" s="28"/>
      <c r="Y734" s="28"/>
      <c r="Z734" s="28"/>
    </row>
    <row r="735" spans="1:26" ht="13.5" customHeight="1">
      <c r="A735" s="28"/>
      <c r="B735" s="29"/>
      <c r="C735" s="29"/>
      <c r="D735" s="29"/>
      <c r="E735" s="30"/>
      <c r="F735" s="28"/>
      <c r="G735" s="28"/>
      <c r="H735" s="28"/>
      <c r="I735" s="28"/>
      <c r="J735" s="28"/>
      <c r="K735" s="28"/>
      <c r="L735" s="28"/>
      <c r="M735" s="28"/>
      <c r="N735" s="28"/>
      <c r="O735" s="28"/>
      <c r="P735" s="28"/>
      <c r="Q735" s="28"/>
      <c r="R735" s="28"/>
      <c r="S735" s="28"/>
      <c r="T735" s="28"/>
      <c r="U735" s="28"/>
      <c r="V735" s="28"/>
      <c r="W735" s="28"/>
      <c r="X735" s="28"/>
      <c r="Y735" s="28"/>
      <c r="Z735" s="28"/>
    </row>
    <row r="736" spans="1:26" ht="13.5" customHeight="1">
      <c r="A736" s="28"/>
      <c r="B736" s="29"/>
      <c r="C736" s="29"/>
      <c r="D736" s="29"/>
      <c r="E736" s="30"/>
      <c r="F736" s="28"/>
      <c r="G736" s="28"/>
      <c r="H736" s="28"/>
      <c r="I736" s="28"/>
      <c r="J736" s="28"/>
      <c r="K736" s="28"/>
      <c r="L736" s="28"/>
      <c r="M736" s="28"/>
      <c r="N736" s="28"/>
      <c r="O736" s="28"/>
      <c r="P736" s="28"/>
      <c r="Q736" s="28"/>
      <c r="R736" s="28"/>
      <c r="S736" s="28"/>
      <c r="T736" s="28"/>
      <c r="U736" s="28"/>
      <c r="V736" s="28"/>
      <c r="W736" s="28"/>
      <c r="X736" s="28"/>
      <c r="Y736" s="28"/>
      <c r="Z736" s="28"/>
    </row>
    <row r="737" spans="1:26" ht="13.5" customHeight="1">
      <c r="A737" s="28"/>
      <c r="B737" s="29"/>
      <c r="C737" s="29"/>
      <c r="D737" s="29"/>
      <c r="E737" s="30"/>
      <c r="F737" s="28"/>
      <c r="G737" s="28"/>
      <c r="H737" s="28"/>
      <c r="I737" s="28"/>
      <c r="J737" s="28"/>
      <c r="K737" s="28"/>
      <c r="L737" s="28"/>
      <c r="M737" s="28"/>
      <c r="N737" s="28"/>
      <c r="O737" s="28"/>
      <c r="P737" s="28"/>
      <c r="Q737" s="28"/>
      <c r="R737" s="28"/>
      <c r="S737" s="28"/>
      <c r="T737" s="28"/>
      <c r="U737" s="28"/>
      <c r="V737" s="28"/>
      <c r="W737" s="28"/>
      <c r="X737" s="28"/>
      <c r="Y737" s="28"/>
      <c r="Z737" s="28"/>
    </row>
    <row r="738" spans="1:26" ht="13.5" customHeight="1">
      <c r="A738" s="28"/>
      <c r="B738" s="29"/>
      <c r="C738" s="29"/>
      <c r="D738" s="29"/>
      <c r="E738" s="30"/>
      <c r="F738" s="28"/>
      <c r="G738" s="28"/>
      <c r="H738" s="28"/>
      <c r="I738" s="28"/>
      <c r="J738" s="28"/>
      <c r="K738" s="28"/>
      <c r="L738" s="28"/>
      <c r="M738" s="28"/>
      <c r="N738" s="28"/>
      <c r="O738" s="28"/>
      <c r="P738" s="28"/>
      <c r="Q738" s="28"/>
      <c r="R738" s="28"/>
      <c r="S738" s="28"/>
      <c r="T738" s="28"/>
      <c r="U738" s="28"/>
      <c r="V738" s="28"/>
      <c r="W738" s="28"/>
      <c r="X738" s="28"/>
      <c r="Y738" s="28"/>
      <c r="Z738" s="28"/>
    </row>
    <row r="739" spans="1:26" ht="13.5" customHeight="1">
      <c r="A739" s="28"/>
      <c r="B739" s="29"/>
      <c r="C739" s="29"/>
      <c r="D739" s="29"/>
      <c r="E739" s="30"/>
      <c r="F739" s="28"/>
      <c r="G739" s="28"/>
      <c r="H739" s="28"/>
      <c r="I739" s="28"/>
      <c r="J739" s="28"/>
      <c r="K739" s="28"/>
      <c r="L739" s="28"/>
      <c r="M739" s="28"/>
      <c r="N739" s="28"/>
      <c r="O739" s="28"/>
      <c r="P739" s="28"/>
      <c r="Q739" s="28"/>
      <c r="R739" s="28"/>
      <c r="S739" s="28"/>
      <c r="T739" s="28"/>
      <c r="U739" s="28"/>
      <c r="V739" s="28"/>
      <c r="W739" s="28"/>
      <c r="X739" s="28"/>
      <c r="Y739" s="28"/>
      <c r="Z739" s="28"/>
    </row>
    <row r="740" spans="1:26" ht="13.5" customHeight="1">
      <c r="A740" s="28"/>
      <c r="B740" s="29"/>
      <c r="C740" s="29"/>
      <c r="D740" s="29"/>
      <c r="E740" s="30"/>
      <c r="F740" s="28"/>
      <c r="G740" s="28"/>
      <c r="H740" s="28"/>
      <c r="I740" s="28"/>
      <c r="J740" s="28"/>
      <c r="K740" s="28"/>
      <c r="L740" s="28"/>
      <c r="M740" s="28"/>
      <c r="N740" s="28"/>
      <c r="O740" s="28"/>
      <c r="P740" s="28"/>
      <c r="Q740" s="28"/>
      <c r="R740" s="28"/>
      <c r="S740" s="28"/>
      <c r="T740" s="28"/>
      <c r="U740" s="28"/>
      <c r="V740" s="28"/>
      <c r="W740" s="28"/>
      <c r="X740" s="28"/>
      <c r="Y740" s="28"/>
      <c r="Z740" s="28"/>
    </row>
    <row r="741" spans="1:26" ht="13.5" customHeight="1">
      <c r="A741" s="28"/>
      <c r="B741" s="29"/>
      <c r="C741" s="29"/>
      <c r="D741" s="29"/>
      <c r="E741" s="30"/>
      <c r="F741" s="28"/>
      <c r="G741" s="28"/>
      <c r="H741" s="28"/>
      <c r="I741" s="28"/>
      <c r="J741" s="28"/>
      <c r="K741" s="28"/>
      <c r="L741" s="28"/>
      <c r="M741" s="28"/>
      <c r="N741" s="28"/>
      <c r="O741" s="28"/>
      <c r="P741" s="28"/>
      <c r="Q741" s="28"/>
      <c r="R741" s="28"/>
      <c r="S741" s="28"/>
      <c r="T741" s="28"/>
      <c r="U741" s="28"/>
      <c r="V741" s="28"/>
      <c r="W741" s="28"/>
      <c r="X741" s="28"/>
      <c r="Y741" s="28"/>
      <c r="Z741" s="28"/>
    </row>
    <row r="742" spans="1:26" ht="13.5" customHeight="1">
      <c r="A742" s="28"/>
      <c r="B742" s="29"/>
      <c r="C742" s="29"/>
      <c r="D742" s="29"/>
      <c r="E742" s="30"/>
      <c r="F742" s="28"/>
      <c r="G742" s="28"/>
      <c r="H742" s="28"/>
      <c r="I742" s="28"/>
      <c r="J742" s="28"/>
      <c r="K742" s="28"/>
      <c r="L742" s="28"/>
      <c r="M742" s="28"/>
      <c r="N742" s="28"/>
      <c r="O742" s="28"/>
      <c r="P742" s="28"/>
      <c r="Q742" s="28"/>
      <c r="R742" s="28"/>
      <c r="S742" s="28"/>
      <c r="T742" s="28"/>
      <c r="U742" s="28"/>
      <c r="V742" s="28"/>
      <c r="W742" s="28"/>
      <c r="X742" s="28"/>
      <c r="Y742" s="28"/>
      <c r="Z742" s="28"/>
    </row>
    <row r="743" spans="1:26" ht="13.5" customHeight="1">
      <c r="A743" s="28"/>
      <c r="B743" s="29"/>
      <c r="C743" s="29"/>
      <c r="D743" s="29"/>
      <c r="E743" s="30"/>
      <c r="F743" s="28"/>
      <c r="G743" s="28"/>
      <c r="H743" s="28"/>
      <c r="I743" s="28"/>
      <c r="J743" s="28"/>
      <c r="K743" s="28"/>
      <c r="L743" s="28"/>
      <c r="M743" s="28"/>
      <c r="N743" s="28"/>
      <c r="O743" s="28"/>
      <c r="P743" s="28"/>
      <c r="Q743" s="28"/>
      <c r="R743" s="28"/>
      <c r="S743" s="28"/>
      <c r="T743" s="28"/>
      <c r="U743" s="28"/>
      <c r="V743" s="28"/>
      <c r="W743" s="28"/>
      <c r="X743" s="28"/>
      <c r="Y743" s="28"/>
      <c r="Z743" s="28"/>
    </row>
    <row r="744" spans="1:26" ht="13.5" customHeight="1">
      <c r="A744" s="28"/>
      <c r="B744" s="29"/>
      <c r="C744" s="29"/>
      <c r="D744" s="29"/>
      <c r="E744" s="30"/>
      <c r="F744" s="28"/>
      <c r="G744" s="28"/>
      <c r="H744" s="28"/>
      <c r="I744" s="28"/>
      <c r="J744" s="28"/>
      <c r="K744" s="28"/>
      <c r="L744" s="28"/>
      <c r="M744" s="28"/>
      <c r="N744" s="28"/>
      <c r="O744" s="28"/>
      <c r="P744" s="28"/>
      <c r="Q744" s="28"/>
      <c r="R744" s="28"/>
      <c r="S744" s="28"/>
      <c r="T744" s="28"/>
      <c r="U744" s="28"/>
      <c r="V744" s="28"/>
      <c r="W744" s="28"/>
      <c r="X744" s="28"/>
      <c r="Y744" s="28"/>
      <c r="Z744" s="28"/>
    </row>
    <row r="745" spans="1:26" ht="13.5" customHeight="1">
      <c r="A745" s="28"/>
      <c r="B745" s="29"/>
      <c r="C745" s="29"/>
      <c r="D745" s="29"/>
      <c r="E745" s="30"/>
      <c r="F745" s="28"/>
      <c r="G745" s="28"/>
      <c r="H745" s="28"/>
      <c r="I745" s="28"/>
      <c r="J745" s="28"/>
      <c r="K745" s="28"/>
      <c r="L745" s="28"/>
      <c r="M745" s="28"/>
      <c r="N745" s="28"/>
      <c r="O745" s="28"/>
      <c r="P745" s="28"/>
      <c r="Q745" s="28"/>
      <c r="R745" s="28"/>
      <c r="S745" s="28"/>
      <c r="T745" s="28"/>
      <c r="U745" s="28"/>
      <c r="V745" s="28"/>
      <c r="W745" s="28"/>
      <c r="X745" s="28"/>
      <c r="Y745" s="28"/>
      <c r="Z745" s="28"/>
    </row>
    <row r="746" spans="1:26" ht="13.5" customHeight="1">
      <c r="A746" s="28"/>
      <c r="B746" s="29"/>
      <c r="C746" s="29"/>
      <c r="D746" s="29"/>
      <c r="E746" s="30"/>
      <c r="F746" s="28"/>
      <c r="G746" s="28"/>
      <c r="H746" s="28"/>
      <c r="I746" s="28"/>
      <c r="J746" s="28"/>
      <c r="K746" s="28"/>
      <c r="L746" s="28"/>
      <c r="M746" s="28"/>
      <c r="N746" s="28"/>
      <c r="O746" s="28"/>
      <c r="P746" s="28"/>
      <c r="Q746" s="28"/>
      <c r="R746" s="28"/>
      <c r="S746" s="28"/>
      <c r="T746" s="28"/>
      <c r="U746" s="28"/>
      <c r="V746" s="28"/>
      <c r="W746" s="28"/>
      <c r="X746" s="28"/>
      <c r="Y746" s="28"/>
      <c r="Z746" s="28"/>
    </row>
    <row r="747" spans="1:26" ht="13.5" customHeight="1">
      <c r="A747" s="28"/>
      <c r="B747" s="29"/>
      <c r="C747" s="29"/>
      <c r="D747" s="29"/>
      <c r="E747" s="30"/>
      <c r="F747" s="28"/>
      <c r="G747" s="28"/>
      <c r="H747" s="28"/>
      <c r="I747" s="28"/>
      <c r="J747" s="28"/>
      <c r="K747" s="28"/>
      <c r="L747" s="28"/>
      <c r="M747" s="28"/>
      <c r="N747" s="28"/>
      <c r="O747" s="28"/>
      <c r="P747" s="28"/>
      <c r="Q747" s="28"/>
      <c r="R747" s="28"/>
      <c r="S747" s="28"/>
      <c r="T747" s="28"/>
      <c r="U747" s="28"/>
      <c r="V747" s="28"/>
      <c r="W747" s="28"/>
      <c r="X747" s="28"/>
      <c r="Y747" s="28"/>
      <c r="Z747" s="28"/>
    </row>
    <row r="748" spans="1:26" ht="13.5" customHeight="1">
      <c r="A748" s="28"/>
      <c r="B748" s="29"/>
      <c r="C748" s="29"/>
      <c r="D748" s="29"/>
      <c r="E748" s="30"/>
      <c r="F748" s="28"/>
      <c r="G748" s="28"/>
      <c r="H748" s="28"/>
      <c r="I748" s="28"/>
      <c r="J748" s="28"/>
      <c r="K748" s="28"/>
      <c r="L748" s="28"/>
      <c r="M748" s="28"/>
      <c r="N748" s="28"/>
      <c r="O748" s="28"/>
      <c r="P748" s="28"/>
      <c r="Q748" s="28"/>
      <c r="R748" s="28"/>
      <c r="S748" s="28"/>
      <c r="T748" s="28"/>
      <c r="U748" s="28"/>
      <c r="V748" s="28"/>
      <c r="W748" s="28"/>
      <c r="X748" s="28"/>
      <c r="Y748" s="28"/>
      <c r="Z748" s="28"/>
    </row>
    <row r="749" spans="1:26" ht="13.5" customHeight="1">
      <c r="A749" s="28"/>
      <c r="B749" s="29"/>
      <c r="C749" s="29"/>
      <c r="D749" s="29"/>
      <c r="E749" s="30"/>
      <c r="F749" s="28"/>
      <c r="G749" s="28"/>
      <c r="H749" s="28"/>
      <c r="I749" s="28"/>
      <c r="J749" s="28"/>
      <c r="K749" s="28"/>
      <c r="L749" s="28"/>
      <c r="M749" s="28"/>
      <c r="N749" s="28"/>
      <c r="O749" s="28"/>
      <c r="P749" s="28"/>
      <c r="Q749" s="28"/>
      <c r="R749" s="28"/>
      <c r="S749" s="28"/>
      <c r="T749" s="28"/>
      <c r="U749" s="28"/>
      <c r="V749" s="28"/>
      <c r="W749" s="28"/>
      <c r="X749" s="28"/>
      <c r="Y749" s="28"/>
      <c r="Z749" s="28"/>
    </row>
    <row r="750" spans="1:26" ht="13.5" customHeight="1">
      <c r="A750" s="28"/>
      <c r="B750" s="29"/>
      <c r="C750" s="29"/>
      <c r="D750" s="29"/>
      <c r="E750" s="30"/>
      <c r="F750" s="28"/>
      <c r="G750" s="28"/>
      <c r="H750" s="28"/>
      <c r="I750" s="28"/>
      <c r="J750" s="28"/>
      <c r="K750" s="28"/>
      <c r="L750" s="28"/>
      <c r="M750" s="28"/>
      <c r="N750" s="28"/>
      <c r="O750" s="28"/>
      <c r="P750" s="28"/>
      <c r="Q750" s="28"/>
      <c r="R750" s="28"/>
      <c r="S750" s="28"/>
      <c r="T750" s="28"/>
      <c r="U750" s="28"/>
      <c r="V750" s="28"/>
      <c r="W750" s="28"/>
      <c r="X750" s="28"/>
      <c r="Y750" s="28"/>
      <c r="Z750" s="28"/>
    </row>
    <row r="751" spans="1:26" ht="13.5" customHeight="1">
      <c r="A751" s="28"/>
      <c r="B751" s="29"/>
      <c r="C751" s="29"/>
      <c r="D751" s="29"/>
      <c r="E751" s="30"/>
      <c r="F751" s="28"/>
      <c r="G751" s="28"/>
      <c r="H751" s="28"/>
      <c r="I751" s="28"/>
      <c r="J751" s="28"/>
      <c r="K751" s="28"/>
      <c r="L751" s="28"/>
      <c r="M751" s="28"/>
      <c r="N751" s="28"/>
      <c r="O751" s="28"/>
      <c r="P751" s="28"/>
      <c r="Q751" s="28"/>
      <c r="R751" s="28"/>
      <c r="S751" s="28"/>
      <c r="T751" s="28"/>
      <c r="U751" s="28"/>
      <c r="V751" s="28"/>
      <c r="W751" s="28"/>
      <c r="X751" s="28"/>
      <c r="Y751" s="28"/>
      <c r="Z751" s="28"/>
    </row>
    <row r="752" spans="1:26" ht="13.5" customHeight="1">
      <c r="A752" s="28"/>
      <c r="B752" s="29"/>
      <c r="C752" s="29"/>
      <c r="D752" s="29"/>
      <c r="E752" s="30"/>
      <c r="F752" s="28"/>
      <c r="G752" s="28"/>
      <c r="H752" s="28"/>
      <c r="I752" s="28"/>
      <c r="J752" s="28"/>
      <c r="K752" s="28"/>
      <c r="L752" s="28"/>
      <c r="M752" s="28"/>
      <c r="N752" s="28"/>
      <c r="O752" s="28"/>
      <c r="P752" s="28"/>
      <c r="Q752" s="28"/>
      <c r="R752" s="28"/>
      <c r="S752" s="28"/>
      <c r="T752" s="28"/>
      <c r="U752" s="28"/>
      <c r="V752" s="28"/>
      <c r="W752" s="28"/>
      <c r="X752" s="28"/>
      <c r="Y752" s="28"/>
      <c r="Z752" s="28"/>
    </row>
    <row r="753" spans="1:26" ht="13.5" customHeight="1">
      <c r="A753" s="28"/>
      <c r="B753" s="29"/>
      <c r="C753" s="29"/>
      <c r="D753" s="29"/>
      <c r="E753" s="30"/>
      <c r="F753" s="28"/>
      <c r="G753" s="28"/>
      <c r="H753" s="28"/>
      <c r="I753" s="28"/>
      <c r="J753" s="28"/>
      <c r="K753" s="28"/>
      <c r="L753" s="28"/>
      <c r="M753" s="28"/>
      <c r="N753" s="28"/>
      <c r="O753" s="28"/>
      <c r="P753" s="28"/>
      <c r="Q753" s="28"/>
      <c r="R753" s="28"/>
      <c r="S753" s="28"/>
      <c r="T753" s="28"/>
      <c r="U753" s="28"/>
      <c r="V753" s="28"/>
      <c r="W753" s="28"/>
      <c r="X753" s="28"/>
      <c r="Y753" s="28"/>
      <c r="Z753" s="28"/>
    </row>
    <row r="754" spans="1:26" ht="13.5" customHeight="1">
      <c r="A754" s="28"/>
      <c r="B754" s="29"/>
      <c r="C754" s="29"/>
      <c r="D754" s="29"/>
      <c r="E754" s="30"/>
      <c r="F754" s="28"/>
      <c r="G754" s="28"/>
      <c r="H754" s="28"/>
      <c r="I754" s="28"/>
      <c r="J754" s="28"/>
      <c r="K754" s="28"/>
      <c r="L754" s="28"/>
      <c r="M754" s="28"/>
      <c r="N754" s="28"/>
      <c r="O754" s="28"/>
      <c r="P754" s="28"/>
      <c r="Q754" s="28"/>
      <c r="R754" s="28"/>
      <c r="S754" s="28"/>
      <c r="T754" s="28"/>
      <c r="U754" s="28"/>
      <c r="V754" s="28"/>
      <c r="W754" s="28"/>
      <c r="X754" s="28"/>
      <c r="Y754" s="28"/>
      <c r="Z754" s="28"/>
    </row>
    <row r="755" spans="1:26" ht="13.5" customHeight="1">
      <c r="A755" s="28"/>
      <c r="B755" s="29"/>
      <c r="C755" s="29"/>
      <c r="D755" s="29"/>
      <c r="E755" s="30"/>
      <c r="F755" s="28"/>
      <c r="G755" s="28"/>
      <c r="H755" s="28"/>
      <c r="I755" s="28"/>
      <c r="J755" s="28"/>
      <c r="K755" s="28"/>
      <c r="L755" s="28"/>
      <c r="M755" s="28"/>
      <c r="N755" s="28"/>
      <c r="O755" s="28"/>
      <c r="P755" s="28"/>
      <c r="Q755" s="28"/>
      <c r="R755" s="28"/>
      <c r="S755" s="28"/>
      <c r="T755" s="28"/>
      <c r="U755" s="28"/>
      <c r="V755" s="28"/>
      <c r="W755" s="28"/>
      <c r="X755" s="28"/>
      <c r="Y755" s="28"/>
      <c r="Z755" s="28"/>
    </row>
    <row r="756" spans="1:26" ht="13.5" customHeight="1">
      <c r="A756" s="28"/>
      <c r="B756" s="29"/>
      <c r="C756" s="29"/>
      <c r="D756" s="29"/>
      <c r="E756" s="30"/>
      <c r="F756" s="28"/>
      <c r="G756" s="28"/>
      <c r="H756" s="28"/>
      <c r="I756" s="28"/>
      <c r="J756" s="28"/>
      <c r="K756" s="28"/>
      <c r="L756" s="28"/>
      <c r="M756" s="28"/>
      <c r="N756" s="28"/>
      <c r="O756" s="28"/>
      <c r="P756" s="28"/>
      <c r="Q756" s="28"/>
      <c r="R756" s="28"/>
      <c r="S756" s="28"/>
      <c r="T756" s="28"/>
      <c r="U756" s="28"/>
      <c r="V756" s="28"/>
      <c r="W756" s="28"/>
      <c r="X756" s="28"/>
      <c r="Y756" s="28"/>
      <c r="Z756" s="28"/>
    </row>
    <row r="757" spans="1:26" ht="13.5" customHeight="1">
      <c r="A757" s="28"/>
      <c r="B757" s="29"/>
      <c r="C757" s="29"/>
      <c r="D757" s="29"/>
      <c r="E757" s="30"/>
      <c r="F757" s="28"/>
      <c r="G757" s="28"/>
      <c r="H757" s="28"/>
      <c r="I757" s="28"/>
      <c r="J757" s="28"/>
      <c r="K757" s="28"/>
      <c r="L757" s="28"/>
      <c r="M757" s="28"/>
      <c r="N757" s="28"/>
      <c r="O757" s="28"/>
      <c r="P757" s="28"/>
      <c r="Q757" s="28"/>
      <c r="R757" s="28"/>
      <c r="S757" s="28"/>
      <c r="T757" s="28"/>
      <c r="U757" s="28"/>
      <c r="V757" s="28"/>
      <c r="W757" s="28"/>
      <c r="X757" s="28"/>
      <c r="Y757" s="28"/>
      <c r="Z757" s="28"/>
    </row>
    <row r="758" spans="1:26" ht="13.5" customHeight="1">
      <c r="A758" s="28"/>
      <c r="B758" s="29"/>
      <c r="C758" s="29"/>
      <c r="D758" s="29"/>
      <c r="E758" s="30"/>
      <c r="F758" s="28"/>
      <c r="G758" s="28"/>
      <c r="H758" s="28"/>
      <c r="I758" s="28"/>
      <c r="J758" s="28"/>
      <c r="K758" s="28"/>
      <c r="L758" s="28"/>
      <c r="M758" s="28"/>
      <c r="N758" s="28"/>
      <c r="O758" s="28"/>
      <c r="P758" s="28"/>
      <c r="Q758" s="28"/>
      <c r="R758" s="28"/>
      <c r="S758" s="28"/>
      <c r="T758" s="28"/>
      <c r="U758" s="28"/>
      <c r="V758" s="28"/>
      <c r="W758" s="28"/>
      <c r="X758" s="28"/>
      <c r="Y758" s="28"/>
      <c r="Z758" s="28"/>
    </row>
    <row r="759" spans="1:26" ht="13.5" customHeight="1">
      <c r="A759" s="28"/>
      <c r="B759" s="29"/>
      <c r="C759" s="29"/>
      <c r="D759" s="29"/>
      <c r="E759" s="30"/>
      <c r="F759" s="28"/>
      <c r="G759" s="28"/>
      <c r="H759" s="28"/>
      <c r="I759" s="28"/>
      <c r="J759" s="28"/>
      <c r="K759" s="28"/>
      <c r="L759" s="28"/>
      <c r="M759" s="28"/>
      <c r="N759" s="28"/>
      <c r="O759" s="28"/>
      <c r="P759" s="28"/>
      <c r="Q759" s="28"/>
      <c r="R759" s="28"/>
      <c r="S759" s="28"/>
      <c r="T759" s="28"/>
      <c r="U759" s="28"/>
      <c r="V759" s="28"/>
      <c r="W759" s="28"/>
      <c r="X759" s="28"/>
      <c r="Y759" s="28"/>
      <c r="Z759" s="28"/>
    </row>
    <row r="760" spans="1:26" ht="13.5" customHeight="1">
      <c r="A760" s="28"/>
      <c r="B760" s="29"/>
      <c r="C760" s="29"/>
      <c r="D760" s="29"/>
      <c r="E760" s="30"/>
      <c r="F760" s="28"/>
      <c r="G760" s="28"/>
      <c r="H760" s="28"/>
      <c r="I760" s="28"/>
      <c r="J760" s="28"/>
      <c r="K760" s="28"/>
      <c r="L760" s="28"/>
      <c r="M760" s="28"/>
      <c r="N760" s="28"/>
      <c r="O760" s="28"/>
      <c r="P760" s="28"/>
      <c r="Q760" s="28"/>
      <c r="R760" s="28"/>
      <c r="S760" s="28"/>
      <c r="T760" s="28"/>
      <c r="U760" s="28"/>
      <c r="V760" s="28"/>
      <c r="W760" s="28"/>
      <c r="X760" s="28"/>
      <c r="Y760" s="28"/>
      <c r="Z760" s="28"/>
    </row>
    <row r="761" spans="1:26" ht="13.5" customHeight="1">
      <c r="A761" s="28"/>
      <c r="B761" s="29"/>
      <c r="C761" s="29"/>
      <c r="D761" s="29"/>
      <c r="E761" s="30"/>
      <c r="F761" s="28"/>
      <c r="G761" s="28"/>
      <c r="H761" s="28"/>
      <c r="I761" s="28"/>
      <c r="J761" s="28"/>
      <c r="K761" s="28"/>
      <c r="L761" s="28"/>
      <c r="M761" s="28"/>
      <c r="N761" s="28"/>
      <c r="O761" s="28"/>
      <c r="P761" s="28"/>
      <c r="Q761" s="28"/>
      <c r="R761" s="28"/>
      <c r="S761" s="28"/>
      <c r="T761" s="28"/>
      <c r="U761" s="28"/>
      <c r="V761" s="28"/>
      <c r="W761" s="28"/>
      <c r="X761" s="28"/>
      <c r="Y761" s="28"/>
      <c r="Z761" s="28"/>
    </row>
    <row r="762" spans="1:26" ht="13.5" customHeight="1">
      <c r="A762" s="28"/>
      <c r="B762" s="29"/>
      <c r="C762" s="29"/>
      <c r="D762" s="29"/>
      <c r="E762" s="30"/>
      <c r="F762" s="28"/>
      <c r="G762" s="28"/>
      <c r="H762" s="28"/>
      <c r="I762" s="28"/>
      <c r="J762" s="28"/>
      <c r="K762" s="28"/>
      <c r="L762" s="28"/>
      <c r="M762" s="28"/>
      <c r="N762" s="28"/>
      <c r="O762" s="28"/>
      <c r="P762" s="28"/>
      <c r="Q762" s="28"/>
      <c r="R762" s="28"/>
      <c r="S762" s="28"/>
      <c r="T762" s="28"/>
      <c r="U762" s="28"/>
      <c r="V762" s="28"/>
      <c r="W762" s="28"/>
      <c r="X762" s="28"/>
      <c r="Y762" s="28"/>
      <c r="Z762" s="28"/>
    </row>
    <row r="763" spans="1:26" ht="13.5" customHeight="1">
      <c r="A763" s="28"/>
      <c r="B763" s="29"/>
      <c r="C763" s="29"/>
      <c r="D763" s="29"/>
      <c r="E763" s="30"/>
      <c r="F763" s="28"/>
      <c r="G763" s="28"/>
      <c r="H763" s="28"/>
      <c r="I763" s="28"/>
      <c r="J763" s="28"/>
      <c r="K763" s="28"/>
      <c r="L763" s="28"/>
      <c r="M763" s="28"/>
      <c r="N763" s="28"/>
      <c r="O763" s="28"/>
      <c r="P763" s="28"/>
      <c r="Q763" s="28"/>
      <c r="R763" s="28"/>
      <c r="S763" s="28"/>
      <c r="T763" s="28"/>
      <c r="U763" s="28"/>
      <c r="V763" s="28"/>
      <c r="W763" s="28"/>
      <c r="X763" s="28"/>
      <c r="Y763" s="28"/>
      <c r="Z763" s="28"/>
    </row>
    <row r="764" spans="1:26" ht="13.5" customHeight="1">
      <c r="A764" s="28"/>
      <c r="B764" s="29"/>
      <c r="C764" s="29"/>
      <c r="D764" s="29"/>
      <c r="E764" s="30"/>
      <c r="F764" s="28"/>
      <c r="G764" s="28"/>
      <c r="H764" s="28"/>
      <c r="I764" s="28"/>
      <c r="J764" s="28"/>
      <c r="K764" s="28"/>
      <c r="L764" s="28"/>
      <c r="M764" s="28"/>
      <c r="N764" s="28"/>
      <c r="O764" s="28"/>
      <c r="P764" s="28"/>
      <c r="Q764" s="28"/>
      <c r="R764" s="28"/>
      <c r="S764" s="28"/>
      <c r="T764" s="28"/>
      <c r="U764" s="28"/>
      <c r="V764" s="28"/>
      <c r="W764" s="28"/>
      <c r="X764" s="28"/>
      <c r="Y764" s="28"/>
      <c r="Z764" s="28"/>
    </row>
    <row r="765" spans="1:26" ht="13.5" customHeight="1">
      <c r="A765" s="28"/>
      <c r="B765" s="29"/>
      <c r="C765" s="29"/>
      <c r="D765" s="29"/>
      <c r="E765" s="30"/>
      <c r="F765" s="28"/>
      <c r="G765" s="28"/>
      <c r="H765" s="28"/>
      <c r="I765" s="28"/>
      <c r="J765" s="28"/>
      <c r="K765" s="28"/>
      <c r="L765" s="28"/>
      <c r="M765" s="28"/>
      <c r="N765" s="28"/>
      <c r="O765" s="28"/>
      <c r="P765" s="28"/>
      <c r="Q765" s="28"/>
      <c r="R765" s="28"/>
      <c r="S765" s="28"/>
      <c r="T765" s="28"/>
      <c r="U765" s="28"/>
      <c r="V765" s="28"/>
      <c r="W765" s="28"/>
      <c r="X765" s="28"/>
      <c r="Y765" s="28"/>
      <c r="Z765" s="28"/>
    </row>
    <row r="766" spans="1:26" ht="13.5" customHeight="1">
      <c r="A766" s="28"/>
      <c r="B766" s="29"/>
      <c r="C766" s="29"/>
      <c r="D766" s="29"/>
      <c r="E766" s="30"/>
      <c r="F766" s="28"/>
      <c r="G766" s="28"/>
      <c r="H766" s="28"/>
      <c r="I766" s="28"/>
      <c r="J766" s="28"/>
      <c r="K766" s="28"/>
      <c r="L766" s="28"/>
      <c r="M766" s="28"/>
      <c r="N766" s="28"/>
      <c r="O766" s="28"/>
      <c r="P766" s="28"/>
      <c r="Q766" s="28"/>
      <c r="R766" s="28"/>
      <c r="S766" s="28"/>
      <c r="T766" s="28"/>
      <c r="U766" s="28"/>
      <c r="V766" s="28"/>
      <c r="W766" s="28"/>
      <c r="X766" s="28"/>
      <c r="Y766" s="28"/>
      <c r="Z766" s="28"/>
    </row>
    <row r="767" spans="1:26" ht="13.5" customHeight="1">
      <c r="A767" s="28"/>
      <c r="B767" s="29"/>
      <c r="C767" s="29"/>
      <c r="D767" s="29"/>
      <c r="E767" s="30"/>
      <c r="F767" s="28"/>
      <c r="G767" s="28"/>
      <c r="H767" s="28"/>
      <c r="I767" s="28"/>
      <c r="J767" s="28"/>
      <c r="K767" s="28"/>
      <c r="L767" s="28"/>
      <c r="M767" s="28"/>
      <c r="N767" s="28"/>
      <c r="O767" s="28"/>
      <c r="P767" s="28"/>
      <c r="Q767" s="28"/>
      <c r="R767" s="28"/>
      <c r="S767" s="28"/>
      <c r="T767" s="28"/>
      <c r="U767" s="28"/>
      <c r="V767" s="28"/>
      <c r="W767" s="28"/>
      <c r="X767" s="28"/>
      <c r="Y767" s="28"/>
      <c r="Z767" s="28"/>
    </row>
    <row r="768" spans="1:26" ht="13.5" customHeight="1">
      <c r="A768" s="28"/>
      <c r="B768" s="29"/>
      <c r="C768" s="29"/>
      <c r="D768" s="29"/>
      <c r="E768" s="30"/>
      <c r="F768" s="28"/>
      <c r="G768" s="28"/>
      <c r="H768" s="28"/>
      <c r="I768" s="28"/>
      <c r="J768" s="28"/>
      <c r="K768" s="28"/>
      <c r="L768" s="28"/>
      <c r="M768" s="28"/>
      <c r="N768" s="28"/>
      <c r="O768" s="28"/>
      <c r="P768" s="28"/>
      <c r="Q768" s="28"/>
      <c r="R768" s="28"/>
      <c r="S768" s="28"/>
      <c r="T768" s="28"/>
      <c r="U768" s="28"/>
      <c r="V768" s="28"/>
      <c r="W768" s="28"/>
      <c r="X768" s="28"/>
      <c r="Y768" s="28"/>
      <c r="Z768" s="28"/>
    </row>
    <row r="769" spans="1:26" ht="13.5" customHeight="1">
      <c r="A769" s="28"/>
      <c r="B769" s="29"/>
      <c r="C769" s="29"/>
      <c r="D769" s="29"/>
      <c r="E769" s="30"/>
      <c r="F769" s="28"/>
      <c r="G769" s="28"/>
      <c r="H769" s="28"/>
      <c r="I769" s="28"/>
      <c r="J769" s="28"/>
      <c r="K769" s="28"/>
      <c r="L769" s="28"/>
      <c r="M769" s="28"/>
      <c r="N769" s="28"/>
      <c r="O769" s="28"/>
      <c r="P769" s="28"/>
      <c r="Q769" s="28"/>
      <c r="R769" s="28"/>
      <c r="S769" s="28"/>
      <c r="T769" s="28"/>
      <c r="U769" s="28"/>
      <c r="V769" s="28"/>
      <c r="W769" s="28"/>
      <c r="X769" s="28"/>
      <c r="Y769" s="28"/>
      <c r="Z769" s="28"/>
    </row>
    <row r="770" spans="1:26" ht="13.5" customHeight="1">
      <c r="A770" s="28"/>
      <c r="B770" s="29"/>
      <c r="C770" s="29"/>
      <c r="D770" s="29"/>
      <c r="E770" s="30"/>
      <c r="F770" s="28"/>
      <c r="G770" s="28"/>
      <c r="H770" s="28"/>
      <c r="I770" s="28"/>
      <c r="J770" s="28"/>
      <c r="K770" s="28"/>
      <c r="L770" s="28"/>
      <c r="M770" s="28"/>
      <c r="N770" s="28"/>
      <c r="O770" s="28"/>
      <c r="P770" s="28"/>
      <c r="Q770" s="28"/>
      <c r="R770" s="28"/>
      <c r="S770" s="28"/>
      <c r="T770" s="28"/>
      <c r="U770" s="28"/>
      <c r="V770" s="28"/>
      <c r="W770" s="28"/>
      <c r="X770" s="28"/>
      <c r="Y770" s="28"/>
      <c r="Z770" s="28"/>
    </row>
    <row r="771" spans="1:26" ht="13.5" customHeight="1">
      <c r="A771" s="28"/>
      <c r="B771" s="29"/>
      <c r="C771" s="29"/>
      <c r="D771" s="29"/>
      <c r="E771" s="30"/>
      <c r="F771" s="28"/>
      <c r="G771" s="28"/>
      <c r="H771" s="28"/>
      <c r="I771" s="28"/>
      <c r="J771" s="28"/>
      <c r="K771" s="28"/>
      <c r="L771" s="28"/>
      <c r="M771" s="28"/>
      <c r="N771" s="28"/>
      <c r="O771" s="28"/>
      <c r="P771" s="28"/>
      <c r="Q771" s="28"/>
      <c r="R771" s="28"/>
      <c r="S771" s="28"/>
      <c r="T771" s="28"/>
      <c r="U771" s="28"/>
      <c r="V771" s="28"/>
      <c r="W771" s="28"/>
      <c r="X771" s="28"/>
      <c r="Y771" s="28"/>
      <c r="Z771" s="28"/>
    </row>
    <row r="772" spans="1:26" ht="13.5" customHeight="1">
      <c r="A772" s="28"/>
      <c r="B772" s="29"/>
      <c r="C772" s="29"/>
      <c r="D772" s="29"/>
      <c r="E772" s="30"/>
      <c r="F772" s="28"/>
      <c r="G772" s="28"/>
      <c r="H772" s="28"/>
      <c r="I772" s="28"/>
      <c r="J772" s="28"/>
      <c r="K772" s="28"/>
      <c r="L772" s="28"/>
      <c r="M772" s="28"/>
      <c r="N772" s="28"/>
      <c r="O772" s="28"/>
      <c r="P772" s="28"/>
      <c r="Q772" s="28"/>
      <c r="R772" s="28"/>
      <c r="S772" s="28"/>
      <c r="T772" s="28"/>
      <c r="U772" s="28"/>
      <c r="V772" s="28"/>
      <c r="W772" s="28"/>
      <c r="X772" s="28"/>
      <c r="Y772" s="28"/>
      <c r="Z772" s="28"/>
    </row>
    <row r="773" spans="1:26" ht="13.5" customHeight="1">
      <c r="A773" s="28"/>
      <c r="B773" s="29"/>
      <c r="C773" s="29"/>
      <c r="D773" s="29"/>
      <c r="E773" s="30"/>
      <c r="F773" s="28"/>
      <c r="G773" s="28"/>
      <c r="H773" s="28"/>
      <c r="I773" s="28"/>
      <c r="J773" s="28"/>
      <c r="K773" s="28"/>
      <c r="L773" s="28"/>
      <c r="M773" s="28"/>
      <c r="N773" s="28"/>
      <c r="O773" s="28"/>
      <c r="P773" s="28"/>
      <c r="Q773" s="28"/>
      <c r="R773" s="28"/>
      <c r="S773" s="28"/>
      <c r="T773" s="28"/>
      <c r="U773" s="28"/>
      <c r="V773" s="28"/>
      <c r="W773" s="28"/>
      <c r="X773" s="28"/>
      <c r="Y773" s="28"/>
      <c r="Z773" s="28"/>
    </row>
    <row r="774" spans="1:26" ht="13.5" customHeight="1">
      <c r="A774" s="28"/>
      <c r="B774" s="29"/>
      <c r="C774" s="29"/>
      <c r="D774" s="29"/>
      <c r="E774" s="30"/>
      <c r="F774" s="28"/>
      <c r="G774" s="28"/>
      <c r="H774" s="28"/>
      <c r="I774" s="28"/>
      <c r="J774" s="28"/>
      <c r="K774" s="28"/>
      <c r="L774" s="28"/>
      <c r="M774" s="28"/>
      <c r="N774" s="28"/>
      <c r="O774" s="28"/>
      <c r="P774" s="28"/>
      <c r="Q774" s="28"/>
      <c r="R774" s="28"/>
      <c r="S774" s="28"/>
      <c r="T774" s="28"/>
      <c r="U774" s="28"/>
      <c r="V774" s="28"/>
      <c r="W774" s="28"/>
      <c r="X774" s="28"/>
      <c r="Y774" s="28"/>
      <c r="Z774" s="28"/>
    </row>
    <row r="775" spans="1:26" ht="13.5" customHeight="1">
      <c r="A775" s="28"/>
      <c r="B775" s="29"/>
      <c r="C775" s="29"/>
      <c r="D775" s="29"/>
      <c r="E775" s="30"/>
      <c r="F775" s="28"/>
      <c r="G775" s="28"/>
      <c r="H775" s="28"/>
      <c r="I775" s="28"/>
      <c r="J775" s="28"/>
      <c r="K775" s="28"/>
      <c r="L775" s="28"/>
      <c r="M775" s="28"/>
      <c r="N775" s="28"/>
      <c r="O775" s="28"/>
      <c r="P775" s="28"/>
      <c r="Q775" s="28"/>
      <c r="R775" s="28"/>
      <c r="S775" s="28"/>
      <c r="T775" s="28"/>
      <c r="U775" s="28"/>
      <c r="V775" s="28"/>
      <c r="W775" s="28"/>
      <c r="X775" s="28"/>
      <c r="Y775" s="28"/>
      <c r="Z775" s="28"/>
    </row>
    <row r="776" spans="1:26" ht="13.5" customHeight="1">
      <c r="A776" s="28"/>
      <c r="B776" s="29"/>
      <c r="C776" s="29"/>
      <c r="D776" s="29"/>
      <c r="E776" s="30"/>
      <c r="F776" s="28"/>
      <c r="G776" s="28"/>
      <c r="H776" s="28"/>
      <c r="I776" s="28"/>
      <c r="J776" s="28"/>
      <c r="K776" s="28"/>
      <c r="L776" s="28"/>
      <c r="M776" s="28"/>
      <c r="N776" s="28"/>
      <c r="O776" s="28"/>
      <c r="P776" s="28"/>
      <c r="Q776" s="28"/>
      <c r="R776" s="28"/>
      <c r="S776" s="28"/>
      <c r="T776" s="28"/>
      <c r="U776" s="28"/>
      <c r="V776" s="28"/>
      <c r="W776" s="28"/>
      <c r="X776" s="28"/>
      <c r="Y776" s="28"/>
      <c r="Z776" s="28"/>
    </row>
    <row r="777" spans="1:26" ht="13.5" customHeight="1">
      <c r="A777" s="28"/>
      <c r="B777" s="29"/>
      <c r="C777" s="29"/>
      <c r="D777" s="29"/>
      <c r="E777" s="30"/>
      <c r="F777" s="28"/>
      <c r="G777" s="28"/>
      <c r="H777" s="28"/>
      <c r="I777" s="28"/>
      <c r="J777" s="28"/>
      <c r="K777" s="28"/>
      <c r="L777" s="28"/>
      <c r="M777" s="28"/>
      <c r="N777" s="28"/>
      <c r="O777" s="28"/>
      <c r="P777" s="28"/>
      <c r="Q777" s="28"/>
      <c r="R777" s="28"/>
      <c r="S777" s="28"/>
      <c r="T777" s="28"/>
      <c r="U777" s="28"/>
      <c r="V777" s="28"/>
      <c r="W777" s="28"/>
      <c r="X777" s="28"/>
      <c r="Y777" s="28"/>
      <c r="Z777" s="28"/>
    </row>
    <row r="778" spans="1:26" ht="13.5" customHeight="1">
      <c r="A778" s="28"/>
      <c r="B778" s="29"/>
      <c r="C778" s="29"/>
      <c r="D778" s="29"/>
      <c r="E778" s="30"/>
      <c r="F778" s="28"/>
      <c r="G778" s="28"/>
      <c r="H778" s="28"/>
      <c r="I778" s="28"/>
      <c r="J778" s="28"/>
      <c r="K778" s="28"/>
      <c r="L778" s="28"/>
      <c r="M778" s="28"/>
      <c r="N778" s="28"/>
      <c r="O778" s="28"/>
      <c r="P778" s="28"/>
      <c r="Q778" s="28"/>
      <c r="R778" s="28"/>
      <c r="S778" s="28"/>
      <c r="T778" s="28"/>
      <c r="U778" s="28"/>
      <c r="V778" s="28"/>
      <c r="W778" s="28"/>
      <c r="X778" s="28"/>
      <c r="Y778" s="28"/>
      <c r="Z778" s="28"/>
    </row>
    <row r="779" spans="1:26" ht="13.5" customHeight="1">
      <c r="A779" s="28"/>
      <c r="B779" s="29"/>
      <c r="C779" s="29"/>
      <c r="D779" s="29"/>
      <c r="E779" s="30"/>
      <c r="F779" s="28"/>
      <c r="G779" s="28"/>
      <c r="H779" s="28"/>
      <c r="I779" s="28"/>
      <c r="J779" s="28"/>
      <c r="K779" s="28"/>
      <c r="L779" s="28"/>
      <c r="M779" s="28"/>
      <c r="N779" s="28"/>
      <c r="O779" s="28"/>
      <c r="P779" s="28"/>
      <c r="Q779" s="28"/>
      <c r="R779" s="28"/>
      <c r="S779" s="28"/>
      <c r="T779" s="28"/>
      <c r="U779" s="28"/>
      <c r="V779" s="28"/>
      <c r="W779" s="28"/>
      <c r="X779" s="28"/>
      <c r="Y779" s="28"/>
      <c r="Z779" s="28"/>
    </row>
    <row r="780" spans="1:26" ht="13.5" customHeight="1">
      <c r="A780" s="28"/>
      <c r="B780" s="29"/>
      <c r="C780" s="29"/>
      <c r="D780" s="29"/>
      <c r="E780" s="30"/>
      <c r="F780" s="28"/>
      <c r="G780" s="28"/>
      <c r="H780" s="28"/>
      <c r="I780" s="28"/>
      <c r="J780" s="28"/>
      <c r="K780" s="28"/>
      <c r="L780" s="28"/>
      <c r="M780" s="28"/>
      <c r="N780" s="28"/>
      <c r="O780" s="28"/>
      <c r="P780" s="28"/>
      <c r="Q780" s="28"/>
      <c r="R780" s="28"/>
      <c r="S780" s="28"/>
      <c r="T780" s="28"/>
      <c r="U780" s="28"/>
      <c r="V780" s="28"/>
      <c r="W780" s="28"/>
      <c r="X780" s="28"/>
      <c r="Y780" s="28"/>
      <c r="Z780" s="28"/>
    </row>
    <row r="781" spans="1:26" ht="13.5" customHeight="1">
      <c r="A781" s="28"/>
      <c r="B781" s="29"/>
      <c r="C781" s="29"/>
      <c r="D781" s="29"/>
      <c r="E781" s="30"/>
      <c r="F781" s="28"/>
      <c r="G781" s="28"/>
      <c r="H781" s="28"/>
      <c r="I781" s="28"/>
      <c r="J781" s="28"/>
      <c r="K781" s="28"/>
      <c r="L781" s="28"/>
      <c r="M781" s="28"/>
      <c r="N781" s="28"/>
      <c r="O781" s="28"/>
      <c r="P781" s="28"/>
      <c r="Q781" s="28"/>
      <c r="R781" s="28"/>
      <c r="S781" s="28"/>
      <c r="T781" s="28"/>
      <c r="U781" s="28"/>
      <c r="V781" s="28"/>
      <c r="W781" s="28"/>
      <c r="X781" s="28"/>
      <c r="Y781" s="28"/>
      <c r="Z781" s="28"/>
    </row>
    <row r="782" spans="1:26" ht="13.5" customHeight="1">
      <c r="A782" s="28"/>
      <c r="B782" s="29"/>
      <c r="C782" s="29"/>
      <c r="D782" s="29"/>
      <c r="E782" s="30"/>
      <c r="F782" s="28"/>
      <c r="G782" s="28"/>
      <c r="H782" s="28"/>
      <c r="I782" s="28"/>
      <c r="J782" s="28"/>
      <c r="K782" s="28"/>
      <c r="L782" s="28"/>
      <c r="M782" s="28"/>
      <c r="N782" s="28"/>
      <c r="O782" s="28"/>
      <c r="P782" s="28"/>
      <c r="Q782" s="28"/>
      <c r="R782" s="28"/>
      <c r="S782" s="28"/>
      <c r="T782" s="28"/>
      <c r="U782" s="28"/>
      <c r="V782" s="28"/>
      <c r="W782" s="28"/>
      <c r="X782" s="28"/>
      <c r="Y782" s="28"/>
      <c r="Z782" s="28"/>
    </row>
    <row r="783" spans="1:26" ht="13.5" customHeight="1">
      <c r="A783" s="28"/>
      <c r="B783" s="29"/>
      <c r="C783" s="29"/>
      <c r="D783" s="29"/>
      <c r="E783" s="30"/>
      <c r="F783" s="28"/>
      <c r="G783" s="28"/>
      <c r="H783" s="28"/>
      <c r="I783" s="28"/>
      <c r="J783" s="28"/>
      <c r="K783" s="28"/>
      <c r="L783" s="28"/>
      <c r="M783" s="28"/>
      <c r="N783" s="28"/>
      <c r="O783" s="28"/>
      <c r="P783" s="28"/>
      <c r="Q783" s="28"/>
      <c r="R783" s="28"/>
      <c r="S783" s="28"/>
      <c r="T783" s="28"/>
      <c r="U783" s="28"/>
      <c r="V783" s="28"/>
      <c r="W783" s="28"/>
      <c r="X783" s="28"/>
      <c r="Y783" s="28"/>
      <c r="Z783" s="28"/>
    </row>
    <row r="784" spans="1:26" ht="13.5" customHeight="1">
      <c r="A784" s="28"/>
      <c r="B784" s="29"/>
      <c r="C784" s="29"/>
      <c r="D784" s="29"/>
      <c r="E784" s="30"/>
      <c r="F784" s="28"/>
      <c r="G784" s="28"/>
      <c r="H784" s="28"/>
      <c r="I784" s="28"/>
      <c r="J784" s="28"/>
      <c r="K784" s="28"/>
      <c r="L784" s="28"/>
      <c r="M784" s="28"/>
      <c r="N784" s="28"/>
      <c r="O784" s="28"/>
      <c r="P784" s="28"/>
      <c r="Q784" s="28"/>
      <c r="R784" s="28"/>
      <c r="S784" s="28"/>
      <c r="T784" s="28"/>
      <c r="U784" s="28"/>
      <c r="V784" s="28"/>
      <c r="W784" s="28"/>
      <c r="X784" s="28"/>
      <c r="Y784" s="28"/>
      <c r="Z784" s="28"/>
    </row>
    <row r="785" spans="1:26" ht="13.5" customHeight="1">
      <c r="A785" s="28"/>
      <c r="B785" s="29"/>
      <c r="C785" s="29"/>
      <c r="D785" s="29"/>
      <c r="E785" s="30"/>
      <c r="F785" s="28"/>
      <c r="G785" s="28"/>
      <c r="H785" s="28"/>
      <c r="I785" s="28"/>
      <c r="J785" s="28"/>
      <c r="K785" s="28"/>
      <c r="L785" s="28"/>
      <c r="M785" s="28"/>
      <c r="N785" s="28"/>
      <c r="O785" s="28"/>
      <c r="P785" s="28"/>
      <c r="Q785" s="28"/>
      <c r="R785" s="28"/>
      <c r="S785" s="28"/>
      <c r="T785" s="28"/>
      <c r="U785" s="28"/>
      <c r="V785" s="28"/>
      <c r="W785" s="28"/>
      <c r="X785" s="28"/>
      <c r="Y785" s="28"/>
      <c r="Z785" s="28"/>
    </row>
    <row r="786" spans="1:26" ht="13.5" customHeight="1">
      <c r="A786" s="28"/>
      <c r="B786" s="29"/>
      <c r="C786" s="29"/>
      <c r="D786" s="29"/>
      <c r="E786" s="30"/>
      <c r="F786" s="28"/>
      <c r="G786" s="28"/>
      <c r="H786" s="28"/>
      <c r="I786" s="28"/>
      <c r="J786" s="28"/>
      <c r="K786" s="28"/>
      <c r="L786" s="28"/>
      <c r="M786" s="28"/>
      <c r="N786" s="28"/>
      <c r="O786" s="28"/>
      <c r="P786" s="28"/>
      <c r="Q786" s="28"/>
      <c r="R786" s="28"/>
      <c r="S786" s="28"/>
      <c r="T786" s="28"/>
      <c r="U786" s="28"/>
      <c r="V786" s="28"/>
      <c r="W786" s="28"/>
      <c r="X786" s="28"/>
      <c r="Y786" s="28"/>
      <c r="Z786" s="28"/>
    </row>
    <row r="787" spans="1:26" ht="13.5" customHeight="1">
      <c r="A787" s="28"/>
      <c r="B787" s="29"/>
      <c r="C787" s="29"/>
      <c r="D787" s="29"/>
      <c r="E787" s="30"/>
      <c r="F787" s="28"/>
      <c r="G787" s="28"/>
      <c r="H787" s="28"/>
      <c r="I787" s="28"/>
      <c r="J787" s="28"/>
      <c r="K787" s="28"/>
      <c r="L787" s="28"/>
      <c r="M787" s="28"/>
      <c r="N787" s="28"/>
      <c r="O787" s="28"/>
      <c r="P787" s="28"/>
      <c r="Q787" s="28"/>
      <c r="R787" s="28"/>
      <c r="S787" s="28"/>
      <c r="T787" s="28"/>
      <c r="U787" s="28"/>
      <c r="V787" s="28"/>
      <c r="W787" s="28"/>
      <c r="X787" s="28"/>
      <c r="Y787" s="28"/>
      <c r="Z787" s="28"/>
    </row>
    <row r="788" spans="1:26" ht="13.5" customHeight="1">
      <c r="A788" s="28"/>
      <c r="B788" s="29"/>
      <c r="C788" s="29"/>
      <c r="D788" s="29"/>
      <c r="E788" s="30"/>
      <c r="F788" s="28"/>
      <c r="G788" s="28"/>
      <c r="H788" s="28"/>
      <c r="I788" s="28"/>
      <c r="J788" s="28"/>
      <c r="K788" s="28"/>
      <c r="L788" s="28"/>
      <c r="M788" s="28"/>
      <c r="N788" s="28"/>
      <c r="O788" s="28"/>
      <c r="P788" s="28"/>
      <c r="Q788" s="28"/>
      <c r="R788" s="28"/>
      <c r="S788" s="28"/>
      <c r="T788" s="28"/>
      <c r="U788" s="28"/>
      <c r="V788" s="28"/>
      <c r="W788" s="28"/>
      <c r="X788" s="28"/>
      <c r="Y788" s="28"/>
      <c r="Z788" s="28"/>
    </row>
    <row r="789" spans="1:26" ht="13.5" customHeight="1">
      <c r="A789" s="28"/>
      <c r="B789" s="29"/>
      <c r="C789" s="29"/>
      <c r="D789" s="29"/>
      <c r="E789" s="30"/>
      <c r="F789" s="28"/>
      <c r="G789" s="28"/>
      <c r="H789" s="28"/>
      <c r="I789" s="28"/>
      <c r="J789" s="28"/>
      <c r="K789" s="28"/>
      <c r="L789" s="28"/>
      <c r="M789" s="28"/>
      <c r="N789" s="28"/>
      <c r="O789" s="28"/>
      <c r="P789" s="28"/>
      <c r="Q789" s="28"/>
      <c r="R789" s="28"/>
      <c r="S789" s="28"/>
      <c r="T789" s="28"/>
      <c r="U789" s="28"/>
      <c r="V789" s="28"/>
      <c r="W789" s="28"/>
      <c r="X789" s="28"/>
      <c r="Y789" s="28"/>
      <c r="Z789" s="28"/>
    </row>
    <row r="790" spans="1:26" ht="13.5" customHeight="1">
      <c r="A790" s="28"/>
      <c r="B790" s="29"/>
      <c r="C790" s="29"/>
      <c r="D790" s="29"/>
      <c r="E790" s="30"/>
      <c r="F790" s="28"/>
      <c r="G790" s="28"/>
      <c r="H790" s="28"/>
      <c r="I790" s="28"/>
      <c r="J790" s="28"/>
      <c r="K790" s="28"/>
      <c r="L790" s="28"/>
      <c r="M790" s="28"/>
      <c r="N790" s="28"/>
      <c r="O790" s="28"/>
      <c r="P790" s="28"/>
      <c r="Q790" s="28"/>
      <c r="R790" s="28"/>
      <c r="S790" s="28"/>
      <c r="T790" s="28"/>
      <c r="U790" s="28"/>
      <c r="V790" s="28"/>
      <c r="W790" s="28"/>
      <c r="X790" s="28"/>
      <c r="Y790" s="28"/>
      <c r="Z790" s="28"/>
    </row>
    <row r="791" spans="1:26" ht="13.5" customHeight="1">
      <c r="A791" s="28"/>
      <c r="B791" s="29"/>
      <c r="C791" s="29"/>
      <c r="D791" s="29"/>
      <c r="E791" s="30"/>
      <c r="F791" s="28"/>
      <c r="G791" s="28"/>
      <c r="H791" s="28"/>
      <c r="I791" s="28"/>
      <c r="J791" s="28"/>
      <c r="K791" s="28"/>
      <c r="L791" s="28"/>
      <c r="M791" s="28"/>
      <c r="N791" s="28"/>
      <c r="O791" s="28"/>
      <c r="P791" s="28"/>
      <c r="Q791" s="28"/>
      <c r="R791" s="28"/>
      <c r="S791" s="28"/>
      <c r="T791" s="28"/>
      <c r="U791" s="28"/>
      <c r="V791" s="28"/>
      <c r="W791" s="28"/>
      <c r="X791" s="28"/>
      <c r="Y791" s="28"/>
      <c r="Z791" s="28"/>
    </row>
    <row r="792" spans="1:26" ht="13.5" customHeight="1">
      <c r="A792" s="28"/>
      <c r="B792" s="29"/>
      <c r="C792" s="29"/>
      <c r="D792" s="29"/>
      <c r="E792" s="30"/>
      <c r="F792" s="28"/>
      <c r="G792" s="28"/>
      <c r="H792" s="28"/>
      <c r="I792" s="28"/>
      <c r="J792" s="28"/>
      <c r="K792" s="28"/>
      <c r="L792" s="28"/>
      <c r="M792" s="28"/>
      <c r="N792" s="28"/>
      <c r="O792" s="28"/>
      <c r="P792" s="28"/>
      <c r="Q792" s="28"/>
      <c r="R792" s="28"/>
      <c r="S792" s="28"/>
      <c r="T792" s="28"/>
      <c r="U792" s="28"/>
      <c r="V792" s="28"/>
      <c r="W792" s="28"/>
      <c r="X792" s="28"/>
      <c r="Y792" s="28"/>
      <c r="Z792" s="28"/>
    </row>
    <row r="793" spans="1:26" ht="13.5" customHeight="1">
      <c r="A793" s="28"/>
      <c r="B793" s="29"/>
      <c r="C793" s="29"/>
      <c r="D793" s="29"/>
      <c r="E793" s="30"/>
      <c r="F793" s="28"/>
      <c r="G793" s="28"/>
      <c r="H793" s="28"/>
      <c r="I793" s="28"/>
      <c r="J793" s="28"/>
      <c r="K793" s="28"/>
      <c r="L793" s="28"/>
      <c r="M793" s="28"/>
      <c r="N793" s="28"/>
      <c r="O793" s="28"/>
      <c r="P793" s="28"/>
      <c r="Q793" s="28"/>
      <c r="R793" s="28"/>
      <c r="S793" s="28"/>
      <c r="T793" s="28"/>
      <c r="U793" s="28"/>
      <c r="V793" s="28"/>
      <c r="W793" s="28"/>
      <c r="X793" s="28"/>
      <c r="Y793" s="28"/>
      <c r="Z793" s="28"/>
    </row>
    <row r="794" spans="1:26" ht="13.5" customHeight="1">
      <c r="A794" s="28"/>
      <c r="B794" s="29"/>
      <c r="C794" s="29"/>
      <c r="D794" s="29"/>
      <c r="E794" s="30"/>
      <c r="F794" s="28"/>
      <c r="G794" s="28"/>
      <c r="H794" s="28"/>
      <c r="I794" s="28"/>
      <c r="J794" s="28"/>
      <c r="K794" s="28"/>
      <c r="L794" s="28"/>
      <c r="M794" s="28"/>
      <c r="N794" s="28"/>
      <c r="O794" s="28"/>
      <c r="P794" s="28"/>
      <c r="Q794" s="28"/>
      <c r="R794" s="28"/>
      <c r="S794" s="28"/>
      <c r="T794" s="28"/>
      <c r="U794" s="28"/>
      <c r="V794" s="28"/>
      <c r="W794" s="28"/>
      <c r="X794" s="28"/>
      <c r="Y794" s="28"/>
      <c r="Z794" s="28"/>
    </row>
    <row r="795" spans="1:26" ht="13.5" customHeight="1">
      <c r="A795" s="28"/>
      <c r="B795" s="29"/>
      <c r="C795" s="29"/>
      <c r="D795" s="29"/>
      <c r="E795" s="30"/>
      <c r="F795" s="28"/>
      <c r="G795" s="28"/>
      <c r="H795" s="28"/>
      <c r="I795" s="28"/>
      <c r="J795" s="28"/>
      <c r="K795" s="28"/>
      <c r="L795" s="28"/>
      <c r="M795" s="28"/>
      <c r="N795" s="28"/>
      <c r="O795" s="28"/>
      <c r="P795" s="28"/>
      <c r="Q795" s="28"/>
      <c r="R795" s="28"/>
      <c r="S795" s="28"/>
      <c r="T795" s="28"/>
      <c r="U795" s="28"/>
      <c r="V795" s="28"/>
      <c r="W795" s="28"/>
      <c r="X795" s="28"/>
      <c r="Y795" s="28"/>
      <c r="Z795" s="28"/>
    </row>
    <row r="796" spans="1:26" ht="13.5" customHeight="1">
      <c r="A796" s="28"/>
      <c r="B796" s="29"/>
      <c r="C796" s="29"/>
      <c r="D796" s="29"/>
      <c r="E796" s="30"/>
      <c r="F796" s="28"/>
      <c r="G796" s="28"/>
      <c r="H796" s="28"/>
      <c r="I796" s="28"/>
      <c r="J796" s="28"/>
      <c r="K796" s="28"/>
      <c r="L796" s="28"/>
      <c r="M796" s="28"/>
      <c r="N796" s="28"/>
      <c r="O796" s="28"/>
      <c r="P796" s="28"/>
      <c r="Q796" s="28"/>
      <c r="R796" s="28"/>
      <c r="S796" s="28"/>
      <c r="T796" s="28"/>
      <c r="U796" s="28"/>
      <c r="V796" s="28"/>
      <c r="W796" s="28"/>
      <c r="X796" s="28"/>
      <c r="Y796" s="28"/>
      <c r="Z796" s="28"/>
    </row>
    <row r="797" spans="1:26" ht="13.5" customHeight="1">
      <c r="A797" s="28"/>
      <c r="B797" s="29"/>
      <c r="C797" s="29"/>
      <c r="D797" s="29"/>
      <c r="E797" s="30"/>
      <c r="F797" s="28"/>
      <c r="G797" s="28"/>
      <c r="H797" s="28"/>
      <c r="I797" s="28"/>
      <c r="J797" s="28"/>
      <c r="K797" s="28"/>
      <c r="L797" s="28"/>
      <c r="M797" s="28"/>
      <c r="N797" s="28"/>
      <c r="O797" s="28"/>
      <c r="P797" s="28"/>
      <c r="Q797" s="28"/>
      <c r="R797" s="28"/>
      <c r="S797" s="28"/>
      <c r="T797" s="28"/>
      <c r="U797" s="28"/>
      <c r="V797" s="28"/>
      <c r="W797" s="28"/>
      <c r="X797" s="28"/>
      <c r="Y797" s="28"/>
      <c r="Z797" s="28"/>
    </row>
    <row r="798" spans="1:26" ht="13.5" customHeight="1">
      <c r="A798" s="28"/>
      <c r="B798" s="29"/>
      <c r="C798" s="29"/>
      <c r="D798" s="29"/>
      <c r="E798" s="30"/>
      <c r="F798" s="28"/>
      <c r="G798" s="28"/>
      <c r="H798" s="28"/>
      <c r="I798" s="28"/>
      <c r="J798" s="28"/>
      <c r="K798" s="28"/>
      <c r="L798" s="28"/>
      <c r="M798" s="28"/>
      <c r="N798" s="28"/>
      <c r="O798" s="28"/>
      <c r="P798" s="28"/>
      <c r="Q798" s="28"/>
      <c r="R798" s="28"/>
      <c r="S798" s="28"/>
      <c r="T798" s="28"/>
      <c r="U798" s="28"/>
      <c r="V798" s="28"/>
      <c r="W798" s="28"/>
      <c r="X798" s="28"/>
      <c r="Y798" s="28"/>
      <c r="Z798" s="28"/>
    </row>
    <row r="799" spans="1:26" ht="13.5" customHeight="1">
      <c r="A799" s="28"/>
      <c r="B799" s="29"/>
      <c r="C799" s="29"/>
      <c r="D799" s="29"/>
      <c r="E799" s="30"/>
      <c r="F799" s="28"/>
      <c r="G799" s="28"/>
      <c r="H799" s="28"/>
      <c r="I799" s="28"/>
      <c r="J799" s="28"/>
      <c r="K799" s="28"/>
      <c r="L799" s="28"/>
      <c r="M799" s="28"/>
      <c r="N799" s="28"/>
      <c r="O799" s="28"/>
      <c r="P799" s="28"/>
      <c r="Q799" s="28"/>
      <c r="R799" s="28"/>
      <c r="S799" s="28"/>
      <c r="T799" s="28"/>
      <c r="U799" s="28"/>
      <c r="V799" s="28"/>
      <c r="W799" s="28"/>
      <c r="X799" s="28"/>
      <c r="Y799" s="28"/>
      <c r="Z799" s="28"/>
    </row>
    <row r="800" spans="1:26" ht="13.5" customHeight="1">
      <c r="A800" s="28"/>
      <c r="B800" s="29"/>
      <c r="C800" s="29"/>
      <c r="D800" s="29"/>
      <c r="E800" s="30"/>
      <c r="F800" s="28"/>
      <c r="G800" s="28"/>
      <c r="H800" s="28"/>
      <c r="I800" s="28"/>
      <c r="J800" s="28"/>
      <c r="K800" s="28"/>
      <c r="L800" s="28"/>
      <c r="M800" s="28"/>
      <c r="N800" s="28"/>
      <c r="O800" s="28"/>
      <c r="P800" s="28"/>
      <c r="Q800" s="28"/>
      <c r="R800" s="28"/>
      <c r="S800" s="28"/>
      <c r="T800" s="28"/>
      <c r="U800" s="28"/>
      <c r="V800" s="28"/>
      <c r="W800" s="28"/>
      <c r="X800" s="28"/>
      <c r="Y800" s="28"/>
      <c r="Z800" s="28"/>
    </row>
    <row r="801" spans="1:26" ht="13.5" customHeight="1">
      <c r="A801" s="28"/>
      <c r="B801" s="29"/>
      <c r="C801" s="29"/>
      <c r="D801" s="29"/>
      <c r="E801" s="30"/>
      <c r="F801" s="28"/>
      <c r="G801" s="28"/>
      <c r="H801" s="28"/>
      <c r="I801" s="28"/>
      <c r="J801" s="28"/>
      <c r="K801" s="28"/>
      <c r="L801" s="28"/>
      <c r="M801" s="28"/>
      <c r="N801" s="28"/>
      <c r="O801" s="28"/>
      <c r="P801" s="28"/>
      <c r="Q801" s="28"/>
      <c r="R801" s="28"/>
      <c r="S801" s="28"/>
      <c r="T801" s="28"/>
      <c r="U801" s="28"/>
      <c r="V801" s="28"/>
      <c r="W801" s="28"/>
      <c r="X801" s="28"/>
      <c r="Y801" s="28"/>
      <c r="Z801" s="28"/>
    </row>
    <row r="802" spans="1:26" ht="13.5" customHeight="1">
      <c r="A802" s="28"/>
      <c r="B802" s="29"/>
      <c r="C802" s="29"/>
      <c r="D802" s="29"/>
      <c r="E802" s="30"/>
      <c r="F802" s="28"/>
      <c r="G802" s="28"/>
      <c r="H802" s="28"/>
      <c r="I802" s="28"/>
      <c r="J802" s="28"/>
      <c r="K802" s="28"/>
      <c r="L802" s="28"/>
      <c r="M802" s="28"/>
      <c r="N802" s="28"/>
      <c r="O802" s="28"/>
      <c r="P802" s="28"/>
      <c r="Q802" s="28"/>
      <c r="R802" s="28"/>
      <c r="S802" s="28"/>
      <c r="T802" s="28"/>
      <c r="U802" s="28"/>
      <c r="V802" s="28"/>
      <c r="W802" s="28"/>
      <c r="X802" s="28"/>
      <c r="Y802" s="28"/>
      <c r="Z802" s="28"/>
    </row>
    <row r="803" spans="1:26" ht="13.5" customHeight="1">
      <c r="A803" s="28"/>
      <c r="B803" s="29"/>
      <c r="C803" s="29"/>
      <c r="D803" s="29"/>
      <c r="E803" s="30"/>
      <c r="F803" s="28"/>
      <c r="G803" s="28"/>
      <c r="H803" s="28"/>
      <c r="I803" s="28"/>
      <c r="J803" s="28"/>
      <c r="K803" s="28"/>
      <c r="L803" s="28"/>
      <c r="M803" s="28"/>
      <c r="N803" s="28"/>
      <c r="O803" s="28"/>
      <c r="P803" s="28"/>
      <c r="Q803" s="28"/>
      <c r="R803" s="28"/>
      <c r="S803" s="28"/>
      <c r="T803" s="28"/>
      <c r="U803" s="28"/>
      <c r="V803" s="28"/>
      <c r="W803" s="28"/>
      <c r="X803" s="28"/>
      <c r="Y803" s="28"/>
      <c r="Z803" s="28"/>
    </row>
    <row r="804" spans="1:26" ht="13.5" customHeight="1">
      <c r="A804" s="28"/>
      <c r="B804" s="29"/>
      <c r="C804" s="29"/>
      <c r="D804" s="29"/>
      <c r="E804" s="30"/>
      <c r="F804" s="28"/>
      <c r="G804" s="28"/>
      <c r="H804" s="28"/>
      <c r="I804" s="28"/>
      <c r="J804" s="28"/>
      <c r="K804" s="28"/>
      <c r="L804" s="28"/>
      <c r="M804" s="28"/>
      <c r="N804" s="28"/>
      <c r="O804" s="28"/>
      <c r="P804" s="28"/>
      <c r="Q804" s="28"/>
      <c r="R804" s="28"/>
      <c r="S804" s="28"/>
      <c r="T804" s="28"/>
      <c r="U804" s="28"/>
      <c r="V804" s="28"/>
      <c r="W804" s="28"/>
      <c r="X804" s="28"/>
      <c r="Y804" s="28"/>
      <c r="Z804" s="28"/>
    </row>
    <row r="805" spans="1:26" ht="13.5" customHeight="1">
      <c r="A805" s="28"/>
      <c r="B805" s="29"/>
      <c r="C805" s="29"/>
      <c r="D805" s="29"/>
      <c r="E805" s="30"/>
      <c r="F805" s="28"/>
      <c r="G805" s="28"/>
      <c r="H805" s="28"/>
      <c r="I805" s="28"/>
      <c r="J805" s="28"/>
      <c r="K805" s="28"/>
      <c r="L805" s="28"/>
      <c r="M805" s="28"/>
      <c r="N805" s="28"/>
      <c r="O805" s="28"/>
      <c r="P805" s="28"/>
      <c r="Q805" s="28"/>
      <c r="R805" s="28"/>
      <c r="S805" s="28"/>
      <c r="T805" s="28"/>
      <c r="U805" s="28"/>
      <c r="V805" s="28"/>
      <c r="W805" s="28"/>
      <c r="X805" s="28"/>
      <c r="Y805" s="28"/>
      <c r="Z805" s="28"/>
    </row>
    <row r="806" spans="1:26" ht="13.5" customHeight="1">
      <c r="A806" s="28"/>
      <c r="B806" s="29"/>
      <c r="C806" s="29"/>
      <c r="D806" s="29"/>
      <c r="E806" s="30"/>
      <c r="F806" s="28"/>
      <c r="G806" s="28"/>
      <c r="H806" s="28"/>
      <c r="I806" s="28"/>
      <c r="J806" s="28"/>
      <c r="K806" s="28"/>
      <c r="L806" s="28"/>
      <c r="M806" s="28"/>
      <c r="N806" s="28"/>
      <c r="O806" s="28"/>
      <c r="P806" s="28"/>
      <c r="Q806" s="28"/>
      <c r="R806" s="28"/>
      <c r="S806" s="28"/>
      <c r="T806" s="28"/>
      <c r="U806" s="28"/>
      <c r="V806" s="28"/>
      <c r="W806" s="28"/>
      <c r="X806" s="28"/>
      <c r="Y806" s="28"/>
      <c r="Z806" s="28"/>
    </row>
    <row r="807" spans="1:26" ht="13.5" customHeight="1">
      <c r="A807" s="28"/>
      <c r="B807" s="29"/>
      <c r="C807" s="29"/>
      <c r="D807" s="29"/>
      <c r="E807" s="30"/>
      <c r="F807" s="28"/>
      <c r="G807" s="28"/>
      <c r="H807" s="28"/>
      <c r="I807" s="28"/>
      <c r="J807" s="28"/>
      <c r="K807" s="28"/>
      <c r="L807" s="28"/>
      <c r="M807" s="28"/>
      <c r="N807" s="28"/>
      <c r="O807" s="28"/>
      <c r="P807" s="28"/>
      <c r="Q807" s="28"/>
      <c r="R807" s="28"/>
      <c r="S807" s="28"/>
      <c r="T807" s="28"/>
      <c r="U807" s="28"/>
      <c r="V807" s="28"/>
      <c r="W807" s="28"/>
      <c r="X807" s="28"/>
      <c r="Y807" s="28"/>
      <c r="Z807" s="28"/>
    </row>
    <row r="808" spans="1:26" ht="13.5" customHeight="1">
      <c r="A808" s="28"/>
      <c r="B808" s="29"/>
      <c r="C808" s="29"/>
      <c r="D808" s="29"/>
      <c r="E808" s="30"/>
      <c r="F808" s="28"/>
      <c r="G808" s="28"/>
      <c r="H808" s="28"/>
      <c r="I808" s="28"/>
      <c r="J808" s="28"/>
      <c r="K808" s="28"/>
      <c r="L808" s="28"/>
      <c r="M808" s="28"/>
      <c r="N808" s="28"/>
      <c r="O808" s="28"/>
      <c r="P808" s="28"/>
      <c r="Q808" s="28"/>
      <c r="R808" s="28"/>
      <c r="S808" s="28"/>
      <c r="T808" s="28"/>
      <c r="U808" s="28"/>
      <c r="V808" s="28"/>
      <c r="W808" s="28"/>
      <c r="X808" s="28"/>
      <c r="Y808" s="28"/>
      <c r="Z808" s="28"/>
    </row>
    <row r="809" spans="1:26" ht="13.5" customHeight="1">
      <c r="A809" s="28"/>
      <c r="B809" s="29"/>
      <c r="C809" s="29"/>
      <c r="D809" s="29"/>
      <c r="E809" s="30"/>
      <c r="F809" s="28"/>
      <c r="G809" s="28"/>
      <c r="H809" s="28"/>
      <c r="I809" s="28"/>
      <c r="J809" s="28"/>
      <c r="K809" s="28"/>
      <c r="L809" s="28"/>
      <c r="M809" s="28"/>
      <c r="N809" s="28"/>
      <c r="O809" s="28"/>
      <c r="P809" s="28"/>
      <c r="Q809" s="28"/>
      <c r="R809" s="28"/>
      <c r="S809" s="28"/>
      <c r="T809" s="28"/>
      <c r="U809" s="28"/>
      <c r="V809" s="28"/>
      <c r="W809" s="28"/>
      <c r="X809" s="28"/>
      <c r="Y809" s="28"/>
      <c r="Z809" s="28"/>
    </row>
    <row r="810" spans="1:26" ht="13.5" customHeight="1">
      <c r="A810" s="28"/>
      <c r="B810" s="29"/>
      <c r="C810" s="29"/>
      <c r="D810" s="29"/>
      <c r="E810" s="30"/>
      <c r="F810" s="28"/>
      <c r="G810" s="28"/>
      <c r="H810" s="28"/>
      <c r="I810" s="28"/>
      <c r="J810" s="28"/>
      <c r="K810" s="28"/>
      <c r="L810" s="28"/>
      <c r="M810" s="28"/>
      <c r="N810" s="28"/>
      <c r="O810" s="28"/>
      <c r="P810" s="28"/>
      <c r="Q810" s="28"/>
      <c r="R810" s="28"/>
      <c r="S810" s="28"/>
      <c r="T810" s="28"/>
      <c r="U810" s="28"/>
      <c r="V810" s="28"/>
      <c r="W810" s="28"/>
      <c r="X810" s="28"/>
      <c r="Y810" s="28"/>
      <c r="Z810" s="28"/>
    </row>
    <row r="811" spans="1:26" ht="13.5" customHeight="1">
      <c r="A811" s="28"/>
      <c r="B811" s="29"/>
      <c r="C811" s="29"/>
      <c r="D811" s="29"/>
      <c r="E811" s="30"/>
      <c r="F811" s="28"/>
      <c r="G811" s="28"/>
      <c r="H811" s="28"/>
      <c r="I811" s="28"/>
      <c r="J811" s="28"/>
      <c r="K811" s="28"/>
      <c r="L811" s="28"/>
      <c r="M811" s="28"/>
      <c r="N811" s="28"/>
      <c r="O811" s="28"/>
      <c r="P811" s="28"/>
      <c r="Q811" s="28"/>
      <c r="R811" s="28"/>
      <c r="S811" s="28"/>
      <c r="T811" s="28"/>
      <c r="U811" s="28"/>
      <c r="V811" s="28"/>
      <c r="W811" s="28"/>
      <c r="X811" s="28"/>
      <c r="Y811" s="28"/>
      <c r="Z811" s="28"/>
    </row>
    <row r="812" spans="1:26" ht="13.5" customHeight="1">
      <c r="A812" s="28"/>
      <c r="B812" s="29"/>
      <c r="C812" s="29"/>
      <c r="D812" s="29"/>
      <c r="E812" s="30"/>
      <c r="F812" s="28"/>
      <c r="G812" s="28"/>
      <c r="H812" s="28"/>
      <c r="I812" s="28"/>
      <c r="J812" s="28"/>
      <c r="K812" s="28"/>
      <c r="L812" s="28"/>
      <c r="M812" s="28"/>
      <c r="N812" s="28"/>
      <c r="O812" s="28"/>
      <c r="P812" s="28"/>
      <c r="Q812" s="28"/>
      <c r="R812" s="28"/>
      <c r="S812" s="28"/>
      <c r="T812" s="28"/>
      <c r="U812" s="28"/>
      <c r="V812" s="28"/>
      <c r="W812" s="28"/>
      <c r="X812" s="28"/>
      <c r="Y812" s="28"/>
      <c r="Z812" s="28"/>
    </row>
    <row r="813" spans="1:26" ht="13.5" customHeight="1">
      <c r="A813" s="28"/>
      <c r="B813" s="29"/>
      <c r="C813" s="29"/>
      <c r="D813" s="29"/>
      <c r="E813" s="30"/>
      <c r="F813" s="28"/>
      <c r="G813" s="28"/>
      <c r="H813" s="28"/>
      <c r="I813" s="28"/>
      <c r="J813" s="28"/>
      <c r="K813" s="28"/>
      <c r="L813" s="28"/>
      <c r="M813" s="28"/>
      <c r="N813" s="28"/>
      <c r="O813" s="28"/>
      <c r="P813" s="28"/>
      <c r="Q813" s="28"/>
      <c r="R813" s="28"/>
      <c r="S813" s="28"/>
      <c r="T813" s="28"/>
      <c r="U813" s="28"/>
      <c r="V813" s="28"/>
      <c r="W813" s="28"/>
      <c r="X813" s="28"/>
      <c r="Y813" s="28"/>
      <c r="Z813" s="28"/>
    </row>
    <row r="814" spans="1:26" ht="13.5" customHeight="1">
      <c r="A814" s="28"/>
      <c r="B814" s="29"/>
      <c r="C814" s="29"/>
      <c r="D814" s="29"/>
      <c r="E814" s="30"/>
      <c r="F814" s="28"/>
      <c r="G814" s="28"/>
      <c r="H814" s="28"/>
      <c r="I814" s="28"/>
      <c r="J814" s="28"/>
      <c r="K814" s="28"/>
      <c r="L814" s="28"/>
      <c r="M814" s="28"/>
      <c r="N814" s="28"/>
      <c r="O814" s="28"/>
      <c r="P814" s="28"/>
      <c r="Q814" s="28"/>
      <c r="R814" s="28"/>
      <c r="S814" s="28"/>
      <c r="T814" s="28"/>
      <c r="U814" s="28"/>
      <c r="V814" s="28"/>
      <c r="W814" s="28"/>
      <c r="X814" s="28"/>
      <c r="Y814" s="28"/>
      <c r="Z814" s="28"/>
    </row>
    <row r="815" spans="1:26" ht="13.5" customHeight="1">
      <c r="A815" s="28"/>
      <c r="B815" s="29"/>
      <c r="C815" s="29"/>
      <c r="D815" s="29"/>
      <c r="E815" s="30"/>
      <c r="F815" s="28"/>
      <c r="G815" s="28"/>
      <c r="H815" s="28"/>
      <c r="I815" s="28"/>
      <c r="J815" s="28"/>
      <c r="K815" s="28"/>
      <c r="L815" s="28"/>
      <c r="M815" s="28"/>
      <c r="N815" s="28"/>
      <c r="O815" s="28"/>
      <c r="P815" s="28"/>
      <c r="Q815" s="28"/>
      <c r="R815" s="28"/>
      <c r="S815" s="28"/>
      <c r="T815" s="28"/>
      <c r="U815" s="28"/>
      <c r="V815" s="28"/>
      <c r="W815" s="28"/>
      <c r="X815" s="28"/>
      <c r="Y815" s="28"/>
      <c r="Z815" s="28"/>
    </row>
    <row r="816" spans="1:26" ht="13.5" customHeight="1">
      <c r="A816" s="28"/>
      <c r="B816" s="29"/>
      <c r="C816" s="29"/>
      <c r="D816" s="29"/>
      <c r="E816" s="30"/>
      <c r="F816" s="28"/>
      <c r="G816" s="28"/>
      <c r="H816" s="28"/>
      <c r="I816" s="28"/>
      <c r="J816" s="28"/>
      <c r="K816" s="28"/>
      <c r="L816" s="28"/>
      <c r="M816" s="28"/>
      <c r="N816" s="28"/>
      <c r="O816" s="28"/>
      <c r="P816" s="28"/>
      <c r="Q816" s="28"/>
      <c r="R816" s="28"/>
      <c r="S816" s="28"/>
      <c r="T816" s="28"/>
      <c r="U816" s="28"/>
      <c r="V816" s="28"/>
      <c r="W816" s="28"/>
      <c r="X816" s="28"/>
      <c r="Y816" s="28"/>
      <c r="Z816" s="28"/>
    </row>
    <row r="817" spans="1:26" ht="13.5" customHeight="1">
      <c r="A817" s="28"/>
      <c r="B817" s="29"/>
      <c r="C817" s="29"/>
      <c r="D817" s="29"/>
      <c r="E817" s="30"/>
      <c r="F817" s="28"/>
      <c r="G817" s="28"/>
      <c r="H817" s="28"/>
      <c r="I817" s="28"/>
      <c r="J817" s="28"/>
      <c r="K817" s="28"/>
      <c r="L817" s="28"/>
      <c r="M817" s="28"/>
      <c r="N817" s="28"/>
      <c r="O817" s="28"/>
      <c r="P817" s="28"/>
      <c r="Q817" s="28"/>
      <c r="R817" s="28"/>
      <c r="S817" s="28"/>
      <c r="T817" s="28"/>
      <c r="U817" s="28"/>
      <c r="V817" s="28"/>
      <c r="W817" s="28"/>
      <c r="X817" s="28"/>
      <c r="Y817" s="28"/>
      <c r="Z817" s="28"/>
    </row>
    <row r="818" spans="1:26" ht="13.5" customHeight="1">
      <c r="A818" s="28"/>
      <c r="B818" s="29"/>
      <c r="C818" s="29"/>
      <c r="D818" s="29"/>
      <c r="E818" s="30"/>
      <c r="F818" s="28"/>
      <c r="G818" s="28"/>
      <c r="H818" s="28"/>
      <c r="I818" s="28"/>
      <c r="J818" s="28"/>
      <c r="K818" s="28"/>
      <c r="L818" s="28"/>
      <c r="M818" s="28"/>
      <c r="N818" s="28"/>
      <c r="O818" s="28"/>
      <c r="P818" s="28"/>
      <c r="Q818" s="28"/>
      <c r="R818" s="28"/>
      <c r="S818" s="28"/>
      <c r="T818" s="28"/>
      <c r="U818" s="28"/>
      <c r="V818" s="28"/>
      <c r="W818" s="28"/>
      <c r="X818" s="28"/>
      <c r="Y818" s="28"/>
      <c r="Z818" s="28"/>
    </row>
    <row r="819" spans="1:26" ht="13.5" customHeight="1">
      <c r="A819" s="28"/>
      <c r="B819" s="29"/>
      <c r="C819" s="29"/>
      <c r="D819" s="29"/>
      <c r="E819" s="30"/>
      <c r="F819" s="28"/>
      <c r="G819" s="28"/>
      <c r="H819" s="28"/>
      <c r="I819" s="28"/>
      <c r="J819" s="28"/>
      <c r="K819" s="28"/>
      <c r="L819" s="28"/>
      <c r="M819" s="28"/>
      <c r="N819" s="28"/>
      <c r="O819" s="28"/>
      <c r="P819" s="28"/>
      <c r="Q819" s="28"/>
      <c r="R819" s="28"/>
      <c r="S819" s="28"/>
      <c r="T819" s="28"/>
      <c r="U819" s="28"/>
      <c r="V819" s="28"/>
      <c r="W819" s="28"/>
      <c r="X819" s="28"/>
      <c r="Y819" s="28"/>
      <c r="Z819" s="28"/>
    </row>
    <row r="820" spans="1:26" ht="13.5" customHeight="1">
      <c r="A820" s="28"/>
      <c r="B820" s="29"/>
      <c r="C820" s="29"/>
      <c r="D820" s="29"/>
      <c r="E820" s="30"/>
      <c r="F820" s="28"/>
      <c r="G820" s="28"/>
      <c r="H820" s="28"/>
      <c r="I820" s="28"/>
      <c r="J820" s="28"/>
      <c r="K820" s="28"/>
      <c r="L820" s="28"/>
      <c r="M820" s="28"/>
      <c r="N820" s="28"/>
      <c r="O820" s="28"/>
      <c r="P820" s="28"/>
      <c r="Q820" s="28"/>
      <c r="R820" s="28"/>
      <c r="S820" s="28"/>
      <c r="T820" s="28"/>
      <c r="U820" s="28"/>
      <c r="V820" s="28"/>
      <c r="W820" s="28"/>
      <c r="X820" s="28"/>
      <c r="Y820" s="28"/>
      <c r="Z820" s="28"/>
    </row>
    <row r="821" spans="1:26" ht="13.5" customHeight="1">
      <c r="A821" s="28"/>
      <c r="B821" s="29"/>
      <c r="C821" s="29"/>
      <c r="D821" s="29"/>
      <c r="E821" s="30"/>
      <c r="F821" s="28"/>
      <c r="G821" s="28"/>
      <c r="H821" s="28"/>
      <c r="I821" s="28"/>
      <c r="J821" s="28"/>
      <c r="K821" s="28"/>
      <c r="L821" s="28"/>
      <c r="M821" s="28"/>
      <c r="N821" s="28"/>
      <c r="O821" s="28"/>
      <c r="P821" s="28"/>
      <c r="Q821" s="28"/>
      <c r="R821" s="28"/>
      <c r="S821" s="28"/>
      <c r="T821" s="28"/>
      <c r="U821" s="28"/>
      <c r="V821" s="28"/>
      <c r="W821" s="28"/>
      <c r="X821" s="28"/>
      <c r="Y821" s="28"/>
      <c r="Z821" s="28"/>
    </row>
    <row r="822" spans="1:26" ht="13.5" customHeight="1">
      <c r="A822" s="28"/>
      <c r="B822" s="29"/>
      <c r="C822" s="29"/>
      <c r="D822" s="29"/>
      <c r="E822" s="30"/>
      <c r="F822" s="28"/>
      <c r="G822" s="28"/>
      <c r="H822" s="28"/>
      <c r="I822" s="28"/>
      <c r="J822" s="28"/>
      <c r="K822" s="28"/>
      <c r="L822" s="28"/>
      <c r="M822" s="28"/>
      <c r="N822" s="28"/>
      <c r="O822" s="28"/>
      <c r="P822" s="28"/>
      <c r="Q822" s="28"/>
      <c r="R822" s="28"/>
      <c r="S822" s="28"/>
      <c r="T822" s="28"/>
      <c r="U822" s="28"/>
      <c r="V822" s="28"/>
      <c r="W822" s="28"/>
      <c r="X822" s="28"/>
      <c r="Y822" s="28"/>
      <c r="Z822" s="28"/>
    </row>
    <row r="823" spans="1:26" ht="13.5" customHeight="1">
      <c r="A823" s="28"/>
      <c r="B823" s="29"/>
      <c r="C823" s="29"/>
      <c r="D823" s="29"/>
      <c r="E823" s="30"/>
      <c r="F823" s="28"/>
      <c r="G823" s="28"/>
      <c r="H823" s="28"/>
      <c r="I823" s="28"/>
      <c r="J823" s="28"/>
      <c r="K823" s="28"/>
      <c r="L823" s="28"/>
      <c r="M823" s="28"/>
      <c r="N823" s="28"/>
      <c r="O823" s="28"/>
      <c r="P823" s="28"/>
      <c r="Q823" s="28"/>
      <c r="R823" s="28"/>
      <c r="S823" s="28"/>
      <c r="T823" s="28"/>
      <c r="U823" s="28"/>
      <c r="V823" s="28"/>
      <c r="W823" s="28"/>
      <c r="X823" s="28"/>
      <c r="Y823" s="28"/>
      <c r="Z823" s="28"/>
    </row>
    <row r="824" spans="1:26" ht="13.5" customHeight="1">
      <c r="A824" s="28"/>
      <c r="B824" s="29"/>
      <c r="C824" s="29"/>
      <c r="D824" s="29"/>
      <c r="E824" s="30"/>
      <c r="F824" s="28"/>
      <c r="G824" s="28"/>
      <c r="H824" s="28"/>
      <c r="I824" s="28"/>
      <c r="J824" s="28"/>
      <c r="K824" s="28"/>
      <c r="L824" s="28"/>
      <c r="M824" s="28"/>
      <c r="N824" s="28"/>
      <c r="O824" s="28"/>
      <c r="P824" s="28"/>
      <c r="Q824" s="28"/>
      <c r="R824" s="28"/>
      <c r="S824" s="28"/>
      <c r="T824" s="28"/>
      <c r="U824" s="28"/>
      <c r="V824" s="28"/>
      <c r="W824" s="28"/>
      <c r="X824" s="28"/>
      <c r="Y824" s="28"/>
      <c r="Z824" s="28"/>
    </row>
    <row r="825" spans="1:26" ht="13.5" customHeight="1">
      <c r="A825" s="28"/>
      <c r="B825" s="29"/>
      <c r="C825" s="29"/>
      <c r="D825" s="29"/>
      <c r="E825" s="30"/>
      <c r="F825" s="28"/>
      <c r="G825" s="28"/>
      <c r="H825" s="28"/>
      <c r="I825" s="28"/>
      <c r="J825" s="28"/>
      <c r="K825" s="28"/>
      <c r="L825" s="28"/>
      <c r="M825" s="28"/>
      <c r="N825" s="28"/>
      <c r="O825" s="28"/>
      <c r="P825" s="28"/>
      <c r="Q825" s="28"/>
      <c r="R825" s="28"/>
      <c r="S825" s="28"/>
      <c r="T825" s="28"/>
      <c r="U825" s="28"/>
      <c r="V825" s="28"/>
      <c r="W825" s="28"/>
      <c r="X825" s="28"/>
      <c r="Y825" s="28"/>
      <c r="Z825" s="28"/>
    </row>
    <row r="826" spans="1:26" ht="13.5" customHeight="1">
      <c r="A826" s="28"/>
      <c r="B826" s="29"/>
      <c r="C826" s="29"/>
      <c r="D826" s="29"/>
      <c r="E826" s="30"/>
      <c r="F826" s="28"/>
      <c r="G826" s="28"/>
      <c r="H826" s="28"/>
      <c r="I826" s="28"/>
      <c r="J826" s="28"/>
      <c r="K826" s="28"/>
      <c r="L826" s="28"/>
      <c r="M826" s="28"/>
      <c r="N826" s="28"/>
      <c r="O826" s="28"/>
      <c r="P826" s="28"/>
      <c r="Q826" s="28"/>
      <c r="R826" s="28"/>
      <c r="S826" s="28"/>
      <c r="T826" s="28"/>
      <c r="U826" s="28"/>
      <c r="V826" s="28"/>
      <c r="W826" s="28"/>
      <c r="X826" s="28"/>
      <c r="Y826" s="28"/>
      <c r="Z826" s="28"/>
    </row>
    <row r="827" spans="1:26" ht="13.5" customHeight="1">
      <c r="A827" s="28"/>
      <c r="B827" s="29"/>
      <c r="C827" s="29"/>
      <c r="D827" s="29"/>
      <c r="E827" s="30"/>
      <c r="F827" s="28"/>
      <c r="G827" s="28"/>
      <c r="H827" s="28"/>
      <c r="I827" s="28"/>
      <c r="J827" s="28"/>
      <c r="K827" s="28"/>
      <c r="L827" s="28"/>
      <c r="M827" s="28"/>
      <c r="N827" s="28"/>
      <c r="O827" s="28"/>
      <c r="P827" s="28"/>
      <c r="Q827" s="28"/>
      <c r="R827" s="28"/>
      <c r="S827" s="28"/>
      <c r="T827" s="28"/>
      <c r="U827" s="28"/>
      <c r="V827" s="28"/>
      <c r="W827" s="28"/>
      <c r="X827" s="28"/>
      <c r="Y827" s="28"/>
      <c r="Z827" s="28"/>
    </row>
    <row r="828" spans="1:26" ht="13.5" customHeight="1">
      <c r="A828" s="28"/>
      <c r="B828" s="29"/>
      <c r="C828" s="29"/>
      <c r="D828" s="29"/>
      <c r="E828" s="30"/>
      <c r="F828" s="28"/>
      <c r="G828" s="28"/>
      <c r="H828" s="28"/>
      <c r="I828" s="28"/>
      <c r="J828" s="28"/>
      <c r="K828" s="28"/>
      <c r="L828" s="28"/>
      <c r="M828" s="28"/>
      <c r="N828" s="28"/>
      <c r="O828" s="28"/>
      <c r="P828" s="28"/>
      <c r="Q828" s="28"/>
      <c r="R828" s="28"/>
      <c r="S828" s="28"/>
      <c r="T828" s="28"/>
      <c r="U828" s="28"/>
      <c r="V828" s="28"/>
      <c r="W828" s="28"/>
      <c r="X828" s="28"/>
      <c r="Y828" s="28"/>
      <c r="Z828" s="28"/>
    </row>
    <row r="829" spans="1:26" ht="13.5" customHeight="1">
      <c r="A829" s="28"/>
      <c r="B829" s="29"/>
      <c r="C829" s="29"/>
      <c r="D829" s="29"/>
      <c r="E829" s="30"/>
      <c r="F829" s="28"/>
      <c r="G829" s="28"/>
      <c r="H829" s="28"/>
      <c r="I829" s="28"/>
      <c r="J829" s="28"/>
      <c r="K829" s="28"/>
      <c r="L829" s="28"/>
      <c r="M829" s="28"/>
      <c r="N829" s="28"/>
      <c r="O829" s="28"/>
      <c r="P829" s="28"/>
      <c r="Q829" s="28"/>
      <c r="R829" s="28"/>
      <c r="S829" s="28"/>
      <c r="T829" s="28"/>
      <c r="U829" s="28"/>
      <c r="V829" s="28"/>
      <c r="W829" s="28"/>
      <c r="X829" s="28"/>
      <c r="Y829" s="28"/>
      <c r="Z829" s="28"/>
    </row>
    <row r="830" spans="1:26" ht="13.5" customHeight="1">
      <c r="A830" s="28"/>
      <c r="B830" s="29"/>
      <c r="C830" s="29"/>
      <c r="D830" s="29"/>
      <c r="E830" s="30"/>
      <c r="F830" s="28"/>
      <c r="G830" s="28"/>
      <c r="H830" s="28"/>
      <c r="I830" s="28"/>
      <c r="J830" s="28"/>
      <c r="K830" s="28"/>
      <c r="L830" s="28"/>
      <c r="M830" s="28"/>
      <c r="N830" s="28"/>
      <c r="O830" s="28"/>
      <c r="P830" s="28"/>
      <c r="Q830" s="28"/>
      <c r="R830" s="28"/>
      <c r="S830" s="28"/>
      <c r="T830" s="28"/>
      <c r="U830" s="28"/>
      <c r="V830" s="28"/>
      <c r="W830" s="28"/>
      <c r="X830" s="28"/>
      <c r="Y830" s="28"/>
      <c r="Z830" s="28"/>
    </row>
    <row r="831" spans="1:26" ht="13.5" customHeight="1">
      <c r="A831" s="28"/>
      <c r="B831" s="29"/>
      <c r="C831" s="29"/>
      <c r="D831" s="29"/>
      <c r="E831" s="30"/>
      <c r="F831" s="28"/>
      <c r="G831" s="28"/>
      <c r="H831" s="28"/>
      <c r="I831" s="28"/>
      <c r="J831" s="28"/>
      <c r="K831" s="28"/>
      <c r="L831" s="28"/>
      <c r="M831" s="28"/>
      <c r="N831" s="28"/>
      <c r="O831" s="28"/>
      <c r="P831" s="28"/>
      <c r="Q831" s="28"/>
      <c r="R831" s="28"/>
      <c r="S831" s="28"/>
      <c r="T831" s="28"/>
      <c r="U831" s="28"/>
      <c r="V831" s="28"/>
      <c r="W831" s="28"/>
      <c r="X831" s="28"/>
      <c r="Y831" s="28"/>
      <c r="Z831" s="28"/>
    </row>
    <row r="832" spans="1:26" ht="13.5" customHeight="1">
      <c r="A832" s="28"/>
      <c r="B832" s="29"/>
      <c r="C832" s="29"/>
      <c r="D832" s="29"/>
      <c r="E832" s="30"/>
      <c r="F832" s="28"/>
      <c r="G832" s="28"/>
      <c r="H832" s="28"/>
      <c r="I832" s="28"/>
      <c r="J832" s="28"/>
      <c r="K832" s="28"/>
      <c r="L832" s="28"/>
      <c r="M832" s="28"/>
      <c r="N832" s="28"/>
      <c r="O832" s="28"/>
      <c r="P832" s="28"/>
      <c r="Q832" s="28"/>
      <c r="R832" s="28"/>
      <c r="S832" s="28"/>
      <c r="T832" s="28"/>
      <c r="U832" s="28"/>
      <c r="V832" s="28"/>
      <c r="W832" s="28"/>
      <c r="X832" s="28"/>
      <c r="Y832" s="28"/>
      <c r="Z832" s="28"/>
    </row>
    <row r="833" spans="1:26" ht="13.5" customHeight="1">
      <c r="A833" s="28"/>
      <c r="B833" s="29"/>
      <c r="C833" s="29"/>
      <c r="D833" s="29"/>
      <c r="E833" s="30"/>
      <c r="F833" s="28"/>
      <c r="G833" s="28"/>
      <c r="H833" s="28"/>
      <c r="I833" s="28"/>
      <c r="J833" s="28"/>
      <c r="K833" s="28"/>
      <c r="L833" s="28"/>
      <c r="M833" s="28"/>
      <c r="N833" s="28"/>
      <c r="O833" s="28"/>
      <c r="P833" s="28"/>
      <c r="Q833" s="28"/>
      <c r="R833" s="28"/>
      <c r="S833" s="28"/>
      <c r="T833" s="28"/>
      <c r="U833" s="28"/>
      <c r="V833" s="28"/>
      <c r="W833" s="28"/>
      <c r="X833" s="28"/>
      <c r="Y833" s="28"/>
      <c r="Z833" s="28"/>
    </row>
    <row r="834" spans="1:26" ht="13.5" customHeight="1">
      <c r="A834" s="28"/>
      <c r="B834" s="29"/>
      <c r="C834" s="29"/>
      <c r="D834" s="29"/>
      <c r="E834" s="30"/>
      <c r="F834" s="28"/>
      <c r="G834" s="28"/>
      <c r="H834" s="28"/>
      <c r="I834" s="28"/>
      <c r="J834" s="28"/>
      <c r="K834" s="28"/>
      <c r="L834" s="28"/>
      <c r="M834" s="28"/>
      <c r="N834" s="28"/>
      <c r="O834" s="28"/>
      <c r="P834" s="28"/>
      <c r="Q834" s="28"/>
      <c r="R834" s="28"/>
      <c r="S834" s="28"/>
      <c r="T834" s="28"/>
      <c r="U834" s="28"/>
      <c r="V834" s="28"/>
      <c r="W834" s="28"/>
      <c r="X834" s="28"/>
      <c r="Y834" s="28"/>
      <c r="Z834" s="28"/>
    </row>
    <row r="835" spans="1:26" ht="13.5" customHeight="1">
      <c r="A835" s="28"/>
      <c r="B835" s="29"/>
      <c r="C835" s="29"/>
      <c r="D835" s="29"/>
      <c r="E835" s="30"/>
      <c r="F835" s="28"/>
      <c r="G835" s="28"/>
      <c r="H835" s="28"/>
      <c r="I835" s="28"/>
      <c r="J835" s="28"/>
      <c r="K835" s="28"/>
      <c r="L835" s="28"/>
      <c r="M835" s="28"/>
      <c r="N835" s="28"/>
      <c r="O835" s="28"/>
      <c r="P835" s="28"/>
      <c r="Q835" s="28"/>
      <c r="R835" s="28"/>
      <c r="S835" s="28"/>
      <c r="T835" s="28"/>
      <c r="U835" s="28"/>
      <c r="V835" s="28"/>
      <c r="W835" s="28"/>
      <c r="X835" s="28"/>
      <c r="Y835" s="28"/>
      <c r="Z835" s="28"/>
    </row>
    <row r="836" spans="1:26" ht="13.5" customHeight="1">
      <c r="A836" s="28"/>
      <c r="B836" s="29"/>
      <c r="C836" s="29"/>
      <c r="D836" s="29"/>
      <c r="E836" s="30"/>
      <c r="F836" s="28"/>
      <c r="G836" s="28"/>
      <c r="H836" s="28"/>
      <c r="I836" s="28"/>
      <c r="J836" s="28"/>
      <c r="K836" s="28"/>
      <c r="L836" s="28"/>
      <c r="M836" s="28"/>
      <c r="N836" s="28"/>
      <c r="O836" s="28"/>
      <c r="P836" s="28"/>
      <c r="Q836" s="28"/>
      <c r="R836" s="28"/>
      <c r="S836" s="28"/>
      <c r="T836" s="28"/>
      <c r="U836" s="28"/>
      <c r="V836" s="28"/>
      <c r="W836" s="28"/>
      <c r="X836" s="28"/>
      <c r="Y836" s="28"/>
      <c r="Z836" s="28"/>
    </row>
    <row r="837" spans="1:26" ht="13.5" customHeight="1">
      <c r="A837" s="28"/>
      <c r="B837" s="29"/>
      <c r="C837" s="29"/>
      <c r="D837" s="29"/>
      <c r="E837" s="30"/>
      <c r="F837" s="28"/>
      <c r="G837" s="28"/>
      <c r="H837" s="28"/>
      <c r="I837" s="28"/>
      <c r="J837" s="28"/>
      <c r="K837" s="28"/>
      <c r="L837" s="28"/>
      <c r="M837" s="28"/>
      <c r="N837" s="28"/>
      <c r="O837" s="28"/>
      <c r="P837" s="28"/>
      <c r="Q837" s="28"/>
      <c r="R837" s="28"/>
      <c r="S837" s="28"/>
      <c r="T837" s="28"/>
      <c r="U837" s="28"/>
      <c r="V837" s="28"/>
      <c r="W837" s="28"/>
      <c r="X837" s="28"/>
      <c r="Y837" s="28"/>
      <c r="Z837" s="28"/>
    </row>
    <row r="838" spans="1:26" ht="13.5" customHeight="1">
      <c r="A838" s="28"/>
      <c r="B838" s="29"/>
      <c r="C838" s="29"/>
      <c r="D838" s="29"/>
      <c r="E838" s="30"/>
      <c r="F838" s="28"/>
      <c r="G838" s="28"/>
      <c r="H838" s="28"/>
      <c r="I838" s="28"/>
      <c r="J838" s="28"/>
      <c r="K838" s="28"/>
      <c r="L838" s="28"/>
      <c r="M838" s="28"/>
      <c r="N838" s="28"/>
      <c r="O838" s="28"/>
      <c r="P838" s="28"/>
      <c r="Q838" s="28"/>
      <c r="R838" s="28"/>
      <c r="S838" s="28"/>
      <c r="T838" s="28"/>
      <c r="U838" s="28"/>
      <c r="V838" s="28"/>
      <c r="W838" s="28"/>
      <c r="X838" s="28"/>
      <c r="Y838" s="28"/>
      <c r="Z838" s="28"/>
    </row>
    <row r="839" spans="1:26" ht="13.5" customHeight="1">
      <c r="A839" s="28"/>
      <c r="B839" s="29"/>
      <c r="C839" s="29"/>
      <c r="D839" s="29"/>
      <c r="E839" s="30"/>
      <c r="F839" s="28"/>
      <c r="G839" s="28"/>
      <c r="H839" s="28"/>
      <c r="I839" s="28"/>
      <c r="J839" s="28"/>
      <c r="K839" s="28"/>
      <c r="L839" s="28"/>
      <c r="M839" s="28"/>
      <c r="N839" s="28"/>
      <c r="O839" s="28"/>
      <c r="P839" s="28"/>
      <c r="Q839" s="28"/>
      <c r="R839" s="28"/>
      <c r="S839" s="28"/>
      <c r="T839" s="28"/>
      <c r="U839" s="28"/>
      <c r="V839" s="28"/>
      <c r="W839" s="28"/>
      <c r="X839" s="28"/>
      <c r="Y839" s="28"/>
      <c r="Z839" s="28"/>
    </row>
    <row r="840" spans="1:26" ht="13.5" customHeight="1">
      <c r="A840" s="28"/>
      <c r="B840" s="29"/>
      <c r="C840" s="29"/>
      <c r="D840" s="29"/>
      <c r="E840" s="30"/>
      <c r="F840" s="28"/>
      <c r="G840" s="28"/>
      <c r="H840" s="28"/>
      <c r="I840" s="28"/>
      <c r="J840" s="28"/>
      <c r="K840" s="28"/>
      <c r="L840" s="28"/>
      <c r="M840" s="28"/>
      <c r="N840" s="28"/>
      <c r="O840" s="28"/>
      <c r="P840" s="28"/>
      <c r="Q840" s="28"/>
      <c r="R840" s="28"/>
      <c r="S840" s="28"/>
      <c r="T840" s="28"/>
      <c r="U840" s="28"/>
      <c r="V840" s="28"/>
      <c r="W840" s="28"/>
      <c r="X840" s="28"/>
      <c r="Y840" s="28"/>
      <c r="Z840" s="28"/>
    </row>
    <row r="841" spans="1:26" ht="13.5" customHeight="1">
      <c r="A841" s="28"/>
      <c r="B841" s="29"/>
      <c r="C841" s="29"/>
      <c r="D841" s="29"/>
      <c r="E841" s="30"/>
      <c r="F841" s="28"/>
      <c r="G841" s="28"/>
      <c r="H841" s="28"/>
      <c r="I841" s="28"/>
      <c r="J841" s="28"/>
      <c r="K841" s="28"/>
      <c r="L841" s="28"/>
      <c r="M841" s="28"/>
      <c r="N841" s="28"/>
      <c r="O841" s="28"/>
      <c r="P841" s="28"/>
      <c r="Q841" s="28"/>
      <c r="R841" s="28"/>
      <c r="S841" s="28"/>
      <c r="T841" s="28"/>
      <c r="U841" s="28"/>
      <c r="V841" s="28"/>
      <c r="W841" s="28"/>
      <c r="X841" s="28"/>
      <c r="Y841" s="28"/>
      <c r="Z841" s="28"/>
    </row>
    <row r="842" spans="1:26" ht="13.5" customHeight="1">
      <c r="A842" s="28"/>
      <c r="B842" s="29"/>
      <c r="C842" s="29"/>
      <c r="D842" s="29"/>
      <c r="E842" s="30"/>
      <c r="F842" s="28"/>
      <c r="G842" s="28"/>
      <c r="H842" s="28"/>
      <c r="I842" s="28"/>
      <c r="J842" s="28"/>
      <c r="K842" s="28"/>
      <c r="L842" s="28"/>
      <c r="M842" s="28"/>
      <c r="N842" s="28"/>
      <c r="O842" s="28"/>
      <c r="P842" s="28"/>
      <c r="Q842" s="28"/>
      <c r="R842" s="28"/>
      <c r="S842" s="28"/>
      <c r="T842" s="28"/>
      <c r="U842" s="28"/>
      <c r="V842" s="28"/>
      <c r="W842" s="28"/>
      <c r="X842" s="28"/>
      <c r="Y842" s="28"/>
      <c r="Z842" s="28"/>
    </row>
    <row r="843" spans="1:26" ht="13.5" customHeight="1">
      <c r="A843" s="28"/>
      <c r="B843" s="29"/>
      <c r="C843" s="29"/>
      <c r="D843" s="29"/>
      <c r="E843" s="30"/>
      <c r="F843" s="28"/>
      <c r="G843" s="28"/>
      <c r="H843" s="28"/>
      <c r="I843" s="28"/>
      <c r="J843" s="28"/>
      <c r="K843" s="28"/>
      <c r="L843" s="28"/>
      <c r="M843" s="28"/>
      <c r="N843" s="28"/>
      <c r="O843" s="28"/>
      <c r="P843" s="28"/>
      <c r="Q843" s="28"/>
      <c r="R843" s="28"/>
      <c r="S843" s="28"/>
      <c r="T843" s="28"/>
      <c r="U843" s="28"/>
      <c r="V843" s="28"/>
      <c r="W843" s="28"/>
      <c r="X843" s="28"/>
      <c r="Y843" s="28"/>
      <c r="Z843" s="28"/>
    </row>
    <row r="844" spans="1:26" ht="13.5" customHeight="1">
      <c r="A844" s="28"/>
      <c r="B844" s="29"/>
      <c r="C844" s="29"/>
      <c r="D844" s="29"/>
      <c r="E844" s="30"/>
      <c r="F844" s="28"/>
      <c r="G844" s="28"/>
      <c r="H844" s="28"/>
      <c r="I844" s="28"/>
      <c r="J844" s="28"/>
      <c r="K844" s="28"/>
      <c r="L844" s="28"/>
      <c r="M844" s="28"/>
      <c r="N844" s="28"/>
      <c r="O844" s="28"/>
      <c r="P844" s="28"/>
      <c r="Q844" s="28"/>
      <c r="R844" s="28"/>
      <c r="S844" s="28"/>
      <c r="T844" s="28"/>
      <c r="U844" s="28"/>
      <c r="V844" s="28"/>
      <c r="W844" s="28"/>
      <c r="X844" s="28"/>
      <c r="Y844" s="28"/>
      <c r="Z844" s="28"/>
    </row>
    <row r="845" spans="1:26" ht="13.5" customHeight="1">
      <c r="A845" s="28"/>
      <c r="B845" s="29"/>
      <c r="C845" s="29"/>
      <c r="D845" s="29"/>
      <c r="E845" s="30"/>
      <c r="F845" s="28"/>
      <c r="G845" s="28"/>
      <c r="H845" s="28"/>
      <c r="I845" s="28"/>
      <c r="J845" s="28"/>
      <c r="K845" s="28"/>
      <c r="L845" s="28"/>
      <c r="M845" s="28"/>
      <c r="N845" s="28"/>
      <c r="O845" s="28"/>
      <c r="P845" s="28"/>
      <c r="Q845" s="28"/>
      <c r="R845" s="28"/>
      <c r="S845" s="28"/>
      <c r="T845" s="28"/>
      <c r="U845" s="28"/>
      <c r="V845" s="28"/>
      <c r="W845" s="28"/>
      <c r="X845" s="28"/>
      <c r="Y845" s="28"/>
      <c r="Z845" s="28"/>
    </row>
    <row r="846" spans="1:26" ht="13.5" customHeight="1">
      <c r="A846" s="28"/>
      <c r="B846" s="29"/>
      <c r="C846" s="29"/>
      <c r="D846" s="29"/>
      <c r="E846" s="30"/>
      <c r="F846" s="28"/>
      <c r="G846" s="28"/>
      <c r="H846" s="28"/>
      <c r="I846" s="28"/>
      <c r="J846" s="28"/>
      <c r="K846" s="28"/>
      <c r="L846" s="28"/>
      <c r="M846" s="28"/>
      <c r="N846" s="28"/>
      <c r="O846" s="28"/>
      <c r="P846" s="28"/>
      <c r="Q846" s="28"/>
      <c r="R846" s="28"/>
      <c r="S846" s="28"/>
      <c r="T846" s="28"/>
      <c r="U846" s="28"/>
      <c r="V846" s="28"/>
      <c r="W846" s="28"/>
      <c r="X846" s="28"/>
      <c r="Y846" s="28"/>
      <c r="Z846" s="28"/>
    </row>
    <row r="847" spans="1:26" ht="13.5" customHeight="1">
      <c r="A847" s="28"/>
      <c r="B847" s="29"/>
      <c r="C847" s="29"/>
      <c r="D847" s="29"/>
      <c r="E847" s="30"/>
      <c r="F847" s="28"/>
      <c r="G847" s="28"/>
      <c r="H847" s="28"/>
      <c r="I847" s="28"/>
      <c r="J847" s="28"/>
      <c r="K847" s="28"/>
      <c r="L847" s="28"/>
      <c r="M847" s="28"/>
      <c r="N847" s="28"/>
      <c r="O847" s="28"/>
      <c r="P847" s="28"/>
      <c r="Q847" s="28"/>
      <c r="R847" s="28"/>
      <c r="S847" s="28"/>
      <c r="T847" s="28"/>
      <c r="U847" s="28"/>
      <c r="V847" s="28"/>
      <c r="W847" s="28"/>
      <c r="X847" s="28"/>
      <c r="Y847" s="28"/>
      <c r="Z847" s="28"/>
    </row>
    <row r="848" spans="1:26" ht="13.5" customHeight="1">
      <c r="A848" s="28"/>
      <c r="B848" s="29"/>
      <c r="C848" s="29"/>
      <c r="D848" s="29"/>
      <c r="E848" s="30"/>
      <c r="F848" s="28"/>
      <c r="G848" s="28"/>
      <c r="H848" s="28"/>
      <c r="I848" s="28"/>
      <c r="J848" s="28"/>
      <c r="K848" s="28"/>
      <c r="L848" s="28"/>
      <c r="M848" s="28"/>
      <c r="N848" s="28"/>
      <c r="O848" s="28"/>
      <c r="P848" s="28"/>
      <c r="Q848" s="28"/>
      <c r="R848" s="28"/>
      <c r="S848" s="28"/>
      <c r="T848" s="28"/>
      <c r="U848" s="28"/>
      <c r="V848" s="28"/>
      <c r="W848" s="28"/>
      <c r="X848" s="28"/>
      <c r="Y848" s="28"/>
      <c r="Z848" s="28"/>
    </row>
    <row r="849" spans="1:26" ht="13.5" customHeight="1">
      <c r="A849" s="28"/>
      <c r="B849" s="29"/>
      <c r="C849" s="29"/>
      <c r="D849" s="29"/>
      <c r="E849" s="30"/>
      <c r="F849" s="28"/>
      <c r="G849" s="28"/>
      <c r="H849" s="28"/>
      <c r="I849" s="28"/>
      <c r="J849" s="28"/>
      <c r="K849" s="28"/>
      <c r="L849" s="28"/>
      <c r="M849" s="28"/>
      <c r="N849" s="28"/>
      <c r="O849" s="28"/>
      <c r="P849" s="28"/>
      <c r="Q849" s="28"/>
      <c r="R849" s="28"/>
      <c r="S849" s="28"/>
      <c r="T849" s="28"/>
      <c r="U849" s="28"/>
      <c r="V849" s="28"/>
      <c r="W849" s="28"/>
      <c r="X849" s="28"/>
      <c r="Y849" s="28"/>
      <c r="Z849" s="28"/>
    </row>
    <row r="850" spans="1:26" ht="13.5" customHeight="1">
      <c r="A850" s="28"/>
      <c r="B850" s="29"/>
      <c r="C850" s="29"/>
      <c r="D850" s="29"/>
      <c r="E850" s="30"/>
      <c r="F850" s="28"/>
      <c r="G850" s="28"/>
      <c r="H850" s="28"/>
      <c r="I850" s="28"/>
      <c r="J850" s="28"/>
      <c r="K850" s="28"/>
      <c r="L850" s="28"/>
      <c r="M850" s="28"/>
      <c r="N850" s="28"/>
      <c r="O850" s="28"/>
      <c r="P850" s="28"/>
      <c r="Q850" s="28"/>
      <c r="R850" s="28"/>
      <c r="S850" s="28"/>
      <c r="T850" s="28"/>
      <c r="U850" s="28"/>
      <c r="V850" s="28"/>
      <c r="W850" s="28"/>
      <c r="X850" s="28"/>
      <c r="Y850" s="28"/>
      <c r="Z850" s="28"/>
    </row>
    <row r="851" spans="1:26" ht="13.5" customHeight="1">
      <c r="A851" s="28"/>
      <c r="B851" s="29"/>
      <c r="C851" s="29"/>
      <c r="D851" s="29"/>
      <c r="E851" s="30"/>
      <c r="F851" s="28"/>
      <c r="G851" s="28"/>
      <c r="H851" s="28"/>
      <c r="I851" s="28"/>
      <c r="J851" s="28"/>
      <c r="K851" s="28"/>
      <c r="L851" s="28"/>
      <c r="M851" s="28"/>
      <c r="N851" s="28"/>
      <c r="O851" s="28"/>
      <c r="P851" s="28"/>
      <c r="Q851" s="28"/>
      <c r="R851" s="28"/>
      <c r="S851" s="28"/>
      <c r="T851" s="28"/>
      <c r="U851" s="28"/>
      <c r="V851" s="28"/>
      <c r="W851" s="28"/>
      <c r="X851" s="28"/>
      <c r="Y851" s="28"/>
      <c r="Z851" s="28"/>
    </row>
    <row r="852" spans="1:26" ht="13.5" customHeight="1">
      <c r="A852" s="28"/>
      <c r="B852" s="29"/>
      <c r="C852" s="29"/>
      <c r="D852" s="29"/>
      <c r="E852" s="30"/>
      <c r="F852" s="28"/>
      <c r="G852" s="28"/>
      <c r="H852" s="28"/>
      <c r="I852" s="28"/>
      <c r="J852" s="28"/>
      <c r="K852" s="28"/>
      <c r="L852" s="28"/>
      <c r="M852" s="28"/>
      <c r="N852" s="28"/>
      <c r="O852" s="28"/>
      <c r="P852" s="28"/>
      <c r="Q852" s="28"/>
      <c r="R852" s="28"/>
      <c r="S852" s="28"/>
      <c r="T852" s="28"/>
      <c r="U852" s="28"/>
      <c r="V852" s="28"/>
      <c r="W852" s="28"/>
      <c r="X852" s="28"/>
      <c r="Y852" s="28"/>
      <c r="Z852" s="28"/>
    </row>
    <row r="853" spans="1:26" ht="13.5" customHeight="1">
      <c r="A853" s="28"/>
      <c r="B853" s="29"/>
      <c r="C853" s="29"/>
      <c r="D853" s="29"/>
      <c r="E853" s="30"/>
      <c r="F853" s="28"/>
      <c r="G853" s="28"/>
      <c r="H853" s="28"/>
      <c r="I853" s="28"/>
      <c r="J853" s="28"/>
      <c r="K853" s="28"/>
      <c r="L853" s="28"/>
      <c r="M853" s="28"/>
      <c r="N853" s="28"/>
      <c r="O853" s="28"/>
      <c r="P853" s="28"/>
      <c r="Q853" s="28"/>
      <c r="R853" s="28"/>
      <c r="S853" s="28"/>
      <c r="T853" s="28"/>
      <c r="U853" s="28"/>
      <c r="V853" s="28"/>
      <c r="W853" s="28"/>
      <c r="X853" s="28"/>
      <c r="Y853" s="28"/>
      <c r="Z853" s="28"/>
    </row>
    <row r="854" spans="1:26" ht="13.5" customHeight="1">
      <c r="A854" s="28"/>
      <c r="B854" s="29"/>
      <c r="C854" s="29"/>
      <c r="D854" s="29"/>
      <c r="E854" s="30"/>
      <c r="F854" s="28"/>
      <c r="G854" s="28"/>
      <c r="H854" s="28"/>
      <c r="I854" s="28"/>
      <c r="J854" s="28"/>
      <c r="K854" s="28"/>
      <c r="L854" s="28"/>
      <c r="M854" s="28"/>
      <c r="N854" s="28"/>
      <c r="O854" s="28"/>
      <c r="P854" s="28"/>
      <c r="Q854" s="28"/>
      <c r="R854" s="28"/>
      <c r="S854" s="28"/>
      <c r="T854" s="28"/>
      <c r="U854" s="28"/>
      <c r="V854" s="28"/>
      <c r="W854" s="28"/>
      <c r="X854" s="28"/>
      <c r="Y854" s="28"/>
      <c r="Z854" s="28"/>
    </row>
    <row r="855" spans="1:26" ht="13.5" customHeight="1">
      <c r="A855" s="28"/>
      <c r="B855" s="29"/>
      <c r="C855" s="29"/>
      <c r="D855" s="29"/>
      <c r="E855" s="30"/>
      <c r="F855" s="28"/>
      <c r="G855" s="28"/>
      <c r="H855" s="28"/>
      <c r="I855" s="28"/>
      <c r="J855" s="28"/>
      <c r="K855" s="28"/>
      <c r="L855" s="28"/>
      <c r="M855" s="28"/>
      <c r="N855" s="28"/>
      <c r="O855" s="28"/>
      <c r="P855" s="28"/>
      <c r="Q855" s="28"/>
      <c r="R855" s="28"/>
      <c r="S855" s="28"/>
      <c r="T855" s="28"/>
      <c r="U855" s="28"/>
      <c r="V855" s="28"/>
      <c r="W855" s="28"/>
      <c r="X855" s="28"/>
      <c r="Y855" s="28"/>
      <c r="Z855" s="28"/>
    </row>
    <row r="856" spans="1:26" ht="13.5" customHeight="1">
      <c r="A856" s="28"/>
      <c r="B856" s="29"/>
      <c r="C856" s="29"/>
      <c r="D856" s="29"/>
      <c r="E856" s="30"/>
      <c r="F856" s="28"/>
      <c r="G856" s="28"/>
      <c r="H856" s="28"/>
      <c r="I856" s="28"/>
      <c r="J856" s="28"/>
      <c r="K856" s="28"/>
      <c r="L856" s="28"/>
      <c r="M856" s="28"/>
      <c r="N856" s="28"/>
      <c r="O856" s="28"/>
      <c r="P856" s="28"/>
      <c r="Q856" s="28"/>
      <c r="R856" s="28"/>
      <c r="S856" s="28"/>
      <c r="T856" s="28"/>
      <c r="U856" s="28"/>
      <c r="V856" s="28"/>
      <c r="W856" s="28"/>
      <c r="X856" s="28"/>
      <c r="Y856" s="28"/>
      <c r="Z856" s="28"/>
    </row>
    <row r="857" spans="1:26" ht="13.5" customHeight="1">
      <c r="A857" s="28"/>
      <c r="B857" s="29"/>
      <c r="C857" s="29"/>
      <c r="D857" s="29"/>
      <c r="E857" s="30"/>
      <c r="F857" s="28"/>
      <c r="G857" s="28"/>
      <c r="H857" s="28"/>
      <c r="I857" s="28"/>
      <c r="J857" s="28"/>
      <c r="K857" s="28"/>
      <c r="L857" s="28"/>
      <c r="M857" s="28"/>
      <c r="N857" s="28"/>
      <c r="O857" s="28"/>
      <c r="P857" s="28"/>
      <c r="Q857" s="28"/>
      <c r="R857" s="28"/>
      <c r="S857" s="28"/>
      <c r="T857" s="28"/>
      <c r="U857" s="28"/>
      <c r="V857" s="28"/>
      <c r="W857" s="28"/>
      <c r="X857" s="28"/>
      <c r="Y857" s="28"/>
      <c r="Z857" s="28"/>
    </row>
    <row r="858" spans="1:26" ht="13.5" customHeight="1">
      <c r="A858" s="28"/>
      <c r="B858" s="29"/>
      <c r="C858" s="29"/>
      <c r="D858" s="29"/>
      <c r="E858" s="30"/>
      <c r="F858" s="28"/>
      <c r="G858" s="28"/>
      <c r="H858" s="28"/>
      <c r="I858" s="28"/>
      <c r="J858" s="28"/>
      <c r="K858" s="28"/>
      <c r="L858" s="28"/>
      <c r="M858" s="28"/>
      <c r="N858" s="28"/>
      <c r="O858" s="28"/>
      <c r="P858" s="28"/>
      <c r="Q858" s="28"/>
      <c r="R858" s="28"/>
      <c r="S858" s="28"/>
      <c r="T858" s="28"/>
      <c r="U858" s="28"/>
      <c r="V858" s="28"/>
      <c r="W858" s="28"/>
      <c r="X858" s="28"/>
      <c r="Y858" s="28"/>
      <c r="Z858" s="28"/>
    </row>
    <row r="859" spans="1:26" ht="13.5" customHeight="1">
      <c r="A859" s="28"/>
      <c r="B859" s="29"/>
      <c r="C859" s="29"/>
      <c r="D859" s="29"/>
      <c r="E859" s="30"/>
      <c r="F859" s="28"/>
      <c r="G859" s="28"/>
      <c r="H859" s="28"/>
      <c r="I859" s="28"/>
      <c r="J859" s="28"/>
      <c r="K859" s="28"/>
      <c r="L859" s="28"/>
      <c r="M859" s="28"/>
      <c r="N859" s="28"/>
      <c r="O859" s="28"/>
      <c r="P859" s="28"/>
      <c r="Q859" s="28"/>
      <c r="R859" s="28"/>
      <c r="S859" s="28"/>
      <c r="T859" s="28"/>
      <c r="U859" s="28"/>
      <c r="V859" s="28"/>
      <c r="W859" s="28"/>
      <c r="X859" s="28"/>
      <c r="Y859" s="28"/>
      <c r="Z859" s="28"/>
    </row>
    <row r="860" spans="1:26" ht="13.5" customHeight="1">
      <c r="A860" s="28"/>
      <c r="B860" s="29"/>
      <c r="C860" s="29"/>
      <c r="D860" s="29"/>
      <c r="E860" s="30"/>
      <c r="F860" s="28"/>
      <c r="G860" s="28"/>
      <c r="H860" s="28"/>
      <c r="I860" s="28"/>
      <c r="J860" s="28"/>
      <c r="K860" s="28"/>
      <c r="L860" s="28"/>
      <c r="M860" s="28"/>
      <c r="N860" s="28"/>
      <c r="O860" s="28"/>
      <c r="P860" s="28"/>
      <c r="Q860" s="28"/>
      <c r="R860" s="28"/>
      <c r="S860" s="28"/>
      <c r="T860" s="28"/>
      <c r="U860" s="28"/>
      <c r="V860" s="28"/>
      <c r="W860" s="28"/>
      <c r="X860" s="28"/>
      <c r="Y860" s="28"/>
      <c r="Z860" s="28"/>
    </row>
    <row r="861" spans="1:26" ht="13.5" customHeight="1">
      <c r="A861" s="28"/>
      <c r="B861" s="29"/>
      <c r="C861" s="29"/>
      <c r="D861" s="29"/>
      <c r="E861" s="30"/>
      <c r="F861" s="28"/>
      <c r="G861" s="28"/>
      <c r="H861" s="28"/>
      <c r="I861" s="28"/>
      <c r="J861" s="28"/>
      <c r="K861" s="28"/>
      <c r="L861" s="28"/>
      <c r="M861" s="28"/>
      <c r="N861" s="28"/>
      <c r="O861" s="28"/>
      <c r="P861" s="28"/>
      <c r="Q861" s="28"/>
      <c r="R861" s="28"/>
      <c r="S861" s="28"/>
      <c r="T861" s="28"/>
      <c r="U861" s="28"/>
      <c r="V861" s="28"/>
      <c r="W861" s="28"/>
      <c r="X861" s="28"/>
      <c r="Y861" s="28"/>
      <c r="Z861" s="28"/>
    </row>
    <row r="862" spans="1:26" ht="13.5" customHeight="1">
      <c r="A862" s="28"/>
      <c r="B862" s="29"/>
      <c r="C862" s="29"/>
      <c r="D862" s="29"/>
      <c r="E862" s="30"/>
      <c r="F862" s="28"/>
      <c r="G862" s="28"/>
      <c r="H862" s="28"/>
      <c r="I862" s="28"/>
      <c r="J862" s="28"/>
      <c r="K862" s="28"/>
      <c r="L862" s="28"/>
      <c r="M862" s="28"/>
      <c r="N862" s="28"/>
      <c r="O862" s="28"/>
      <c r="P862" s="28"/>
      <c r="Q862" s="28"/>
      <c r="R862" s="28"/>
      <c r="S862" s="28"/>
      <c r="T862" s="28"/>
      <c r="U862" s="28"/>
      <c r="V862" s="28"/>
      <c r="W862" s="28"/>
      <c r="X862" s="28"/>
      <c r="Y862" s="28"/>
      <c r="Z862" s="28"/>
    </row>
    <row r="863" spans="1:26" ht="13.5" customHeight="1">
      <c r="A863" s="28"/>
      <c r="B863" s="29"/>
      <c r="C863" s="29"/>
      <c r="D863" s="29"/>
      <c r="E863" s="30"/>
      <c r="F863" s="28"/>
      <c r="G863" s="28"/>
      <c r="H863" s="28"/>
      <c r="I863" s="28"/>
      <c r="J863" s="28"/>
      <c r="K863" s="28"/>
      <c r="L863" s="28"/>
      <c r="M863" s="28"/>
      <c r="N863" s="28"/>
      <c r="O863" s="28"/>
      <c r="P863" s="28"/>
      <c r="Q863" s="28"/>
      <c r="R863" s="28"/>
      <c r="S863" s="28"/>
      <c r="T863" s="28"/>
      <c r="U863" s="28"/>
      <c r="V863" s="28"/>
      <c r="W863" s="28"/>
      <c r="X863" s="28"/>
      <c r="Y863" s="28"/>
      <c r="Z863" s="28"/>
    </row>
    <row r="864" spans="1:26" ht="13.5" customHeight="1">
      <c r="A864" s="28"/>
      <c r="B864" s="29"/>
      <c r="C864" s="29"/>
      <c r="D864" s="29"/>
      <c r="E864" s="30"/>
      <c r="F864" s="28"/>
      <c r="G864" s="28"/>
      <c r="H864" s="28"/>
      <c r="I864" s="28"/>
      <c r="J864" s="28"/>
      <c r="K864" s="28"/>
      <c r="L864" s="28"/>
      <c r="M864" s="28"/>
      <c r="N864" s="28"/>
      <c r="O864" s="28"/>
      <c r="P864" s="28"/>
      <c r="Q864" s="28"/>
      <c r="R864" s="28"/>
      <c r="S864" s="28"/>
      <c r="T864" s="28"/>
      <c r="U864" s="28"/>
      <c r="V864" s="28"/>
      <c r="W864" s="28"/>
      <c r="X864" s="28"/>
      <c r="Y864" s="28"/>
      <c r="Z864" s="28"/>
    </row>
    <row r="865" spans="1:26" ht="13.5" customHeight="1">
      <c r="A865" s="28"/>
      <c r="B865" s="29"/>
      <c r="C865" s="29"/>
      <c r="D865" s="29"/>
      <c r="E865" s="30"/>
      <c r="F865" s="28"/>
      <c r="G865" s="28"/>
      <c r="H865" s="28"/>
      <c r="I865" s="28"/>
      <c r="J865" s="28"/>
      <c r="K865" s="28"/>
      <c r="L865" s="28"/>
      <c r="M865" s="28"/>
      <c r="N865" s="28"/>
      <c r="O865" s="28"/>
      <c r="P865" s="28"/>
      <c r="Q865" s="28"/>
      <c r="R865" s="28"/>
      <c r="S865" s="28"/>
      <c r="T865" s="28"/>
      <c r="U865" s="28"/>
      <c r="V865" s="28"/>
      <c r="W865" s="28"/>
      <c r="X865" s="28"/>
      <c r="Y865" s="28"/>
      <c r="Z865" s="28"/>
    </row>
    <row r="866" spans="1:26" ht="13.5" customHeight="1">
      <c r="A866" s="28"/>
      <c r="B866" s="29"/>
      <c r="C866" s="29"/>
      <c r="D866" s="29"/>
      <c r="E866" s="30"/>
      <c r="F866" s="28"/>
      <c r="G866" s="28"/>
      <c r="H866" s="28"/>
      <c r="I866" s="28"/>
      <c r="J866" s="28"/>
      <c r="K866" s="28"/>
      <c r="L866" s="28"/>
      <c r="M866" s="28"/>
      <c r="N866" s="28"/>
      <c r="O866" s="28"/>
      <c r="P866" s="28"/>
      <c r="Q866" s="28"/>
      <c r="R866" s="28"/>
      <c r="S866" s="28"/>
      <c r="T866" s="28"/>
      <c r="U866" s="28"/>
      <c r="V866" s="28"/>
      <c r="W866" s="28"/>
      <c r="X866" s="28"/>
      <c r="Y866" s="28"/>
      <c r="Z866" s="28"/>
    </row>
    <row r="867" spans="1:26" ht="13.5" customHeight="1">
      <c r="A867" s="28"/>
      <c r="B867" s="29"/>
      <c r="C867" s="29"/>
      <c r="D867" s="29"/>
      <c r="E867" s="30"/>
      <c r="F867" s="28"/>
      <c r="G867" s="28"/>
      <c r="H867" s="28"/>
      <c r="I867" s="28"/>
      <c r="J867" s="28"/>
      <c r="K867" s="28"/>
      <c r="L867" s="28"/>
      <c r="M867" s="28"/>
      <c r="N867" s="28"/>
      <c r="O867" s="28"/>
      <c r="P867" s="28"/>
      <c r="Q867" s="28"/>
      <c r="R867" s="28"/>
      <c r="S867" s="28"/>
      <c r="T867" s="28"/>
      <c r="U867" s="28"/>
      <c r="V867" s="28"/>
      <c r="W867" s="28"/>
      <c r="X867" s="28"/>
      <c r="Y867" s="28"/>
      <c r="Z867" s="28"/>
    </row>
    <row r="868" spans="1:26" ht="13.5" customHeight="1">
      <c r="A868" s="28"/>
      <c r="B868" s="29"/>
      <c r="C868" s="29"/>
      <c r="D868" s="29"/>
      <c r="E868" s="30"/>
      <c r="F868" s="28"/>
      <c r="G868" s="28"/>
      <c r="H868" s="28"/>
      <c r="I868" s="28"/>
      <c r="J868" s="28"/>
      <c r="K868" s="28"/>
      <c r="L868" s="28"/>
      <c r="M868" s="28"/>
      <c r="N868" s="28"/>
      <c r="O868" s="28"/>
      <c r="P868" s="28"/>
      <c r="Q868" s="28"/>
      <c r="R868" s="28"/>
      <c r="S868" s="28"/>
      <c r="T868" s="28"/>
      <c r="U868" s="28"/>
      <c r="V868" s="28"/>
      <c r="W868" s="28"/>
      <c r="X868" s="28"/>
      <c r="Y868" s="28"/>
      <c r="Z868" s="28"/>
    </row>
    <row r="869" spans="1:26" ht="13.5" customHeight="1">
      <c r="A869" s="28"/>
      <c r="B869" s="29"/>
      <c r="C869" s="29"/>
      <c r="D869" s="29"/>
      <c r="E869" s="30"/>
      <c r="F869" s="28"/>
      <c r="G869" s="28"/>
      <c r="H869" s="28"/>
      <c r="I869" s="28"/>
      <c r="J869" s="28"/>
      <c r="K869" s="28"/>
      <c r="L869" s="28"/>
      <c r="M869" s="28"/>
      <c r="N869" s="28"/>
      <c r="O869" s="28"/>
      <c r="P869" s="28"/>
      <c r="Q869" s="28"/>
      <c r="R869" s="28"/>
      <c r="S869" s="28"/>
      <c r="T869" s="28"/>
      <c r="U869" s="28"/>
      <c r="V869" s="28"/>
      <c r="W869" s="28"/>
      <c r="X869" s="28"/>
      <c r="Y869" s="28"/>
      <c r="Z869" s="28"/>
    </row>
    <row r="870" spans="1:26" ht="13.5" customHeight="1">
      <c r="A870" s="28"/>
      <c r="B870" s="29"/>
      <c r="C870" s="29"/>
      <c r="D870" s="29"/>
      <c r="E870" s="30"/>
      <c r="F870" s="28"/>
      <c r="G870" s="28"/>
      <c r="H870" s="28"/>
      <c r="I870" s="28"/>
      <c r="J870" s="28"/>
      <c r="K870" s="28"/>
      <c r="L870" s="28"/>
      <c r="M870" s="28"/>
      <c r="N870" s="28"/>
      <c r="O870" s="28"/>
      <c r="P870" s="28"/>
      <c r="Q870" s="28"/>
      <c r="R870" s="28"/>
      <c r="S870" s="28"/>
      <c r="T870" s="28"/>
      <c r="U870" s="28"/>
      <c r="V870" s="28"/>
      <c r="W870" s="28"/>
      <c r="X870" s="28"/>
      <c r="Y870" s="28"/>
      <c r="Z870" s="28"/>
    </row>
    <row r="871" spans="1:26" ht="13.5" customHeight="1">
      <c r="A871" s="28"/>
      <c r="B871" s="29"/>
      <c r="C871" s="29"/>
      <c r="D871" s="29"/>
      <c r="E871" s="30"/>
      <c r="F871" s="28"/>
      <c r="G871" s="28"/>
      <c r="H871" s="28"/>
      <c r="I871" s="28"/>
      <c r="J871" s="28"/>
      <c r="K871" s="28"/>
      <c r="L871" s="28"/>
      <c r="M871" s="28"/>
      <c r="N871" s="28"/>
      <c r="O871" s="28"/>
      <c r="P871" s="28"/>
      <c r="Q871" s="28"/>
      <c r="R871" s="28"/>
      <c r="S871" s="28"/>
      <c r="T871" s="28"/>
      <c r="U871" s="28"/>
      <c r="V871" s="28"/>
      <c r="W871" s="28"/>
      <c r="X871" s="28"/>
      <c r="Y871" s="28"/>
      <c r="Z871" s="28"/>
    </row>
    <row r="872" spans="1:26" ht="13.5" customHeight="1">
      <c r="A872" s="28"/>
      <c r="B872" s="29"/>
      <c r="C872" s="29"/>
      <c r="D872" s="29"/>
      <c r="E872" s="30"/>
      <c r="F872" s="28"/>
      <c r="G872" s="28"/>
      <c r="H872" s="28"/>
      <c r="I872" s="28"/>
      <c r="J872" s="28"/>
      <c r="K872" s="28"/>
      <c r="L872" s="28"/>
      <c r="M872" s="28"/>
      <c r="N872" s="28"/>
      <c r="O872" s="28"/>
      <c r="P872" s="28"/>
      <c r="Q872" s="28"/>
      <c r="R872" s="28"/>
      <c r="S872" s="28"/>
      <c r="T872" s="28"/>
      <c r="U872" s="28"/>
      <c r="V872" s="28"/>
      <c r="W872" s="28"/>
      <c r="X872" s="28"/>
      <c r="Y872" s="28"/>
      <c r="Z872" s="28"/>
    </row>
    <row r="873" spans="1:26" ht="13.5" customHeight="1">
      <c r="A873" s="28"/>
      <c r="B873" s="29"/>
      <c r="C873" s="29"/>
      <c r="D873" s="29"/>
      <c r="E873" s="30"/>
      <c r="F873" s="28"/>
      <c r="G873" s="28"/>
      <c r="H873" s="28"/>
      <c r="I873" s="28"/>
      <c r="J873" s="28"/>
      <c r="K873" s="28"/>
      <c r="L873" s="28"/>
      <c r="M873" s="28"/>
      <c r="N873" s="28"/>
      <c r="O873" s="28"/>
      <c r="P873" s="28"/>
      <c r="Q873" s="28"/>
      <c r="R873" s="28"/>
      <c r="S873" s="28"/>
      <c r="T873" s="28"/>
      <c r="U873" s="28"/>
      <c r="V873" s="28"/>
      <c r="W873" s="28"/>
      <c r="X873" s="28"/>
      <c r="Y873" s="28"/>
      <c r="Z873" s="28"/>
    </row>
    <row r="874" spans="1:26" ht="13.5" customHeight="1">
      <c r="A874" s="28"/>
      <c r="B874" s="29"/>
      <c r="C874" s="29"/>
      <c r="D874" s="29"/>
      <c r="E874" s="30"/>
      <c r="F874" s="28"/>
      <c r="G874" s="28"/>
      <c r="H874" s="28"/>
      <c r="I874" s="28"/>
      <c r="J874" s="28"/>
      <c r="K874" s="28"/>
      <c r="L874" s="28"/>
      <c r="M874" s="28"/>
      <c r="N874" s="28"/>
      <c r="O874" s="28"/>
      <c r="P874" s="28"/>
      <c r="Q874" s="28"/>
      <c r="R874" s="28"/>
      <c r="S874" s="28"/>
      <c r="T874" s="28"/>
      <c r="U874" s="28"/>
      <c r="V874" s="28"/>
      <c r="W874" s="28"/>
      <c r="X874" s="28"/>
      <c r="Y874" s="28"/>
      <c r="Z874" s="28"/>
    </row>
    <row r="875" spans="1:26" ht="13.5" customHeight="1">
      <c r="A875" s="28"/>
      <c r="B875" s="29"/>
      <c r="C875" s="29"/>
      <c r="D875" s="29"/>
      <c r="E875" s="30"/>
      <c r="F875" s="28"/>
      <c r="G875" s="28"/>
      <c r="H875" s="28"/>
      <c r="I875" s="28"/>
      <c r="J875" s="28"/>
      <c r="K875" s="28"/>
      <c r="L875" s="28"/>
      <c r="M875" s="28"/>
      <c r="N875" s="28"/>
      <c r="O875" s="28"/>
      <c r="P875" s="28"/>
      <c r="Q875" s="28"/>
      <c r="R875" s="28"/>
      <c r="S875" s="28"/>
      <c r="T875" s="28"/>
      <c r="U875" s="28"/>
      <c r="V875" s="28"/>
      <c r="W875" s="28"/>
      <c r="X875" s="28"/>
      <c r="Y875" s="28"/>
      <c r="Z875" s="28"/>
    </row>
    <row r="876" spans="1:26" ht="13.5" customHeight="1">
      <c r="A876" s="28"/>
      <c r="B876" s="29"/>
      <c r="C876" s="29"/>
      <c r="D876" s="29"/>
      <c r="E876" s="30"/>
      <c r="F876" s="28"/>
      <c r="G876" s="28"/>
      <c r="H876" s="28"/>
      <c r="I876" s="28"/>
      <c r="J876" s="28"/>
      <c r="K876" s="28"/>
      <c r="L876" s="28"/>
      <c r="M876" s="28"/>
      <c r="N876" s="28"/>
      <c r="O876" s="28"/>
      <c r="P876" s="28"/>
      <c r="Q876" s="28"/>
      <c r="R876" s="28"/>
      <c r="S876" s="28"/>
      <c r="T876" s="28"/>
      <c r="U876" s="28"/>
      <c r="V876" s="28"/>
      <c r="W876" s="28"/>
      <c r="X876" s="28"/>
      <c r="Y876" s="28"/>
      <c r="Z876" s="28"/>
    </row>
    <row r="877" spans="1:26" ht="13.5" customHeight="1">
      <c r="A877" s="28"/>
      <c r="B877" s="29"/>
      <c r="C877" s="29"/>
      <c r="D877" s="29"/>
      <c r="E877" s="30"/>
      <c r="F877" s="28"/>
      <c r="G877" s="28"/>
      <c r="H877" s="28"/>
      <c r="I877" s="28"/>
      <c r="J877" s="28"/>
      <c r="K877" s="28"/>
      <c r="L877" s="28"/>
      <c r="M877" s="28"/>
      <c r="N877" s="28"/>
      <c r="O877" s="28"/>
      <c r="P877" s="28"/>
      <c r="Q877" s="28"/>
      <c r="R877" s="28"/>
      <c r="S877" s="28"/>
      <c r="T877" s="28"/>
      <c r="U877" s="28"/>
      <c r="V877" s="28"/>
      <c r="W877" s="28"/>
      <c r="X877" s="28"/>
      <c r="Y877" s="28"/>
      <c r="Z877" s="28"/>
    </row>
    <row r="878" spans="1:26" ht="13.5" customHeight="1">
      <c r="A878" s="28"/>
      <c r="B878" s="29"/>
      <c r="C878" s="29"/>
      <c r="D878" s="29"/>
      <c r="E878" s="30"/>
      <c r="F878" s="28"/>
      <c r="G878" s="28"/>
      <c r="H878" s="28"/>
      <c r="I878" s="28"/>
      <c r="J878" s="28"/>
      <c r="K878" s="28"/>
      <c r="L878" s="28"/>
      <c r="M878" s="28"/>
      <c r="N878" s="28"/>
      <c r="O878" s="28"/>
      <c r="P878" s="28"/>
      <c r="Q878" s="28"/>
      <c r="R878" s="28"/>
      <c r="S878" s="28"/>
      <c r="T878" s="28"/>
      <c r="U878" s="28"/>
      <c r="V878" s="28"/>
      <c r="W878" s="28"/>
      <c r="X878" s="28"/>
      <c r="Y878" s="28"/>
      <c r="Z878" s="28"/>
    </row>
    <row r="879" spans="1:26" ht="13.5" customHeight="1">
      <c r="A879" s="28"/>
      <c r="B879" s="29"/>
      <c r="C879" s="29"/>
      <c r="D879" s="29"/>
      <c r="E879" s="30"/>
      <c r="F879" s="28"/>
      <c r="G879" s="28"/>
      <c r="H879" s="28"/>
      <c r="I879" s="28"/>
      <c r="J879" s="28"/>
      <c r="K879" s="28"/>
      <c r="L879" s="28"/>
      <c r="M879" s="28"/>
      <c r="N879" s="28"/>
      <c r="O879" s="28"/>
      <c r="P879" s="28"/>
      <c r="Q879" s="28"/>
      <c r="R879" s="28"/>
      <c r="S879" s="28"/>
      <c r="T879" s="28"/>
      <c r="U879" s="28"/>
      <c r="V879" s="28"/>
      <c r="W879" s="28"/>
      <c r="X879" s="28"/>
      <c r="Y879" s="28"/>
      <c r="Z879" s="28"/>
    </row>
    <row r="880" spans="1:26" ht="13.5" customHeight="1">
      <c r="A880" s="28"/>
      <c r="B880" s="29"/>
      <c r="C880" s="29"/>
      <c r="D880" s="29"/>
      <c r="E880" s="30"/>
      <c r="F880" s="28"/>
      <c r="G880" s="28"/>
      <c r="H880" s="28"/>
      <c r="I880" s="28"/>
      <c r="J880" s="28"/>
      <c r="K880" s="28"/>
      <c r="L880" s="28"/>
      <c r="M880" s="28"/>
      <c r="N880" s="28"/>
      <c r="O880" s="28"/>
      <c r="P880" s="28"/>
      <c r="Q880" s="28"/>
      <c r="R880" s="28"/>
      <c r="S880" s="28"/>
      <c r="T880" s="28"/>
      <c r="U880" s="28"/>
      <c r="V880" s="28"/>
      <c r="W880" s="28"/>
      <c r="X880" s="28"/>
      <c r="Y880" s="28"/>
      <c r="Z880" s="28"/>
    </row>
    <row r="881" spans="1:26" ht="13.5" customHeight="1">
      <c r="A881" s="28"/>
      <c r="B881" s="29"/>
      <c r="C881" s="29"/>
      <c r="D881" s="29"/>
      <c r="E881" s="30"/>
      <c r="F881" s="28"/>
      <c r="G881" s="28"/>
      <c r="H881" s="28"/>
      <c r="I881" s="28"/>
      <c r="J881" s="28"/>
      <c r="K881" s="28"/>
      <c r="L881" s="28"/>
      <c r="M881" s="28"/>
      <c r="N881" s="28"/>
      <c r="O881" s="28"/>
      <c r="P881" s="28"/>
      <c r="Q881" s="28"/>
      <c r="R881" s="28"/>
      <c r="S881" s="28"/>
      <c r="T881" s="28"/>
      <c r="U881" s="28"/>
      <c r="V881" s="28"/>
      <c r="W881" s="28"/>
      <c r="X881" s="28"/>
      <c r="Y881" s="28"/>
      <c r="Z881" s="28"/>
    </row>
    <row r="882" spans="1:26" ht="13.5" customHeight="1">
      <c r="A882" s="28"/>
      <c r="B882" s="29"/>
      <c r="C882" s="29"/>
      <c r="D882" s="29"/>
      <c r="E882" s="30"/>
      <c r="F882" s="28"/>
      <c r="G882" s="28"/>
      <c r="H882" s="28"/>
      <c r="I882" s="28"/>
      <c r="J882" s="28"/>
      <c r="K882" s="28"/>
      <c r="L882" s="28"/>
      <c r="M882" s="28"/>
      <c r="N882" s="28"/>
      <c r="O882" s="28"/>
      <c r="P882" s="28"/>
      <c r="Q882" s="28"/>
      <c r="R882" s="28"/>
      <c r="S882" s="28"/>
      <c r="T882" s="28"/>
      <c r="U882" s="28"/>
      <c r="V882" s="28"/>
      <c r="W882" s="28"/>
      <c r="X882" s="28"/>
      <c r="Y882" s="28"/>
      <c r="Z882" s="28"/>
    </row>
    <row r="883" spans="1:26" ht="13.5" customHeight="1">
      <c r="A883" s="28"/>
      <c r="B883" s="29"/>
      <c r="C883" s="29"/>
      <c r="D883" s="29"/>
      <c r="E883" s="30"/>
      <c r="F883" s="28"/>
      <c r="G883" s="28"/>
      <c r="H883" s="28"/>
      <c r="I883" s="28"/>
      <c r="J883" s="28"/>
      <c r="K883" s="28"/>
      <c r="L883" s="28"/>
      <c r="M883" s="28"/>
      <c r="N883" s="28"/>
      <c r="O883" s="28"/>
      <c r="P883" s="28"/>
      <c r="Q883" s="28"/>
      <c r="R883" s="28"/>
      <c r="S883" s="28"/>
      <c r="T883" s="28"/>
      <c r="U883" s="28"/>
      <c r="V883" s="28"/>
      <c r="W883" s="28"/>
      <c r="X883" s="28"/>
      <c r="Y883" s="28"/>
      <c r="Z883" s="28"/>
    </row>
    <row r="884" spans="1:26" ht="13.5" customHeight="1">
      <c r="A884" s="28"/>
      <c r="B884" s="29"/>
      <c r="C884" s="29"/>
      <c r="D884" s="29"/>
      <c r="E884" s="30"/>
      <c r="F884" s="28"/>
      <c r="G884" s="28"/>
      <c r="H884" s="28"/>
      <c r="I884" s="28"/>
      <c r="J884" s="28"/>
      <c r="K884" s="28"/>
      <c r="L884" s="28"/>
      <c r="M884" s="28"/>
      <c r="N884" s="28"/>
      <c r="O884" s="28"/>
      <c r="P884" s="28"/>
      <c r="Q884" s="28"/>
      <c r="R884" s="28"/>
      <c r="S884" s="28"/>
      <c r="T884" s="28"/>
      <c r="U884" s="28"/>
      <c r="V884" s="28"/>
      <c r="W884" s="28"/>
      <c r="X884" s="28"/>
      <c r="Y884" s="28"/>
      <c r="Z884" s="28"/>
    </row>
    <row r="885" spans="1:26" ht="13.5" customHeight="1">
      <c r="A885" s="28"/>
      <c r="B885" s="29"/>
      <c r="C885" s="29"/>
      <c r="D885" s="29"/>
      <c r="E885" s="30"/>
      <c r="F885" s="28"/>
      <c r="G885" s="28"/>
      <c r="H885" s="28"/>
      <c r="I885" s="28"/>
      <c r="J885" s="28"/>
      <c r="K885" s="28"/>
      <c r="L885" s="28"/>
      <c r="M885" s="28"/>
      <c r="N885" s="28"/>
      <c r="O885" s="28"/>
      <c r="P885" s="28"/>
      <c r="Q885" s="28"/>
      <c r="R885" s="28"/>
      <c r="S885" s="28"/>
      <c r="T885" s="28"/>
      <c r="U885" s="28"/>
      <c r="V885" s="28"/>
      <c r="W885" s="28"/>
      <c r="X885" s="28"/>
      <c r="Y885" s="28"/>
      <c r="Z885" s="28"/>
    </row>
    <row r="886" spans="1:26" ht="13.5" customHeight="1">
      <c r="A886" s="28"/>
      <c r="B886" s="29"/>
      <c r="C886" s="29"/>
      <c r="D886" s="29"/>
      <c r="E886" s="30"/>
      <c r="F886" s="28"/>
      <c r="G886" s="28"/>
      <c r="H886" s="28"/>
      <c r="I886" s="28"/>
      <c r="J886" s="28"/>
      <c r="K886" s="28"/>
      <c r="L886" s="28"/>
      <c r="M886" s="28"/>
      <c r="N886" s="28"/>
      <c r="O886" s="28"/>
      <c r="P886" s="28"/>
      <c r="Q886" s="28"/>
      <c r="R886" s="28"/>
      <c r="S886" s="28"/>
      <c r="T886" s="28"/>
      <c r="U886" s="28"/>
      <c r="V886" s="28"/>
      <c r="W886" s="28"/>
      <c r="X886" s="28"/>
      <c r="Y886" s="28"/>
      <c r="Z886" s="28"/>
    </row>
    <row r="887" spans="1:26" ht="13.5" customHeight="1">
      <c r="A887" s="28"/>
      <c r="B887" s="29"/>
      <c r="C887" s="29"/>
      <c r="D887" s="29"/>
      <c r="E887" s="30"/>
      <c r="F887" s="28"/>
      <c r="G887" s="28"/>
      <c r="H887" s="28"/>
      <c r="I887" s="28"/>
      <c r="J887" s="28"/>
      <c r="K887" s="28"/>
      <c r="L887" s="28"/>
      <c r="M887" s="28"/>
      <c r="N887" s="28"/>
      <c r="O887" s="28"/>
      <c r="P887" s="28"/>
      <c r="Q887" s="28"/>
      <c r="R887" s="28"/>
      <c r="S887" s="28"/>
      <c r="T887" s="28"/>
      <c r="U887" s="28"/>
      <c r="V887" s="28"/>
      <c r="W887" s="28"/>
      <c r="X887" s="28"/>
      <c r="Y887" s="28"/>
      <c r="Z887" s="28"/>
    </row>
    <row r="888" spans="1:26" ht="13.5" customHeight="1">
      <c r="A888" s="28"/>
      <c r="B888" s="29"/>
      <c r="C888" s="29"/>
      <c r="D888" s="29"/>
      <c r="E888" s="30"/>
      <c r="F888" s="28"/>
      <c r="G888" s="28"/>
      <c r="H888" s="28"/>
      <c r="I888" s="28"/>
      <c r="J888" s="28"/>
      <c r="K888" s="28"/>
      <c r="L888" s="28"/>
      <c r="M888" s="28"/>
      <c r="N888" s="28"/>
      <c r="O888" s="28"/>
      <c r="P888" s="28"/>
      <c r="Q888" s="28"/>
      <c r="R888" s="28"/>
      <c r="S888" s="28"/>
      <c r="T888" s="28"/>
      <c r="U888" s="28"/>
      <c r="V888" s="28"/>
      <c r="W888" s="28"/>
      <c r="X888" s="28"/>
      <c r="Y888" s="28"/>
      <c r="Z888" s="28"/>
    </row>
    <row r="889" spans="1:26" ht="13.5" customHeight="1">
      <c r="A889" s="28"/>
      <c r="B889" s="29"/>
      <c r="C889" s="29"/>
      <c r="D889" s="29"/>
      <c r="E889" s="30"/>
      <c r="F889" s="28"/>
      <c r="G889" s="28"/>
      <c r="H889" s="28"/>
      <c r="I889" s="28"/>
      <c r="J889" s="28"/>
      <c r="K889" s="28"/>
      <c r="L889" s="28"/>
      <c r="M889" s="28"/>
      <c r="N889" s="28"/>
      <c r="O889" s="28"/>
      <c r="P889" s="28"/>
      <c r="Q889" s="28"/>
      <c r="R889" s="28"/>
      <c r="S889" s="28"/>
      <c r="T889" s="28"/>
      <c r="U889" s="28"/>
      <c r="V889" s="28"/>
      <c r="W889" s="28"/>
      <c r="X889" s="28"/>
      <c r="Y889" s="28"/>
      <c r="Z889" s="28"/>
    </row>
    <row r="890" spans="1:26" ht="13.5" customHeight="1">
      <c r="A890" s="28"/>
      <c r="B890" s="29"/>
      <c r="C890" s="29"/>
      <c r="D890" s="29"/>
      <c r="E890" s="30"/>
      <c r="F890" s="28"/>
      <c r="G890" s="28"/>
      <c r="H890" s="28"/>
      <c r="I890" s="28"/>
      <c r="J890" s="28"/>
      <c r="K890" s="28"/>
      <c r="L890" s="28"/>
      <c r="M890" s="28"/>
      <c r="N890" s="28"/>
      <c r="O890" s="28"/>
      <c r="P890" s="28"/>
      <c r="Q890" s="28"/>
      <c r="R890" s="28"/>
      <c r="S890" s="28"/>
      <c r="T890" s="28"/>
      <c r="U890" s="28"/>
      <c r="V890" s="28"/>
      <c r="W890" s="28"/>
      <c r="X890" s="28"/>
      <c r="Y890" s="28"/>
      <c r="Z890" s="28"/>
    </row>
    <row r="891" spans="1:26" ht="13.5" customHeight="1">
      <c r="A891" s="28"/>
      <c r="B891" s="29"/>
      <c r="C891" s="29"/>
      <c r="D891" s="29"/>
      <c r="E891" s="30"/>
      <c r="F891" s="28"/>
      <c r="G891" s="28"/>
      <c r="H891" s="28"/>
      <c r="I891" s="28"/>
      <c r="J891" s="28"/>
      <c r="K891" s="28"/>
      <c r="L891" s="28"/>
      <c r="M891" s="28"/>
      <c r="N891" s="28"/>
      <c r="O891" s="28"/>
      <c r="P891" s="28"/>
      <c r="Q891" s="28"/>
      <c r="R891" s="28"/>
      <c r="S891" s="28"/>
      <c r="T891" s="28"/>
      <c r="U891" s="28"/>
      <c r="V891" s="28"/>
      <c r="W891" s="28"/>
      <c r="X891" s="28"/>
      <c r="Y891" s="28"/>
      <c r="Z891" s="28"/>
    </row>
    <row r="892" spans="1:26" ht="13.5" customHeight="1">
      <c r="A892" s="28"/>
      <c r="B892" s="29"/>
      <c r="C892" s="29"/>
      <c r="D892" s="29"/>
      <c r="E892" s="30"/>
      <c r="F892" s="28"/>
      <c r="G892" s="28"/>
      <c r="H892" s="28"/>
      <c r="I892" s="28"/>
      <c r="J892" s="28"/>
      <c r="K892" s="28"/>
      <c r="L892" s="28"/>
      <c r="M892" s="28"/>
      <c r="N892" s="28"/>
      <c r="O892" s="28"/>
      <c r="P892" s="28"/>
      <c r="Q892" s="28"/>
      <c r="R892" s="28"/>
      <c r="S892" s="28"/>
      <c r="T892" s="28"/>
      <c r="U892" s="28"/>
      <c r="V892" s="28"/>
      <c r="W892" s="28"/>
      <c r="X892" s="28"/>
      <c r="Y892" s="28"/>
      <c r="Z892" s="28"/>
    </row>
    <row r="893" spans="1:26" ht="13.5" customHeight="1">
      <c r="A893" s="28"/>
      <c r="B893" s="29"/>
      <c r="C893" s="29"/>
      <c r="D893" s="29"/>
      <c r="E893" s="30"/>
      <c r="F893" s="28"/>
      <c r="G893" s="28"/>
      <c r="H893" s="28"/>
      <c r="I893" s="28"/>
      <c r="J893" s="28"/>
      <c r="K893" s="28"/>
      <c r="L893" s="28"/>
      <c r="M893" s="28"/>
      <c r="N893" s="28"/>
      <c r="O893" s="28"/>
      <c r="P893" s="28"/>
      <c r="Q893" s="28"/>
      <c r="R893" s="28"/>
      <c r="S893" s="28"/>
      <c r="T893" s="28"/>
      <c r="U893" s="28"/>
      <c r="V893" s="28"/>
      <c r="W893" s="28"/>
      <c r="X893" s="28"/>
      <c r="Y893" s="28"/>
      <c r="Z893" s="28"/>
    </row>
    <row r="894" spans="1:26" ht="13.5" customHeight="1">
      <c r="A894" s="28"/>
      <c r="B894" s="29"/>
      <c r="C894" s="29"/>
      <c r="D894" s="29"/>
      <c r="E894" s="30"/>
      <c r="F894" s="28"/>
      <c r="G894" s="28"/>
      <c r="H894" s="28"/>
      <c r="I894" s="28"/>
      <c r="J894" s="28"/>
      <c r="K894" s="28"/>
      <c r="L894" s="28"/>
      <c r="M894" s="28"/>
      <c r="N894" s="28"/>
      <c r="O894" s="28"/>
      <c r="P894" s="28"/>
      <c r="Q894" s="28"/>
      <c r="R894" s="28"/>
      <c r="S894" s="28"/>
      <c r="T894" s="28"/>
      <c r="U894" s="28"/>
      <c r="V894" s="28"/>
      <c r="W894" s="28"/>
      <c r="X894" s="28"/>
      <c r="Y894" s="28"/>
      <c r="Z894" s="28"/>
    </row>
    <row r="895" spans="1:26" ht="13.5" customHeight="1">
      <c r="A895" s="28"/>
      <c r="B895" s="29"/>
      <c r="C895" s="29"/>
      <c r="D895" s="29"/>
      <c r="E895" s="30"/>
      <c r="F895" s="28"/>
      <c r="G895" s="28"/>
      <c r="H895" s="28"/>
      <c r="I895" s="28"/>
      <c r="J895" s="28"/>
      <c r="K895" s="28"/>
      <c r="L895" s="28"/>
      <c r="M895" s="28"/>
      <c r="N895" s="28"/>
      <c r="O895" s="28"/>
      <c r="P895" s="28"/>
      <c r="Q895" s="28"/>
      <c r="R895" s="28"/>
      <c r="S895" s="28"/>
      <c r="T895" s="28"/>
      <c r="U895" s="28"/>
      <c r="V895" s="28"/>
      <c r="W895" s="28"/>
      <c r="X895" s="28"/>
      <c r="Y895" s="28"/>
      <c r="Z895" s="28"/>
    </row>
    <row r="896" spans="1:26" ht="13.5" customHeight="1">
      <c r="A896" s="28"/>
      <c r="B896" s="29"/>
      <c r="C896" s="29"/>
      <c r="D896" s="29"/>
      <c r="E896" s="30"/>
      <c r="F896" s="28"/>
      <c r="G896" s="28"/>
      <c r="H896" s="28"/>
      <c r="I896" s="28"/>
      <c r="J896" s="28"/>
      <c r="K896" s="28"/>
      <c r="L896" s="28"/>
      <c r="M896" s="28"/>
      <c r="N896" s="28"/>
      <c r="O896" s="28"/>
      <c r="P896" s="28"/>
      <c r="Q896" s="28"/>
      <c r="R896" s="28"/>
      <c r="S896" s="28"/>
      <c r="T896" s="28"/>
      <c r="U896" s="28"/>
      <c r="V896" s="28"/>
      <c r="W896" s="28"/>
      <c r="X896" s="28"/>
      <c r="Y896" s="28"/>
      <c r="Z896" s="28"/>
    </row>
    <row r="897" spans="1:26" ht="13.5" customHeight="1">
      <c r="A897" s="28"/>
      <c r="B897" s="29"/>
      <c r="C897" s="29"/>
      <c r="D897" s="29"/>
      <c r="E897" s="30"/>
      <c r="F897" s="28"/>
      <c r="G897" s="28"/>
      <c r="H897" s="28"/>
      <c r="I897" s="28"/>
      <c r="J897" s="28"/>
      <c r="K897" s="28"/>
      <c r="L897" s="28"/>
      <c r="M897" s="28"/>
      <c r="N897" s="28"/>
      <c r="O897" s="28"/>
      <c r="P897" s="28"/>
      <c r="Q897" s="28"/>
      <c r="R897" s="28"/>
      <c r="S897" s="28"/>
      <c r="T897" s="28"/>
      <c r="U897" s="28"/>
      <c r="V897" s="28"/>
      <c r="W897" s="28"/>
      <c r="X897" s="28"/>
      <c r="Y897" s="28"/>
      <c r="Z897" s="28"/>
    </row>
    <row r="898" spans="1:26" ht="13.5" customHeight="1">
      <c r="A898" s="28"/>
      <c r="B898" s="29"/>
      <c r="C898" s="29"/>
      <c r="D898" s="29"/>
      <c r="E898" s="30"/>
      <c r="F898" s="28"/>
      <c r="G898" s="28"/>
      <c r="H898" s="28"/>
      <c r="I898" s="28"/>
      <c r="J898" s="28"/>
      <c r="K898" s="28"/>
      <c r="L898" s="28"/>
      <c r="M898" s="28"/>
      <c r="N898" s="28"/>
      <c r="O898" s="28"/>
      <c r="P898" s="28"/>
      <c r="Q898" s="28"/>
      <c r="R898" s="28"/>
      <c r="S898" s="28"/>
      <c r="T898" s="28"/>
      <c r="U898" s="28"/>
      <c r="V898" s="28"/>
      <c r="W898" s="28"/>
      <c r="X898" s="28"/>
      <c r="Y898" s="28"/>
      <c r="Z898" s="28"/>
    </row>
    <row r="899" spans="1:26" ht="13.5" customHeight="1">
      <c r="A899" s="28"/>
      <c r="B899" s="29"/>
      <c r="C899" s="29"/>
      <c r="D899" s="29"/>
      <c r="E899" s="30"/>
      <c r="F899" s="28"/>
      <c r="G899" s="28"/>
      <c r="H899" s="28"/>
      <c r="I899" s="28"/>
      <c r="J899" s="28"/>
      <c r="K899" s="28"/>
      <c r="L899" s="28"/>
      <c r="M899" s="28"/>
      <c r="N899" s="28"/>
      <c r="O899" s="28"/>
      <c r="P899" s="28"/>
      <c r="Q899" s="28"/>
      <c r="R899" s="28"/>
      <c r="S899" s="28"/>
      <c r="T899" s="28"/>
      <c r="U899" s="28"/>
      <c r="V899" s="28"/>
      <c r="W899" s="28"/>
      <c r="X899" s="28"/>
      <c r="Y899" s="28"/>
      <c r="Z899" s="28"/>
    </row>
    <row r="900" spans="1:26" ht="13.5" customHeight="1">
      <c r="A900" s="28"/>
      <c r="B900" s="29"/>
      <c r="C900" s="29"/>
      <c r="D900" s="29"/>
      <c r="E900" s="30"/>
      <c r="F900" s="28"/>
      <c r="G900" s="28"/>
      <c r="H900" s="28"/>
      <c r="I900" s="28"/>
      <c r="J900" s="28"/>
      <c r="K900" s="28"/>
      <c r="L900" s="28"/>
      <c r="M900" s="28"/>
      <c r="N900" s="28"/>
      <c r="O900" s="28"/>
      <c r="P900" s="28"/>
      <c r="Q900" s="28"/>
      <c r="R900" s="28"/>
      <c r="S900" s="28"/>
      <c r="T900" s="28"/>
      <c r="U900" s="28"/>
      <c r="V900" s="28"/>
      <c r="W900" s="28"/>
      <c r="X900" s="28"/>
      <c r="Y900" s="28"/>
      <c r="Z900" s="28"/>
    </row>
    <row r="901" spans="1:26" ht="13.5" customHeight="1">
      <c r="A901" s="28"/>
      <c r="B901" s="29"/>
      <c r="C901" s="29"/>
      <c r="D901" s="29"/>
      <c r="E901" s="30"/>
      <c r="F901" s="28"/>
      <c r="G901" s="28"/>
      <c r="H901" s="28"/>
      <c r="I901" s="28"/>
      <c r="J901" s="28"/>
      <c r="K901" s="28"/>
      <c r="L901" s="28"/>
      <c r="M901" s="28"/>
      <c r="N901" s="28"/>
      <c r="O901" s="28"/>
      <c r="P901" s="28"/>
      <c r="Q901" s="28"/>
      <c r="R901" s="28"/>
      <c r="S901" s="28"/>
      <c r="T901" s="28"/>
      <c r="U901" s="28"/>
      <c r="V901" s="28"/>
      <c r="W901" s="28"/>
      <c r="X901" s="28"/>
      <c r="Y901" s="28"/>
      <c r="Z901" s="28"/>
    </row>
    <row r="902" spans="1:26" ht="13.5" customHeight="1">
      <c r="A902" s="28"/>
      <c r="B902" s="29"/>
      <c r="C902" s="29"/>
      <c r="D902" s="29"/>
      <c r="E902" s="30"/>
      <c r="F902" s="28"/>
      <c r="G902" s="28"/>
      <c r="H902" s="28"/>
      <c r="I902" s="28"/>
      <c r="J902" s="28"/>
      <c r="K902" s="28"/>
      <c r="L902" s="28"/>
      <c r="M902" s="28"/>
      <c r="N902" s="28"/>
      <c r="O902" s="28"/>
      <c r="P902" s="28"/>
      <c r="Q902" s="28"/>
      <c r="R902" s="28"/>
      <c r="S902" s="28"/>
      <c r="T902" s="28"/>
      <c r="U902" s="28"/>
      <c r="V902" s="28"/>
      <c r="W902" s="28"/>
      <c r="X902" s="28"/>
      <c r="Y902" s="28"/>
      <c r="Z902" s="28"/>
    </row>
    <row r="903" spans="1:26" ht="13.5" customHeight="1">
      <c r="A903" s="28"/>
      <c r="B903" s="29"/>
      <c r="C903" s="29"/>
      <c r="D903" s="29"/>
      <c r="E903" s="30"/>
      <c r="F903" s="28"/>
      <c r="G903" s="28"/>
      <c r="H903" s="28"/>
      <c r="I903" s="28"/>
      <c r="J903" s="28"/>
      <c r="K903" s="28"/>
      <c r="L903" s="28"/>
      <c r="M903" s="28"/>
      <c r="N903" s="28"/>
      <c r="O903" s="28"/>
      <c r="P903" s="28"/>
      <c r="Q903" s="28"/>
      <c r="R903" s="28"/>
      <c r="S903" s="28"/>
      <c r="T903" s="28"/>
      <c r="U903" s="28"/>
      <c r="V903" s="28"/>
      <c r="W903" s="28"/>
      <c r="X903" s="28"/>
      <c r="Y903" s="28"/>
      <c r="Z903" s="28"/>
    </row>
    <row r="904" spans="1:26" ht="13.5" customHeight="1">
      <c r="A904" s="28"/>
      <c r="B904" s="29"/>
      <c r="C904" s="29"/>
      <c r="D904" s="29"/>
      <c r="E904" s="30"/>
      <c r="F904" s="28"/>
      <c r="G904" s="28"/>
      <c r="H904" s="28"/>
      <c r="I904" s="28"/>
      <c r="J904" s="28"/>
      <c r="K904" s="28"/>
      <c r="L904" s="28"/>
      <c r="M904" s="28"/>
      <c r="N904" s="28"/>
      <c r="O904" s="28"/>
      <c r="P904" s="28"/>
      <c r="Q904" s="28"/>
      <c r="R904" s="28"/>
      <c r="S904" s="28"/>
      <c r="T904" s="28"/>
      <c r="U904" s="28"/>
      <c r="V904" s="28"/>
      <c r="W904" s="28"/>
      <c r="X904" s="28"/>
      <c r="Y904" s="28"/>
      <c r="Z904" s="28"/>
    </row>
    <row r="905" spans="1:26" ht="13.5" customHeight="1">
      <c r="A905" s="28"/>
      <c r="B905" s="29"/>
      <c r="C905" s="29"/>
      <c r="D905" s="29"/>
      <c r="E905" s="30"/>
      <c r="F905" s="28"/>
      <c r="G905" s="28"/>
      <c r="H905" s="28"/>
      <c r="I905" s="28"/>
      <c r="J905" s="28"/>
      <c r="K905" s="28"/>
      <c r="L905" s="28"/>
      <c r="M905" s="28"/>
      <c r="N905" s="28"/>
      <c r="O905" s="28"/>
      <c r="P905" s="28"/>
      <c r="Q905" s="28"/>
      <c r="R905" s="28"/>
      <c r="S905" s="28"/>
      <c r="T905" s="28"/>
      <c r="U905" s="28"/>
      <c r="V905" s="28"/>
      <c r="W905" s="28"/>
      <c r="X905" s="28"/>
      <c r="Y905" s="28"/>
      <c r="Z905" s="28"/>
    </row>
    <row r="906" spans="1:26" ht="13.5" customHeight="1">
      <c r="A906" s="28"/>
      <c r="B906" s="29"/>
      <c r="C906" s="29"/>
      <c r="D906" s="29"/>
      <c r="E906" s="30"/>
      <c r="F906" s="28"/>
      <c r="G906" s="28"/>
      <c r="H906" s="28"/>
      <c r="I906" s="28"/>
      <c r="J906" s="28"/>
      <c r="K906" s="28"/>
      <c r="L906" s="28"/>
      <c r="M906" s="28"/>
      <c r="N906" s="28"/>
      <c r="O906" s="28"/>
      <c r="P906" s="28"/>
      <c r="Q906" s="28"/>
      <c r="R906" s="28"/>
      <c r="S906" s="28"/>
      <c r="T906" s="28"/>
      <c r="U906" s="28"/>
      <c r="V906" s="28"/>
      <c r="W906" s="28"/>
      <c r="X906" s="28"/>
      <c r="Y906" s="28"/>
      <c r="Z906" s="28"/>
    </row>
    <row r="907" spans="1:26" ht="13.5" customHeight="1">
      <c r="A907" s="28"/>
      <c r="B907" s="29"/>
      <c r="C907" s="29"/>
      <c r="D907" s="29"/>
      <c r="E907" s="30"/>
      <c r="F907" s="28"/>
      <c r="G907" s="28"/>
      <c r="H907" s="28"/>
      <c r="I907" s="28"/>
      <c r="J907" s="28"/>
      <c r="K907" s="28"/>
      <c r="L907" s="28"/>
      <c r="M907" s="28"/>
      <c r="N907" s="28"/>
      <c r="O907" s="28"/>
      <c r="P907" s="28"/>
      <c r="Q907" s="28"/>
      <c r="R907" s="28"/>
      <c r="S907" s="28"/>
      <c r="T907" s="28"/>
      <c r="U907" s="28"/>
      <c r="V907" s="28"/>
      <c r="W907" s="28"/>
      <c r="X907" s="28"/>
      <c r="Y907" s="28"/>
      <c r="Z907" s="28"/>
    </row>
    <row r="908" spans="1:26" ht="13.5" customHeight="1">
      <c r="A908" s="28"/>
      <c r="B908" s="29"/>
      <c r="C908" s="29"/>
      <c r="D908" s="29"/>
      <c r="E908" s="30"/>
      <c r="F908" s="28"/>
      <c r="G908" s="28"/>
      <c r="H908" s="28"/>
      <c r="I908" s="28"/>
      <c r="J908" s="28"/>
      <c r="K908" s="28"/>
      <c r="L908" s="28"/>
      <c r="M908" s="28"/>
      <c r="N908" s="28"/>
      <c r="O908" s="28"/>
      <c r="P908" s="28"/>
      <c r="Q908" s="28"/>
      <c r="R908" s="28"/>
      <c r="S908" s="28"/>
      <c r="T908" s="28"/>
      <c r="U908" s="28"/>
      <c r="V908" s="28"/>
      <c r="W908" s="28"/>
      <c r="X908" s="28"/>
      <c r="Y908" s="28"/>
      <c r="Z908" s="28"/>
    </row>
    <row r="909" spans="1:26" ht="13.5" customHeight="1">
      <c r="A909" s="28"/>
      <c r="B909" s="29"/>
      <c r="C909" s="29"/>
      <c r="D909" s="29"/>
      <c r="E909" s="30"/>
      <c r="F909" s="28"/>
      <c r="G909" s="28"/>
      <c r="H909" s="28"/>
      <c r="I909" s="28"/>
      <c r="J909" s="28"/>
      <c r="K909" s="28"/>
      <c r="L909" s="28"/>
      <c r="M909" s="28"/>
      <c r="N909" s="28"/>
      <c r="O909" s="28"/>
      <c r="P909" s="28"/>
      <c r="Q909" s="28"/>
      <c r="R909" s="28"/>
      <c r="S909" s="28"/>
      <c r="T909" s="28"/>
      <c r="U909" s="28"/>
      <c r="V909" s="28"/>
      <c r="W909" s="28"/>
      <c r="X909" s="28"/>
      <c r="Y909" s="28"/>
      <c r="Z909" s="28"/>
    </row>
    <row r="910" spans="1:26" ht="13.5" customHeight="1">
      <c r="A910" s="28"/>
      <c r="B910" s="29"/>
      <c r="C910" s="29"/>
      <c r="D910" s="29"/>
      <c r="E910" s="30"/>
      <c r="F910" s="28"/>
      <c r="G910" s="28"/>
      <c r="H910" s="28"/>
      <c r="I910" s="28"/>
      <c r="J910" s="28"/>
      <c r="K910" s="28"/>
      <c r="L910" s="28"/>
      <c r="M910" s="28"/>
      <c r="N910" s="28"/>
      <c r="O910" s="28"/>
      <c r="P910" s="28"/>
      <c r="Q910" s="28"/>
      <c r="R910" s="28"/>
      <c r="S910" s="28"/>
      <c r="T910" s="28"/>
      <c r="U910" s="28"/>
      <c r="V910" s="28"/>
      <c r="W910" s="28"/>
      <c r="X910" s="28"/>
      <c r="Y910" s="28"/>
      <c r="Z910" s="28"/>
    </row>
    <row r="911" spans="1:26" ht="13.5" customHeight="1">
      <c r="A911" s="28"/>
      <c r="B911" s="29"/>
      <c r="C911" s="29"/>
      <c r="D911" s="29"/>
      <c r="E911" s="30"/>
      <c r="F911" s="28"/>
      <c r="G911" s="28"/>
      <c r="H911" s="28"/>
      <c r="I911" s="28"/>
      <c r="J911" s="28"/>
      <c r="K911" s="28"/>
      <c r="L911" s="28"/>
      <c r="M911" s="28"/>
      <c r="N911" s="28"/>
      <c r="O911" s="28"/>
      <c r="P911" s="28"/>
      <c r="Q911" s="28"/>
      <c r="R911" s="28"/>
      <c r="S911" s="28"/>
      <c r="T911" s="28"/>
      <c r="U911" s="28"/>
      <c r="V911" s="28"/>
      <c r="W911" s="28"/>
      <c r="X911" s="28"/>
      <c r="Y911" s="28"/>
      <c r="Z911" s="28"/>
    </row>
    <row r="912" spans="1:26" ht="13.5" customHeight="1">
      <c r="A912" s="28"/>
      <c r="B912" s="29"/>
      <c r="C912" s="29"/>
      <c r="D912" s="29"/>
      <c r="E912" s="30"/>
      <c r="F912" s="28"/>
      <c r="G912" s="28"/>
      <c r="H912" s="28"/>
      <c r="I912" s="28"/>
      <c r="J912" s="28"/>
      <c r="K912" s="28"/>
      <c r="L912" s="28"/>
      <c r="M912" s="28"/>
      <c r="N912" s="28"/>
      <c r="O912" s="28"/>
      <c r="P912" s="28"/>
      <c r="Q912" s="28"/>
      <c r="R912" s="28"/>
      <c r="S912" s="28"/>
      <c r="T912" s="28"/>
      <c r="U912" s="28"/>
      <c r="V912" s="28"/>
      <c r="W912" s="28"/>
      <c r="X912" s="28"/>
      <c r="Y912" s="28"/>
      <c r="Z912" s="28"/>
    </row>
    <row r="913" spans="1:26" ht="13.5" customHeight="1">
      <c r="A913" s="28"/>
      <c r="B913" s="29"/>
      <c r="C913" s="29"/>
      <c r="D913" s="29"/>
      <c r="E913" s="30"/>
      <c r="F913" s="28"/>
      <c r="G913" s="28"/>
      <c r="H913" s="28"/>
      <c r="I913" s="28"/>
      <c r="J913" s="28"/>
      <c r="K913" s="28"/>
      <c r="L913" s="28"/>
      <c r="M913" s="28"/>
      <c r="N913" s="28"/>
      <c r="O913" s="28"/>
      <c r="P913" s="28"/>
      <c r="Q913" s="28"/>
      <c r="R913" s="28"/>
      <c r="S913" s="28"/>
      <c r="T913" s="28"/>
      <c r="U913" s="28"/>
      <c r="V913" s="28"/>
      <c r="W913" s="28"/>
      <c r="X913" s="28"/>
      <c r="Y913" s="28"/>
      <c r="Z913" s="28"/>
    </row>
    <row r="914" spans="1:26" ht="13.5" customHeight="1">
      <c r="A914" s="28"/>
      <c r="B914" s="29"/>
      <c r="C914" s="29"/>
      <c r="D914" s="29"/>
      <c r="E914" s="30"/>
      <c r="F914" s="28"/>
      <c r="G914" s="28"/>
      <c r="H914" s="28"/>
      <c r="I914" s="28"/>
      <c r="J914" s="28"/>
      <c r="K914" s="28"/>
      <c r="L914" s="28"/>
      <c r="M914" s="28"/>
      <c r="N914" s="28"/>
      <c r="O914" s="28"/>
      <c r="P914" s="28"/>
      <c r="Q914" s="28"/>
      <c r="R914" s="28"/>
      <c r="S914" s="28"/>
      <c r="T914" s="28"/>
      <c r="U914" s="28"/>
      <c r="V914" s="28"/>
      <c r="W914" s="28"/>
      <c r="X914" s="28"/>
      <c r="Y914" s="28"/>
      <c r="Z914" s="28"/>
    </row>
    <row r="915" spans="1:26" ht="13.5" customHeight="1">
      <c r="A915" s="28"/>
      <c r="B915" s="29"/>
      <c r="C915" s="29"/>
      <c r="D915" s="29"/>
      <c r="E915" s="30"/>
      <c r="F915" s="28"/>
      <c r="G915" s="28"/>
      <c r="H915" s="28"/>
      <c r="I915" s="28"/>
      <c r="J915" s="28"/>
      <c r="K915" s="28"/>
      <c r="L915" s="28"/>
      <c r="M915" s="28"/>
      <c r="N915" s="28"/>
      <c r="O915" s="28"/>
      <c r="P915" s="28"/>
      <c r="Q915" s="28"/>
      <c r="R915" s="28"/>
      <c r="S915" s="28"/>
      <c r="T915" s="28"/>
      <c r="U915" s="28"/>
      <c r="V915" s="28"/>
      <c r="W915" s="28"/>
      <c r="X915" s="28"/>
      <c r="Y915" s="28"/>
      <c r="Z915" s="28"/>
    </row>
    <row r="916" spans="1:26" ht="13.5" customHeight="1">
      <c r="A916" s="28"/>
      <c r="B916" s="29"/>
      <c r="C916" s="29"/>
      <c r="D916" s="29"/>
      <c r="E916" s="30"/>
      <c r="F916" s="28"/>
      <c r="G916" s="28"/>
      <c r="H916" s="28"/>
      <c r="I916" s="28"/>
      <c r="J916" s="28"/>
      <c r="K916" s="28"/>
      <c r="L916" s="28"/>
      <c r="M916" s="28"/>
      <c r="N916" s="28"/>
      <c r="O916" s="28"/>
      <c r="P916" s="28"/>
      <c r="Q916" s="28"/>
      <c r="R916" s="28"/>
      <c r="S916" s="28"/>
      <c r="T916" s="28"/>
      <c r="U916" s="28"/>
      <c r="V916" s="28"/>
      <c r="W916" s="28"/>
      <c r="X916" s="28"/>
      <c r="Y916" s="28"/>
      <c r="Z916" s="28"/>
    </row>
    <row r="917" spans="1:26" ht="13.5" customHeight="1">
      <c r="A917" s="28"/>
      <c r="B917" s="29"/>
      <c r="C917" s="29"/>
      <c r="D917" s="29"/>
      <c r="E917" s="30"/>
      <c r="F917" s="28"/>
      <c r="G917" s="28"/>
      <c r="H917" s="28"/>
      <c r="I917" s="28"/>
      <c r="J917" s="28"/>
      <c r="K917" s="28"/>
      <c r="L917" s="28"/>
      <c r="M917" s="28"/>
      <c r="N917" s="28"/>
      <c r="O917" s="28"/>
      <c r="P917" s="28"/>
      <c r="Q917" s="28"/>
      <c r="R917" s="28"/>
      <c r="S917" s="28"/>
      <c r="T917" s="28"/>
      <c r="U917" s="28"/>
      <c r="V917" s="28"/>
      <c r="W917" s="28"/>
      <c r="X917" s="28"/>
      <c r="Y917" s="28"/>
      <c r="Z917" s="28"/>
    </row>
    <row r="918" spans="1:26" ht="13.5" customHeight="1">
      <c r="A918" s="28"/>
      <c r="B918" s="29"/>
      <c r="C918" s="29"/>
      <c r="D918" s="29"/>
      <c r="E918" s="30"/>
      <c r="F918" s="28"/>
      <c r="G918" s="28"/>
      <c r="H918" s="28"/>
      <c r="I918" s="28"/>
      <c r="J918" s="28"/>
      <c r="K918" s="28"/>
      <c r="L918" s="28"/>
      <c r="M918" s="28"/>
      <c r="N918" s="28"/>
      <c r="O918" s="28"/>
      <c r="P918" s="28"/>
      <c r="Q918" s="28"/>
      <c r="R918" s="28"/>
      <c r="S918" s="28"/>
      <c r="T918" s="28"/>
      <c r="U918" s="28"/>
      <c r="V918" s="28"/>
      <c r="W918" s="28"/>
      <c r="X918" s="28"/>
      <c r="Y918" s="28"/>
      <c r="Z918" s="28"/>
    </row>
    <row r="919" spans="1:26" ht="13.5" customHeight="1">
      <c r="A919" s="28"/>
      <c r="B919" s="29"/>
      <c r="C919" s="29"/>
      <c r="D919" s="29"/>
      <c r="E919" s="30"/>
      <c r="F919" s="28"/>
      <c r="G919" s="28"/>
      <c r="H919" s="28"/>
      <c r="I919" s="28"/>
      <c r="J919" s="28"/>
      <c r="K919" s="28"/>
      <c r="L919" s="28"/>
      <c r="M919" s="28"/>
      <c r="N919" s="28"/>
      <c r="O919" s="28"/>
      <c r="P919" s="28"/>
      <c r="Q919" s="28"/>
      <c r="R919" s="28"/>
      <c r="S919" s="28"/>
      <c r="T919" s="28"/>
      <c r="U919" s="28"/>
      <c r="V919" s="28"/>
      <c r="W919" s="28"/>
      <c r="X919" s="28"/>
      <c r="Y919" s="28"/>
      <c r="Z919" s="28"/>
    </row>
    <row r="920" spans="1:26" ht="13.5" customHeight="1">
      <c r="A920" s="28"/>
      <c r="B920" s="29"/>
      <c r="C920" s="29"/>
      <c r="D920" s="29"/>
      <c r="E920" s="30"/>
      <c r="F920" s="28"/>
      <c r="G920" s="28"/>
      <c r="H920" s="28"/>
      <c r="I920" s="28"/>
      <c r="J920" s="28"/>
      <c r="K920" s="28"/>
      <c r="L920" s="28"/>
      <c r="M920" s="28"/>
      <c r="N920" s="28"/>
      <c r="O920" s="28"/>
      <c r="P920" s="28"/>
      <c r="Q920" s="28"/>
      <c r="R920" s="28"/>
      <c r="S920" s="28"/>
      <c r="T920" s="28"/>
      <c r="U920" s="28"/>
      <c r="V920" s="28"/>
      <c r="W920" s="28"/>
      <c r="X920" s="28"/>
      <c r="Y920" s="28"/>
      <c r="Z920" s="28"/>
    </row>
    <row r="921" spans="1:26" ht="13.5" customHeight="1">
      <c r="A921" s="28"/>
      <c r="B921" s="29"/>
      <c r="C921" s="29"/>
      <c r="D921" s="29"/>
      <c r="E921" s="30"/>
      <c r="F921" s="28"/>
      <c r="G921" s="28"/>
      <c r="H921" s="28"/>
      <c r="I921" s="28"/>
      <c r="J921" s="28"/>
      <c r="K921" s="28"/>
      <c r="L921" s="28"/>
      <c r="M921" s="28"/>
      <c r="N921" s="28"/>
      <c r="O921" s="28"/>
      <c r="P921" s="28"/>
      <c r="Q921" s="28"/>
      <c r="R921" s="28"/>
      <c r="S921" s="28"/>
      <c r="T921" s="28"/>
      <c r="U921" s="28"/>
      <c r="V921" s="28"/>
      <c r="W921" s="28"/>
      <c r="X921" s="28"/>
      <c r="Y921" s="28"/>
      <c r="Z921" s="28"/>
    </row>
    <row r="922" spans="1:26" ht="13.5" customHeight="1">
      <c r="A922" s="28"/>
      <c r="B922" s="29"/>
      <c r="C922" s="29"/>
      <c r="D922" s="29"/>
      <c r="E922" s="30"/>
      <c r="F922" s="28"/>
      <c r="G922" s="28"/>
      <c r="H922" s="28"/>
      <c r="I922" s="28"/>
      <c r="J922" s="28"/>
      <c r="K922" s="28"/>
      <c r="L922" s="28"/>
      <c r="M922" s="28"/>
      <c r="N922" s="28"/>
      <c r="O922" s="28"/>
      <c r="P922" s="28"/>
      <c r="Q922" s="28"/>
      <c r="R922" s="28"/>
      <c r="S922" s="28"/>
      <c r="T922" s="28"/>
      <c r="U922" s="28"/>
      <c r="V922" s="28"/>
      <c r="W922" s="28"/>
      <c r="X922" s="28"/>
      <c r="Y922" s="28"/>
      <c r="Z922" s="28"/>
    </row>
    <row r="923" spans="1:26" ht="13.5" customHeight="1">
      <c r="A923" s="28"/>
      <c r="B923" s="29"/>
      <c r="C923" s="29"/>
      <c r="D923" s="29"/>
      <c r="E923" s="30"/>
      <c r="F923" s="28"/>
      <c r="G923" s="28"/>
      <c r="H923" s="28"/>
      <c r="I923" s="28"/>
      <c r="J923" s="28"/>
      <c r="K923" s="28"/>
      <c r="L923" s="28"/>
      <c r="M923" s="28"/>
      <c r="N923" s="28"/>
      <c r="O923" s="28"/>
      <c r="P923" s="28"/>
      <c r="Q923" s="28"/>
      <c r="R923" s="28"/>
      <c r="S923" s="28"/>
      <c r="T923" s="28"/>
      <c r="U923" s="28"/>
      <c r="V923" s="28"/>
      <c r="W923" s="28"/>
      <c r="X923" s="28"/>
      <c r="Y923" s="28"/>
      <c r="Z923" s="28"/>
    </row>
    <row r="924" spans="1:26" ht="13.5" customHeight="1">
      <c r="A924" s="28"/>
      <c r="B924" s="29"/>
      <c r="C924" s="29"/>
      <c r="D924" s="29"/>
      <c r="E924" s="30"/>
      <c r="F924" s="28"/>
      <c r="G924" s="28"/>
      <c r="H924" s="28"/>
      <c r="I924" s="28"/>
      <c r="J924" s="28"/>
      <c r="K924" s="28"/>
      <c r="L924" s="28"/>
      <c r="M924" s="28"/>
      <c r="N924" s="28"/>
      <c r="O924" s="28"/>
      <c r="P924" s="28"/>
      <c r="Q924" s="28"/>
      <c r="R924" s="28"/>
      <c r="S924" s="28"/>
      <c r="T924" s="28"/>
      <c r="U924" s="28"/>
      <c r="V924" s="28"/>
      <c r="W924" s="28"/>
      <c r="X924" s="28"/>
      <c r="Y924" s="28"/>
      <c r="Z924" s="28"/>
    </row>
    <row r="925" spans="1:26" ht="13.5" customHeight="1">
      <c r="A925" s="28"/>
      <c r="B925" s="29"/>
      <c r="C925" s="29"/>
      <c r="D925" s="29"/>
      <c r="E925" s="30"/>
      <c r="F925" s="28"/>
      <c r="G925" s="28"/>
      <c r="H925" s="28"/>
      <c r="I925" s="28"/>
      <c r="J925" s="28"/>
      <c r="K925" s="28"/>
      <c r="L925" s="28"/>
      <c r="M925" s="28"/>
      <c r="N925" s="28"/>
      <c r="O925" s="28"/>
      <c r="P925" s="28"/>
      <c r="Q925" s="28"/>
      <c r="R925" s="28"/>
      <c r="S925" s="28"/>
      <c r="T925" s="28"/>
      <c r="U925" s="28"/>
      <c r="V925" s="28"/>
      <c r="W925" s="28"/>
      <c r="X925" s="28"/>
      <c r="Y925" s="28"/>
      <c r="Z925" s="28"/>
    </row>
    <row r="926" spans="1:26" ht="13.5" customHeight="1">
      <c r="A926" s="28"/>
      <c r="B926" s="29"/>
      <c r="C926" s="29"/>
      <c r="D926" s="29"/>
      <c r="E926" s="30"/>
      <c r="F926" s="28"/>
      <c r="G926" s="28"/>
      <c r="H926" s="28"/>
      <c r="I926" s="28"/>
      <c r="J926" s="28"/>
      <c r="K926" s="28"/>
      <c r="L926" s="28"/>
      <c r="M926" s="28"/>
      <c r="N926" s="28"/>
      <c r="O926" s="28"/>
      <c r="P926" s="28"/>
      <c r="Q926" s="28"/>
      <c r="R926" s="28"/>
      <c r="S926" s="28"/>
      <c r="T926" s="28"/>
      <c r="U926" s="28"/>
      <c r="V926" s="28"/>
      <c r="W926" s="28"/>
      <c r="X926" s="28"/>
      <c r="Y926" s="28"/>
      <c r="Z926" s="28"/>
    </row>
    <row r="927" spans="1:26" ht="13.5" customHeight="1">
      <c r="A927" s="28"/>
      <c r="B927" s="29"/>
      <c r="C927" s="29"/>
      <c r="D927" s="29"/>
      <c r="E927" s="30"/>
      <c r="F927" s="28"/>
      <c r="G927" s="28"/>
      <c r="H927" s="28"/>
      <c r="I927" s="28"/>
      <c r="J927" s="28"/>
      <c r="K927" s="28"/>
      <c r="L927" s="28"/>
      <c r="M927" s="28"/>
      <c r="N927" s="28"/>
      <c r="O927" s="28"/>
      <c r="P927" s="28"/>
      <c r="Q927" s="28"/>
      <c r="R927" s="28"/>
      <c r="S927" s="28"/>
      <c r="T927" s="28"/>
      <c r="U927" s="28"/>
      <c r="V927" s="28"/>
      <c r="W927" s="28"/>
      <c r="X927" s="28"/>
      <c r="Y927" s="28"/>
      <c r="Z927" s="28"/>
    </row>
    <row r="928" spans="1:26" ht="13.5" customHeight="1">
      <c r="A928" s="28"/>
      <c r="B928" s="29"/>
      <c r="C928" s="29"/>
      <c r="D928" s="29"/>
      <c r="E928" s="30"/>
      <c r="F928" s="28"/>
      <c r="G928" s="28"/>
      <c r="H928" s="28"/>
      <c r="I928" s="28"/>
      <c r="J928" s="28"/>
      <c r="K928" s="28"/>
      <c r="L928" s="28"/>
      <c r="M928" s="28"/>
      <c r="N928" s="28"/>
      <c r="O928" s="28"/>
      <c r="P928" s="28"/>
      <c r="Q928" s="28"/>
      <c r="R928" s="28"/>
      <c r="S928" s="28"/>
      <c r="T928" s="28"/>
      <c r="U928" s="28"/>
      <c r="V928" s="28"/>
      <c r="W928" s="28"/>
      <c r="X928" s="28"/>
      <c r="Y928" s="28"/>
      <c r="Z928" s="28"/>
    </row>
    <row r="929" spans="1:26" ht="13.5" customHeight="1">
      <c r="A929" s="28"/>
      <c r="B929" s="29"/>
      <c r="C929" s="29"/>
      <c r="D929" s="29"/>
      <c r="E929" s="30"/>
      <c r="F929" s="28"/>
      <c r="G929" s="28"/>
      <c r="H929" s="28"/>
      <c r="I929" s="28"/>
      <c r="J929" s="28"/>
      <c r="K929" s="28"/>
      <c r="L929" s="28"/>
      <c r="M929" s="28"/>
      <c r="N929" s="28"/>
      <c r="O929" s="28"/>
      <c r="P929" s="28"/>
      <c r="Q929" s="28"/>
      <c r="R929" s="28"/>
      <c r="S929" s="28"/>
      <c r="T929" s="28"/>
      <c r="U929" s="28"/>
      <c r="V929" s="28"/>
      <c r="W929" s="28"/>
      <c r="X929" s="28"/>
      <c r="Y929" s="28"/>
      <c r="Z929" s="28"/>
    </row>
    <row r="930" spans="1:26" ht="13.5" customHeight="1">
      <c r="A930" s="28"/>
      <c r="B930" s="29"/>
      <c r="C930" s="29"/>
      <c r="D930" s="29"/>
      <c r="E930" s="30"/>
      <c r="F930" s="28"/>
      <c r="G930" s="28"/>
      <c r="H930" s="28"/>
      <c r="I930" s="28"/>
      <c r="J930" s="28"/>
      <c r="K930" s="28"/>
      <c r="L930" s="28"/>
      <c r="M930" s="28"/>
      <c r="N930" s="28"/>
      <c r="O930" s="28"/>
      <c r="P930" s="28"/>
      <c r="Q930" s="28"/>
      <c r="R930" s="28"/>
      <c r="S930" s="28"/>
      <c r="T930" s="28"/>
      <c r="U930" s="28"/>
      <c r="V930" s="28"/>
      <c r="W930" s="28"/>
      <c r="X930" s="28"/>
      <c r="Y930" s="28"/>
      <c r="Z930" s="28"/>
    </row>
    <row r="931" spans="1:26" ht="13.5" customHeight="1">
      <c r="A931" s="28"/>
      <c r="B931" s="29"/>
      <c r="C931" s="29"/>
      <c r="D931" s="29"/>
      <c r="E931" s="30"/>
      <c r="F931" s="28"/>
      <c r="G931" s="28"/>
      <c r="H931" s="28"/>
      <c r="I931" s="28"/>
      <c r="J931" s="28"/>
      <c r="K931" s="28"/>
      <c r="L931" s="28"/>
      <c r="M931" s="28"/>
      <c r="N931" s="28"/>
      <c r="O931" s="28"/>
      <c r="P931" s="28"/>
      <c r="Q931" s="28"/>
      <c r="R931" s="28"/>
      <c r="S931" s="28"/>
      <c r="T931" s="28"/>
      <c r="U931" s="28"/>
      <c r="V931" s="28"/>
      <c r="W931" s="28"/>
      <c r="X931" s="28"/>
      <c r="Y931" s="28"/>
      <c r="Z931" s="28"/>
    </row>
    <row r="932" spans="1:26" ht="13.5" customHeight="1">
      <c r="A932" s="28"/>
      <c r="B932" s="29"/>
      <c r="C932" s="29"/>
      <c r="D932" s="29"/>
      <c r="E932" s="30"/>
      <c r="F932" s="28"/>
      <c r="G932" s="28"/>
      <c r="H932" s="28"/>
      <c r="I932" s="28"/>
      <c r="J932" s="28"/>
      <c r="K932" s="28"/>
      <c r="L932" s="28"/>
      <c r="M932" s="28"/>
      <c r="N932" s="28"/>
      <c r="O932" s="28"/>
      <c r="P932" s="28"/>
      <c r="Q932" s="28"/>
      <c r="R932" s="28"/>
      <c r="S932" s="28"/>
      <c r="T932" s="28"/>
      <c r="U932" s="28"/>
      <c r="V932" s="28"/>
      <c r="W932" s="28"/>
      <c r="X932" s="28"/>
      <c r="Y932" s="28"/>
      <c r="Z932" s="28"/>
    </row>
    <row r="933" spans="1:26" ht="13.5" customHeight="1">
      <c r="A933" s="28"/>
      <c r="B933" s="29"/>
      <c r="C933" s="29"/>
      <c r="D933" s="29"/>
      <c r="E933" s="30"/>
      <c r="F933" s="28"/>
      <c r="G933" s="28"/>
      <c r="H933" s="28"/>
      <c r="I933" s="28"/>
      <c r="J933" s="28"/>
      <c r="K933" s="28"/>
      <c r="L933" s="28"/>
      <c r="M933" s="28"/>
      <c r="N933" s="28"/>
      <c r="O933" s="28"/>
      <c r="P933" s="28"/>
      <c r="Q933" s="28"/>
      <c r="R933" s="28"/>
      <c r="S933" s="28"/>
      <c r="T933" s="28"/>
      <c r="U933" s="28"/>
      <c r="V933" s="28"/>
      <c r="W933" s="28"/>
      <c r="X933" s="28"/>
      <c r="Y933" s="28"/>
      <c r="Z933" s="28"/>
    </row>
    <row r="934" spans="1:26" ht="13.5" customHeight="1">
      <c r="A934" s="28"/>
      <c r="B934" s="29"/>
      <c r="C934" s="29"/>
      <c r="D934" s="29"/>
      <c r="E934" s="30"/>
      <c r="F934" s="28"/>
      <c r="G934" s="28"/>
      <c r="H934" s="28"/>
      <c r="I934" s="28"/>
      <c r="J934" s="28"/>
      <c r="K934" s="28"/>
      <c r="L934" s="28"/>
      <c r="M934" s="28"/>
      <c r="N934" s="28"/>
      <c r="O934" s="28"/>
      <c r="P934" s="28"/>
      <c r="Q934" s="28"/>
      <c r="R934" s="28"/>
      <c r="S934" s="28"/>
      <c r="T934" s="28"/>
      <c r="U934" s="28"/>
      <c r="V934" s="28"/>
      <c r="W934" s="28"/>
      <c r="X934" s="28"/>
      <c r="Y934" s="28"/>
      <c r="Z934" s="28"/>
    </row>
    <row r="935" spans="1:26" ht="13.5" customHeight="1">
      <c r="A935" s="28"/>
      <c r="B935" s="29"/>
      <c r="C935" s="29"/>
      <c r="D935" s="29"/>
      <c r="E935" s="30"/>
      <c r="F935" s="28"/>
      <c r="G935" s="28"/>
      <c r="H935" s="28"/>
      <c r="I935" s="28"/>
      <c r="J935" s="28"/>
      <c r="K935" s="28"/>
      <c r="L935" s="28"/>
      <c r="M935" s="28"/>
      <c r="N935" s="28"/>
      <c r="O935" s="28"/>
      <c r="P935" s="28"/>
      <c r="Q935" s="28"/>
      <c r="R935" s="28"/>
      <c r="S935" s="28"/>
      <c r="T935" s="28"/>
      <c r="U935" s="28"/>
      <c r="V935" s="28"/>
      <c r="W935" s="28"/>
      <c r="X935" s="28"/>
      <c r="Y935" s="28"/>
      <c r="Z935" s="28"/>
    </row>
    <row r="936" spans="1:26" ht="13.5" customHeight="1">
      <c r="A936" s="28"/>
      <c r="B936" s="29"/>
      <c r="C936" s="29"/>
      <c r="D936" s="29"/>
      <c r="E936" s="30"/>
      <c r="F936" s="28"/>
      <c r="G936" s="28"/>
      <c r="H936" s="28"/>
      <c r="I936" s="28"/>
      <c r="J936" s="28"/>
      <c r="K936" s="28"/>
      <c r="L936" s="28"/>
      <c r="M936" s="28"/>
      <c r="N936" s="28"/>
      <c r="O936" s="28"/>
      <c r="P936" s="28"/>
      <c r="Q936" s="28"/>
      <c r="R936" s="28"/>
      <c r="S936" s="28"/>
      <c r="T936" s="28"/>
      <c r="U936" s="28"/>
      <c r="V936" s="28"/>
      <c r="W936" s="28"/>
      <c r="X936" s="28"/>
      <c r="Y936" s="28"/>
      <c r="Z936" s="28"/>
    </row>
    <row r="937" spans="1:26" ht="13.5" customHeight="1">
      <c r="A937" s="28"/>
      <c r="B937" s="29"/>
      <c r="C937" s="29"/>
      <c r="D937" s="29"/>
      <c r="E937" s="30"/>
      <c r="F937" s="28"/>
      <c r="G937" s="28"/>
      <c r="H937" s="28"/>
      <c r="I937" s="28"/>
      <c r="J937" s="28"/>
      <c r="K937" s="28"/>
      <c r="L937" s="28"/>
      <c r="M937" s="28"/>
      <c r="N937" s="28"/>
      <c r="O937" s="28"/>
      <c r="P937" s="28"/>
      <c r="Q937" s="28"/>
      <c r="R937" s="28"/>
      <c r="S937" s="28"/>
      <c r="T937" s="28"/>
      <c r="U937" s="28"/>
      <c r="V937" s="28"/>
      <c r="W937" s="28"/>
      <c r="X937" s="28"/>
      <c r="Y937" s="28"/>
      <c r="Z937" s="28"/>
    </row>
    <row r="938" spans="1:26" ht="13.5" customHeight="1">
      <c r="A938" s="28"/>
      <c r="B938" s="29"/>
      <c r="C938" s="29"/>
      <c r="D938" s="29"/>
      <c r="E938" s="30"/>
      <c r="F938" s="28"/>
      <c r="G938" s="28"/>
      <c r="H938" s="28"/>
      <c r="I938" s="28"/>
      <c r="J938" s="28"/>
      <c r="K938" s="28"/>
      <c r="L938" s="28"/>
      <c r="M938" s="28"/>
      <c r="N938" s="28"/>
      <c r="O938" s="28"/>
      <c r="P938" s="28"/>
      <c r="Q938" s="28"/>
      <c r="R938" s="28"/>
      <c r="S938" s="28"/>
      <c r="T938" s="28"/>
      <c r="U938" s="28"/>
      <c r="V938" s="28"/>
      <c r="W938" s="28"/>
      <c r="X938" s="28"/>
      <c r="Y938" s="28"/>
      <c r="Z938" s="28"/>
    </row>
    <row r="939" spans="1:26" ht="13.5" customHeight="1">
      <c r="A939" s="28"/>
      <c r="B939" s="29"/>
      <c r="C939" s="29"/>
      <c r="D939" s="29"/>
      <c r="E939" s="30"/>
      <c r="F939" s="28"/>
      <c r="G939" s="28"/>
      <c r="H939" s="28"/>
      <c r="I939" s="28"/>
      <c r="J939" s="28"/>
      <c r="K939" s="28"/>
      <c r="L939" s="28"/>
      <c r="M939" s="28"/>
      <c r="N939" s="28"/>
      <c r="O939" s="28"/>
      <c r="P939" s="28"/>
      <c r="Q939" s="28"/>
      <c r="R939" s="28"/>
      <c r="S939" s="28"/>
      <c r="T939" s="28"/>
      <c r="U939" s="28"/>
      <c r="V939" s="28"/>
      <c r="W939" s="28"/>
      <c r="X939" s="28"/>
      <c r="Y939" s="28"/>
      <c r="Z939" s="28"/>
    </row>
    <row r="940" spans="1:26" ht="13.5" customHeight="1">
      <c r="A940" s="28"/>
      <c r="B940" s="29"/>
      <c r="C940" s="29"/>
      <c r="D940" s="29"/>
      <c r="E940" s="30"/>
      <c r="F940" s="28"/>
      <c r="G940" s="28"/>
      <c r="H940" s="28"/>
      <c r="I940" s="28"/>
      <c r="J940" s="28"/>
      <c r="K940" s="28"/>
      <c r="L940" s="28"/>
      <c r="M940" s="28"/>
      <c r="N940" s="28"/>
      <c r="O940" s="28"/>
      <c r="P940" s="28"/>
      <c r="Q940" s="28"/>
      <c r="R940" s="28"/>
      <c r="S940" s="28"/>
      <c r="T940" s="28"/>
      <c r="U940" s="28"/>
      <c r="V940" s="28"/>
      <c r="W940" s="28"/>
      <c r="X940" s="28"/>
      <c r="Y940" s="28"/>
      <c r="Z940" s="28"/>
    </row>
    <row r="941" spans="1:26" ht="13.5" customHeight="1">
      <c r="A941" s="28"/>
      <c r="B941" s="29"/>
      <c r="C941" s="29"/>
      <c r="D941" s="29"/>
      <c r="E941" s="30"/>
      <c r="F941" s="28"/>
      <c r="G941" s="28"/>
      <c r="H941" s="28"/>
      <c r="I941" s="28"/>
      <c r="J941" s="28"/>
      <c r="K941" s="28"/>
      <c r="L941" s="28"/>
      <c r="M941" s="28"/>
      <c r="N941" s="28"/>
      <c r="O941" s="28"/>
      <c r="P941" s="28"/>
      <c r="Q941" s="28"/>
      <c r="R941" s="28"/>
      <c r="S941" s="28"/>
      <c r="T941" s="28"/>
      <c r="U941" s="28"/>
      <c r="V941" s="28"/>
      <c r="W941" s="28"/>
      <c r="X941" s="28"/>
      <c r="Y941" s="28"/>
      <c r="Z941" s="28"/>
    </row>
    <row r="942" spans="1:26" ht="13.5" customHeight="1">
      <c r="A942" s="28"/>
      <c r="B942" s="29"/>
      <c r="C942" s="29"/>
      <c r="D942" s="29"/>
      <c r="E942" s="30"/>
      <c r="F942" s="28"/>
      <c r="G942" s="28"/>
      <c r="H942" s="28"/>
      <c r="I942" s="28"/>
      <c r="J942" s="28"/>
      <c r="K942" s="28"/>
      <c r="L942" s="28"/>
      <c r="M942" s="28"/>
      <c r="N942" s="28"/>
      <c r="O942" s="28"/>
      <c r="P942" s="28"/>
      <c r="Q942" s="28"/>
      <c r="R942" s="28"/>
      <c r="S942" s="28"/>
      <c r="T942" s="28"/>
      <c r="U942" s="28"/>
      <c r="V942" s="28"/>
      <c r="W942" s="28"/>
      <c r="X942" s="28"/>
      <c r="Y942" s="28"/>
      <c r="Z942" s="28"/>
    </row>
    <row r="943" spans="1:26" ht="13.5" customHeight="1">
      <c r="A943" s="28"/>
      <c r="B943" s="29"/>
      <c r="C943" s="29"/>
      <c r="D943" s="29"/>
      <c r="E943" s="30"/>
      <c r="F943" s="28"/>
      <c r="G943" s="28"/>
      <c r="H943" s="28"/>
      <c r="I943" s="28"/>
      <c r="J943" s="28"/>
      <c r="K943" s="28"/>
      <c r="L943" s="28"/>
      <c r="M943" s="28"/>
      <c r="N943" s="28"/>
      <c r="O943" s="28"/>
      <c r="P943" s="28"/>
      <c r="Q943" s="28"/>
      <c r="R943" s="28"/>
      <c r="S943" s="28"/>
      <c r="T943" s="28"/>
      <c r="U943" s="28"/>
      <c r="V943" s="28"/>
      <c r="W943" s="28"/>
      <c r="X943" s="28"/>
      <c r="Y943" s="28"/>
      <c r="Z943" s="28"/>
    </row>
    <row r="944" spans="1:26" ht="13.5" customHeight="1">
      <c r="A944" s="28"/>
      <c r="B944" s="29"/>
      <c r="C944" s="29"/>
      <c r="D944" s="29"/>
      <c r="E944" s="30"/>
      <c r="F944" s="28"/>
      <c r="G944" s="28"/>
      <c r="H944" s="28"/>
      <c r="I944" s="28"/>
      <c r="J944" s="28"/>
      <c r="K944" s="28"/>
      <c r="L944" s="28"/>
      <c r="M944" s="28"/>
      <c r="N944" s="28"/>
      <c r="O944" s="28"/>
      <c r="P944" s="28"/>
      <c r="Q944" s="28"/>
      <c r="R944" s="28"/>
      <c r="S944" s="28"/>
      <c r="T944" s="28"/>
      <c r="U944" s="28"/>
      <c r="V944" s="28"/>
      <c r="W944" s="28"/>
      <c r="X944" s="28"/>
      <c r="Y944" s="28"/>
      <c r="Z944" s="28"/>
    </row>
    <row r="945" spans="1:26" ht="13.5" customHeight="1">
      <c r="A945" s="28"/>
      <c r="B945" s="29"/>
      <c r="C945" s="29"/>
      <c r="D945" s="29"/>
      <c r="E945" s="30"/>
      <c r="F945" s="28"/>
      <c r="G945" s="28"/>
      <c r="H945" s="28"/>
      <c r="I945" s="28"/>
      <c r="J945" s="28"/>
      <c r="K945" s="28"/>
      <c r="L945" s="28"/>
      <c r="M945" s="28"/>
      <c r="N945" s="28"/>
      <c r="O945" s="28"/>
      <c r="P945" s="28"/>
      <c r="Q945" s="28"/>
      <c r="R945" s="28"/>
      <c r="S945" s="28"/>
      <c r="T945" s="28"/>
      <c r="U945" s="28"/>
      <c r="V945" s="28"/>
      <c r="W945" s="28"/>
      <c r="X945" s="28"/>
      <c r="Y945" s="28"/>
      <c r="Z945" s="28"/>
    </row>
    <row r="946" spans="1:26" ht="13.5" customHeight="1">
      <c r="A946" s="28"/>
      <c r="B946" s="29"/>
      <c r="C946" s="29"/>
      <c r="D946" s="29"/>
      <c r="E946" s="30"/>
      <c r="F946" s="28"/>
      <c r="G946" s="28"/>
      <c r="H946" s="28"/>
      <c r="I946" s="28"/>
      <c r="J946" s="28"/>
      <c r="K946" s="28"/>
      <c r="L946" s="28"/>
      <c r="M946" s="28"/>
      <c r="N946" s="28"/>
      <c r="O946" s="28"/>
      <c r="P946" s="28"/>
      <c r="Q946" s="28"/>
      <c r="R946" s="28"/>
      <c r="S946" s="28"/>
      <c r="T946" s="28"/>
      <c r="U946" s="28"/>
      <c r="V946" s="28"/>
      <c r="W946" s="28"/>
      <c r="X946" s="28"/>
      <c r="Y946" s="28"/>
      <c r="Z946" s="28"/>
    </row>
    <row r="947" spans="1:26" ht="13.5" customHeight="1">
      <c r="A947" s="28"/>
      <c r="B947" s="29"/>
      <c r="C947" s="29"/>
      <c r="D947" s="29"/>
      <c r="E947" s="30"/>
      <c r="F947" s="28"/>
      <c r="G947" s="28"/>
      <c r="H947" s="28"/>
      <c r="I947" s="28"/>
      <c r="J947" s="28"/>
      <c r="K947" s="28"/>
      <c r="L947" s="28"/>
      <c r="M947" s="28"/>
      <c r="N947" s="28"/>
      <c r="O947" s="28"/>
      <c r="P947" s="28"/>
      <c r="Q947" s="28"/>
      <c r="R947" s="28"/>
      <c r="S947" s="28"/>
      <c r="T947" s="28"/>
      <c r="U947" s="28"/>
      <c r="V947" s="28"/>
      <c r="W947" s="28"/>
      <c r="X947" s="28"/>
      <c r="Y947" s="28"/>
      <c r="Z947" s="28"/>
    </row>
    <row r="948" spans="1:26" ht="13.5" customHeight="1">
      <c r="A948" s="28"/>
      <c r="B948" s="29"/>
      <c r="C948" s="29"/>
      <c r="D948" s="29"/>
      <c r="E948" s="30"/>
      <c r="F948" s="28"/>
      <c r="G948" s="28"/>
      <c r="H948" s="28"/>
      <c r="I948" s="28"/>
      <c r="J948" s="28"/>
      <c r="K948" s="28"/>
      <c r="L948" s="28"/>
      <c r="M948" s="28"/>
      <c r="N948" s="28"/>
      <c r="O948" s="28"/>
      <c r="P948" s="28"/>
      <c r="Q948" s="28"/>
      <c r="R948" s="28"/>
      <c r="S948" s="28"/>
      <c r="T948" s="28"/>
      <c r="U948" s="28"/>
      <c r="V948" s="28"/>
      <c r="W948" s="28"/>
      <c r="X948" s="28"/>
      <c r="Y948" s="28"/>
      <c r="Z948" s="28"/>
    </row>
    <row r="949" spans="1:26" ht="13.5" customHeight="1">
      <c r="A949" s="28"/>
      <c r="B949" s="29"/>
      <c r="C949" s="29"/>
      <c r="D949" s="29"/>
      <c r="E949" s="30"/>
      <c r="F949" s="28"/>
      <c r="G949" s="28"/>
      <c r="H949" s="28"/>
      <c r="I949" s="28"/>
      <c r="J949" s="28"/>
      <c r="K949" s="28"/>
      <c r="L949" s="28"/>
      <c r="M949" s="28"/>
      <c r="N949" s="28"/>
      <c r="O949" s="28"/>
      <c r="P949" s="28"/>
      <c r="Q949" s="28"/>
      <c r="R949" s="28"/>
      <c r="S949" s="28"/>
      <c r="T949" s="28"/>
      <c r="U949" s="28"/>
      <c r="V949" s="28"/>
      <c r="W949" s="28"/>
      <c r="X949" s="28"/>
      <c r="Y949" s="28"/>
      <c r="Z949" s="28"/>
    </row>
    <row r="950" spans="1:26" ht="13.5" customHeight="1">
      <c r="A950" s="28"/>
      <c r="B950" s="29"/>
      <c r="C950" s="29"/>
      <c r="D950" s="29"/>
      <c r="E950" s="30"/>
      <c r="F950" s="28"/>
      <c r="G950" s="28"/>
      <c r="H950" s="28"/>
      <c r="I950" s="28"/>
      <c r="J950" s="28"/>
      <c r="K950" s="28"/>
      <c r="L950" s="28"/>
      <c r="M950" s="28"/>
      <c r="N950" s="28"/>
      <c r="O950" s="28"/>
      <c r="P950" s="28"/>
      <c r="Q950" s="28"/>
      <c r="R950" s="28"/>
      <c r="S950" s="28"/>
      <c r="T950" s="28"/>
      <c r="U950" s="28"/>
      <c r="V950" s="28"/>
      <c r="W950" s="28"/>
      <c r="X950" s="28"/>
      <c r="Y950" s="28"/>
      <c r="Z950" s="28"/>
    </row>
    <row r="951" spans="1:26" ht="13.5" customHeight="1">
      <c r="A951" s="28"/>
      <c r="B951" s="29"/>
      <c r="C951" s="29"/>
      <c r="D951" s="29"/>
      <c r="E951" s="30"/>
      <c r="F951" s="28"/>
      <c r="G951" s="28"/>
      <c r="H951" s="28"/>
      <c r="I951" s="28"/>
      <c r="J951" s="28"/>
      <c r="K951" s="28"/>
      <c r="L951" s="28"/>
      <c r="M951" s="28"/>
      <c r="N951" s="28"/>
      <c r="O951" s="28"/>
      <c r="P951" s="28"/>
      <c r="Q951" s="28"/>
      <c r="R951" s="28"/>
      <c r="S951" s="28"/>
      <c r="T951" s="28"/>
      <c r="U951" s="28"/>
      <c r="V951" s="28"/>
      <c r="W951" s="28"/>
      <c r="X951" s="28"/>
      <c r="Y951" s="28"/>
      <c r="Z951" s="28"/>
    </row>
    <row r="952" spans="1:26" ht="13.5" customHeight="1">
      <c r="A952" s="28"/>
      <c r="B952" s="29"/>
      <c r="C952" s="29"/>
      <c r="D952" s="29"/>
      <c r="E952" s="30"/>
      <c r="F952" s="28"/>
      <c r="G952" s="28"/>
      <c r="H952" s="28"/>
      <c r="I952" s="28"/>
      <c r="J952" s="28"/>
      <c r="K952" s="28"/>
      <c r="L952" s="28"/>
      <c r="M952" s="28"/>
      <c r="N952" s="28"/>
      <c r="O952" s="28"/>
      <c r="P952" s="28"/>
      <c r="Q952" s="28"/>
      <c r="R952" s="28"/>
      <c r="S952" s="28"/>
      <c r="T952" s="28"/>
      <c r="U952" s="28"/>
      <c r="V952" s="28"/>
      <c r="W952" s="28"/>
      <c r="X952" s="28"/>
      <c r="Y952" s="28"/>
      <c r="Z952" s="28"/>
    </row>
    <row r="953" spans="1:26" ht="13.5" customHeight="1">
      <c r="A953" s="28"/>
      <c r="B953" s="29"/>
      <c r="C953" s="29"/>
      <c r="D953" s="29"/>
      <c r="E953" s="30"/>
      <c r="F953" s="28"/>
      <c r="G953" s="28"/>
      <c r="H953" s="28"/>
      <c r="I953" s="28"/>
      <c r="J953" s="28"/>
      <c r="K953" s="28"/>
      <c r="L953" s="28"/>
      <c r="M953" s="28"/>
      <c r="N953" s="28"/>
      <c r="O953" s="28"/>
      <c r="P953" s="28"/>
      <c r="Q953" s="28"/>
      <c r="R953" s="28"/>
      <c r="S953" s="28"/>
      <c r="T953" s="28"/>
      <c r="U953" s="28"/>
      <c r="V953" s="28"/>
      <c r="W953" s="28"/>
      <c r="X953" s="28"/>
      <c r="Y953" s="28"/>
      <c r="Z953" s="28"/>
    </row>
    <row r="954" spans="1:26" ht="13.5" customHeight="1">
      <c r="A954" s="28"/>
      <c r="B954" s="29"/>
      <c r="C954" s="29"/>
      <c r="D954" s="29"/>
      <c r="E954" s="30"/>
      <c r="F954" s="28"/>
      <c r="G954" s="28"/>
      <c r="H954" s="28"/>
      <c r="I954" s="28"/>
      <c r="J954" s="28"/>
      <c r="K954" s="28"/>
      <c r="L954" s="28"/>
      <c r="M954" s="28"/>
      <c r="N954" s="28"/>
      <c r="O954" s="28"/>
      <c r="P954" s="28"/>
      <c r="Q954" s="28"/>
      <c r="R954" s="28"/>
      <c r="S954" s="28"/>
      <c r="T954" s="28"/>
      <c r="U954" s="28"/>
      <c r="V954" s="28"/>
      <c r="W954" s="28"/>
      <c r="X954" s="28"/>
      <c r="Y954" s="28"/>
      <c r="Z954" s="28"/>
    </row>
    <row r="955" spans="1:26" ht="13.5" customHeight="1">
      <c r="A955" s="28"/>
      <c r="B955" s="29"/>
      <c r="C955" s="29"/>
      <c r="D955" s="29"/>
      <c r="E955" s="30"/>
      <c r="F955" s="28"/>
      <c r="G955" s="28"/>
      <c r="H955" s="28"/>
      <c r="I955" s="28"/>
      <c r="J955" s="28"/>
      <c r="K955" s="28"/>
      <c r="L955" s="28"/>
      <c r="M955" s="28"/>
      <c r="N955" s="28"/>
      <c r="O955" s="28"/>
      <c r="P955" s="28"/>
      <c r="Q955" s="28"/>
      <c r="R955" s="28"/>
      <c r="S955" s="28"/>
      <c r="T955" s="28"/>
      <c r="U955" s="28"/>
      <c r="V955" s="28"/>
      <c r="W955" s="28"/>
      <c r="X955" s="28"/>
      <c r="Y955" s="28"/>
      <c r="Z955" s="28"/>
    </row>
    <row r="956" spans="1:26" ht="13.5" customHeight="1">
      <c r="A956" s="28"/>
      <c r="B956" s="29"/>
      <c r="C956" s="29"/>
      <c r="D956" s="29"/>
      <c r="E956" s="30"/>
      <c r="F956" s="28"/>
      <c r="G956" s="28"/>
      <c r="H956" s="28"/>
      <c r="I956" s="28"/>
      <c r="J956" s="28"/>
      <c r="K956" s="28"/>
      <c r="L956" s="28"/>
      <c r="M956" s="28"/>
      <c r="N956" s="28"/>
      <c r="O956" s="28"/>
      <c r="P956" s="28"/>
      <c r="Q956" s="28"/>
      <c r="R956" s="28"/>
      <c r="S956" s="28"/>
      <c r="T956" s="28"/>
      <c r="U956" s="28"/>
      <c r="V956" s="28"/>
      <c r="W956" s="28"/>
      <c r="X956" s="28"/>
      <c r="Y956" s="28"/>
      <c r="Z956" s="28"/>
    </row>
    <row r="957" spans="1:26" ht="13.5" customHeight="1">
      <c r="A957" s="28"/>
      <c r="B957" s="29"/>
      <c r="C957" s="29"/>
      <c r="D957" s="29"/>
      <c r="E957" s="30"/>
      <c r="F957" s="28"/>
      <c r="G957" s="28"/>
      <c r="H957" s="28"/>
      <c r="I957" s="28"/>
      <c r="J957" s="28"/>
      <c r="K957" s="28"/>
      <c r="L957" s="28"/>
      <c r="M957" s="28"/>
      <c r="N957" s="28"/>
      <c r="O957" s="28"/>
      <c r="P957" s="28"/>
      <c r="Q957" s="28"/>
      <c r="R957" s="28"/>
      <c r="S957" s="28"/>
      <c r="T957" s="28"/>
      <c r="U957" s="28"/>
      <c r="V957" s="28"/>
      <c r="W957" s="28"/>
      <c r="X957" s="28"/>
      <c r="Y957" s="28"/>
      <c r="Z957" s="28"/>
    </row>
    <row r="958" spans="1:26" ht="13.5" customHeight="1">
      <c r="A958" s="28"/>
      <c r="B958" s="29"/>
      <c r="C958" s="29"/>
      <c r="D958" s="29"/>
      <c r="E958" s="30"/>
      <c r="F958" s="28"/>
      <c r="G958" s="28"/>
      <c r="H958" s="28"/>
      <c r="I958" s="28"/>
      <c r="J958" s="28"/>
      <c r="K958" s="28"/>
      <c r="L958" s="28"/>
      <c r="M958" s="28"/>
      <c r="N958" s="28"/>
      <c r="O958" s="28"/>
      <c r="P958" s="28"/>
      <c r="Q958" s="28"/>
      <c r="R958" s="28"/>
      <c r="S958" s="28"/>
      <c r="T958" s="28"/>
      <c r="U958" s="28"/>
      <c r="V958" s="28"/>
      <c r="W958" s="28"/>
      <c r="X958" s="28"/>
      <c r="Y958" s="28"/>
      <c r="Z958" s="28"/>
    </row>
    <row r="959" spans="1:26" ht="13.5" customHeight="1">
      <c r="A959" s="28"/>
      <c r="B959" s="29"/>
      <c r="C959" s="29"/>
      <c r="D959" s="29"/>
      <c r="E959" s="30"/>
      <c r="F959" s="28"/>
      <c r="G959" s="28"/>
      <c r="H959" s="28"/>
      <c r="I959" s="28"/>
      <c r="J959" s="28"/>
      <c r="K959" s="28"/>
      <c r="L959" s="28"/>
      <c r="M959" s="28"/>
      <c r="N959" s="28"/>
      <c r="O959" s="28"/>
      <c r="P959" s="28"/>
      <c r="Q959" s="28"/>
      <c r="R959" s="28"/>
      <c r="S959" s="28"/>
      <c r="T959" s="28"/>
      <c r="U959" s="28"/>
      <c r="V959" s="28"/>
      <c r="W959" s="28"/>
      <c r="X959" s="28"/>
      <c r="Y959" s="28"/>
      <c r="Z959" s="28"/>
    </row>
    <row r="960" spans="1:26" ht="13.5" customHeight="1">
      <c r="A960" s="28"/>
      <c r="B960" s="29"/>
      <c r="C960" s="29"/>
      <c r="D960" s="29"/>
      <c r="E960" s="30"/>
      <c r="F960" s="28"/>
      <c r="G960" s="28"/>
      <c r="H960" s="28"/>
      <c r="I960" s="28"/>
      <c r="J960" s="28"/>
      <c r="K960" s="28"/>
      <c r="L960" s="28"/>
      <c r="M960" s="28"/>
      <c r="N960" s="28"/>
      <c r="O960" s="28"/>
      <c r="P960" s="28"/>
      <c r="Q960" s="28"/>
      <c r="R960" s="28"/>
      <c r="S960" s="28"/>
      <c r="T960" s="28"/>
      <c r="U960" s="28"/>
      <c r="V960" s="28"/>
      <c r="W960" s="28"/>
      <c r="X960" s="28"/>
      <c r="Y960" s="28"/>
      <c r="Z960" s="28"/>
    </row>
    <row r="961" spans="1:26" ht="13.5" customHeight="1">
      <c r="A961" s="28"/>
      <c r="B961" s="29"/>
      <c r="C961" s="29"/>
      <c r="D961" s="29"/>
      <c r="E961" s="30"/>
      <c r="F961" s="28"/>
      <c r="G961" s="28"/>
      <c r="H961" s="28"/>
      <c r="I961" s="28"/>
      <c r="J961" s="28"/>
      <c r="K961" s="28"/>
      <c r="L961" s="28"/>
      <c r="M961" s="28"/>
      <c r="N961" s="28"/>
      <c r="O961" s="28"/>
      <c r="P961" s="28"/>
      <c r="Q961" s="28"/>
      <c r="R961" s="28"/>
      <c r="S961" s="28"/>
      <c r="T961" s="28"/>
      <c r="U961" s="28"/>
      <c r="V961" s="28"/>
      <c r="W961" s="28"/>
      <c r="X961" s="28"/>
      <c r="Y961" s="28"/>
      <c r="Z961" s="28"/>
    </row>
    <row r="962" spans="1:26" ht="13.5" customHeight="1">
      <c r="A962" s="28"/>
      <c r="B962" s="29"/>
      <c r="C962" s="29"/>
      <c r="D962" s="29"/>
      <c r="E962" s="30"/>
      <c r="F962" s="28"/>
      <c r="G962" s="28"/>
      <c r="H962" s="28"/>
      <c r="I962" s="28"/>
      <c r="J962" s="28"/>
      <c r="K962" s="28"/>
      <c r="L962" s="28"/>
      <c r="M962" s="28"/>
      <c r="N962" s="28"/>
      <c r="O962" s="28"/>
      <c r="P962" s="28"/>
      <c r="Q962" s="28"/>
      <c r="R962" s="28"/>
      <c r="S962" s="28"/>
      <c r="T962" s="28"/>
      <c r="U962" s="28"/>
      <c r="V962" s="28"/>
      <c r="W962" s="28"/>
      <c r="X962" s="28"/>
      <c r="Y962" s="28"/>
      <c r="Z962" s="28"/>
    </row>
    <row r="963" spans="1:26" ht="13.5" customHeight="1">
      <c r="A963" s="28"/>
      <c r="B963" s="29"/>
      <c r="C963" s="29"/>
      <c r="D963" s="29"/>
      <c r="E963" s="30"/>
      <c r="F963" s="28"/>
      <c r="G963" s="28"/>
      <c r="H963" s="28"/>
      <c r="I963" s="28"/>
      <c r="J963" s="28"/>
      <c r="K963" s="28"/>
      <c r="L963" s="28"/>
      <c r="M963" s="28"/>
      <c r="N963" s="28"/>
      <c r="O963" s="28"/>
      <c r="P963" s="28"/>
      <c r="Q963" s="28"/>
      <c r="R963" s="28"/>
      <c r="S963" s="28"/>
      <c r="T963" s="28"/>
      <c r="U963" s="28"/>
      <c r="V963" s="28"/>
      <c r="W963" s="28"/>
      <c r="X963" s="28"/>
      <c r="Y963" s="28"/>
      <c r="Z963" s="28"/>
    </row>
    <row r="964" spans="1:26" ht="13.5" customHeight="1">
      <c r="A964" s="28"/>
      <c r="B964" s="29"/>
      <c r="C964" s="29"/>
      <c r="D964" s="29"/>
      <c r="E964" s="30"/>
      <c r="F964" s="28"/>
      <c r="G964" s="28"/>
      <c r="H964" s="28"/>
      <c r="I964" s="28"/>
      <c r="J964" s="28"/>
      <c r="K964" s="28"/>
      <c r="L964" s="28"/>
      <c r="M964" s="28"/>
      <c r="N964" s="28"/>
      <c r="O964" s="28"/>
      <c r="P964" s="28"/>
      <c r="Q964" s="28"/>
      <c r="R964" s="28"/>
      <c r="S964" s="28"/>
      <c r="T964" s="28"/>
      <c r="U964" s="28"/>
      <c r="V964" s="28"/>
      <c r="W964" s="28"/>
      <c r="X964" s="28"/>
      <c r="Y964" s="28"/>
      <c r="Z964" s="28"/>
    </row>
    <row r="965" spans="1:26" ht="13.5" customHeight="1">
      <c r="A965" s="28"/>
      <c r="B965" s="29"/>
      <c r="C965" s="29"/>
      <c r="D965" s="29"/>
      <c r="E965" s="30"/>
      <c r="F965" s="28"/>
      <c r="G965" s="28"/>
      <c r="H965" s="28"/>
      <c r="I965" s="28"/>
      <c r="J965" s="28"/>
      <c r="K965" s="28"/>
      <c r="L965" s="28"/>
      <c r="M965" s="28"/>
      <c r="N965" s="28"/>
      <c r="O965" s="28"/>
      <c r="P965" s="28"/>
      <c r="Q965" s="28"/>
      <c r="R965" s="28"/>
      <c r="S965" s="28"/>
      <c r="T965" s="28"/>
      <c r="U965" s="28"/>
      <c r="V965" s="28"/>
      <c r="W965" s="28"/>
      <c r="X965" s="28"/>
      <c r="Y965" s="28"/>
      <c r="Z965" s="28"/>
    </row>
    <row r="966" spans="1:26" ht="13.5" customHeight="1">
      <c r="A966" s="28"/>
      <c r="B966" s="29"/>
      <c r="C966" s="29"/>
      <c r="D966" s="29"/>
      <c r="E966" s="30"/>
      <c r="F966" s="28"/>
      <c r="G966" s="28"/>
      <c r="H966" s="28"/>
      <c r="I966" s="28"/>
      <c r="J966" s="28"/>
      <c r="K966" s="28"/>
      <c r="L966" s="28"/>
      <c r="M966" s="28"/>
      <c r="N966" s="28"/>
      <c r="O966" s="28"/>
      <c r="P966" s="28"/>
      <c r="Q966" s="28"/>
      <c r="R966" s="28"/>
      <c r="S966" s="28"/>
      <c r="T966" s="28"/>
      <c r="U966" s="28"/>
      <c r="V966" s="28"/>
      <c r="W966" s="28"/>
      <c r="X966" s="28"/>
      <c r="Y966" s="28"/>
      <c r="Z966" s="28"/>
    </row>
    <row r="967" spans="1:26" ht="13.5" customHeight="1">
      <c r="A967" s="28"/>
      <c r="B967" s="29"/>
      <c r="C967" s="29"/>
      <c r="D967" s="29"/>
      <c r="E967" s="30"/>
      <c r="F967" s="28"/>
      <c r="G967" s="28"/>
      <c r="H967" s="28"/>
      <c r="I967" s="28"/>
      <c r="J967" s="28"/>
      <c r="K967" s="28"/>
      <c r="L967" s="28"/>
      <c r="M967" s="28"/>
      <c r="N967" s="28"/>
      <c r="O967" s="28"/>
      <c r="P967" s="28"/>
      <c r="Q967" s="28"/>
      <c r="R967" s="28"/>
      <c r="S967" s="28"/>
      <c r="T967" s="28"/>
      <c r="U967" s="28"/>
      <c r="V967" s="28"/>
      <c r="W967" s="28"/>
      <c r="X967" s="28"/>
      <c r="Y967" s="28"/>
      <c r="Z967" s="28"/>
    </row>
    <row r="968" spans="1:26" ht="13.5" customHeight="1">
      <c r="A968" s="28"/>
      <c r="B968" s="29"/>
      <c r="C968" s="29"/>
      <c r="D968" s="29"/>
      <c r="E968" s="30"/>
      <c r="F968" s="28"/>
      <c r="G968" s="28"/>
      <c r="H968" s="28"/>
      <c r="I968" s="28"/>
      <c r="J968" s="28"/>
      <c r="K968" s="28"/>
      <c r="L968" s="28"/>
      <c r="M968" s="28"/>
      <c r="N968" s="28"/>
      <c r="O968" s="28"/>
      <c r="P968" s="28"/>
      <c r="Q968" s="28"/>
      <c r="R968" s="28"/>
      <c r="S968" s="28"/>
      <c r="T968" s="28"/>
      <c r="U968" s="28"/>
      <c r="V968" s="28"/>
      <c r="W968" s="28"/>
      <c r="X968" s="28"/>
      <c r="Y968" s="28"/>
      <c r="Z968" s="28"/>
    </row>
    <row r="969" spans="1:26" ht="13.5" customHeight="1">
      <c r="A969" s="28"/>
      <c r="B969" s="29"/>
      <c r="C969" s="29"/>
      <c r="D969" s="29"/>
      <c r="E969" s="30"/>
      <c r="F969" s="28"/>
      <c r="G969" s="28"/>
      <c r="H969" s="28"/>
      <c r="I969" s="28"/>
      <c r="J969" s="28"/>
      <c r="K969" s="28"/>
      <c r="L969" s="28"/>
      <c r="M969" s="28"/>
      <c r="N969" s="28"/>
      <c r="O969" s="28"/>
      <c r="P969" s="28"/>
      <c r="Q969" s="28"/>
      <c r="R969" s="28"/>
      <c r="S969" s="28"/>
      <c r="T969" s="28"/>
      <c r="U969" s="28"/>
      <c r="V969" s="28"/>
      <c r="W969" s="28"/>
      <c r="X969" s="28"/>
      <c r="Y969" s="28"/>
      <c r="Z969" s="28"/>
    </row>
    <row r="970" spans="1:26" ht="13.5" customHeight="1">
      <c r="A970" s="28"/>
      <c r="B970" s="29"/>
      <c r="C970" s="29"/>
      <c r="D970" s="29"/>
      <c r="E970" s="30"/>
      <c r="F970" s="28"/>
      <c r="G970" s="28"/>
      <c r="H970" s="28"/>
      <c r="I970" s="28"/>
      <c r="J970" s="28"/>
      <c r="K970" s="28"/>
      <c r="L970" s="28"/>
      <c r="M970" s="28"/>
      <c r="N970" s="28"/>
      <c r="O970" s="28"/>
      <c r="P970" s="28"/>
      <c r="Q970" s="28"/>
      <c r="R970" s="28"/>
      <c r="S970" s="28"/>
      <c r="T970" s="28"/>
      <c r="U970" s="28"/>
      <c r="V970" s="28"/>
      <c r="W970" s="28"/>
      <c r="X970" s="28"/>
      <c r="Y970" s="28"/>
      <c r="Z970" s="28"/>
    </row>
    <row r="971" spans="1:26" ht="13.5" customHeight="1">
      <c r="A971" s="28"/>
      <c r="B971" s="29"/>
      <c r="C971" s="29"/>
      <c r="D971" s="29"/>
      <c r="E971" s="30"/>
      <c r="F971" s="28"/>
      <c r="G971" s="28"/>
      <c r="H971" s="28"/>
      <c r="I971" s="28"/>
      <c r="J971" s="28"/>
      <c r="K971" s="28"/>
      <c r="L971" s="28"/>
      <c r="M971" s="28"/>
      <c r="N971" s="28"/>
      <c r="O971" s="28"/>
      <c r="P971" s="28"/>
      <c r="Q971" s="28"/>
      <c r="R971" s="28"/>
      <c r="S971" s="28"/>
      <c r="T971" s="28"/>
      <c r="U971" s="28"/>
      <c r="V971" s="28"/>
      <c r="W971" s="28"/>
      <c r="X971" s="28"/>
      <c r="Y971" s="28"/>
      <c r="Z971" s="28"/>
    </row>
    <row r="972" spans="1:26" ht="13.5" customHeight="1">
      <c r="A972" s="28"/>
      <c r="B972" s="29"/>
      <c r="C972" s="29"/>
      <c r="D972" s="29"/>
      <c r="E972" s="30"/>
      <c r="F972" s="28"/>
      <c r="G972" s="28"/>
      <c r="H972" s="28"/>
      <c r="I972" s="28"/>
      <c r="J972" s="28"/>
      <c r="K972" s="28"/>
      <c r="L972" s="28"/>
      <c r="M972" s="28"/>
      <c r="N972" s="28"/>
      <c r="O972" s="28"/>
      <c r="P972" s="28"/>
      <c r="Q972" s="28"/>
      <c r="R972" s="28"/>
      <c r="S972" s="28"/>
      <c r="T972" s="28"/>
      <c r="U972" s="28"/>
      <c r="V972" s="28"/>
      <c r="W972" s="28"/>
      <c r="X972" s="28"/>
      <c r="Y972" s="28"/>
      <c r="Z972" s="28"/>
    </row>
    <row r="973" spans="1:26" ht="13.5" customHeight="1">
      <c r="A973" s="28"/>
      <c r="B973" s="29"/>
      <c r="C973" s="29"/>
      <c r="D973" s="29"/>
      <c r="E973" s="30"/>
      <c r="F973" s="28"/>
      <c r="G973" s="28"/>
      <c r="H973" s="28"/>
      <c r="I973" s="28"/>
      <c r="J973" s="28"/>
      <c r="K973" s="28"/>
      <c r="L973" s="28"/>
      <c r="M973" s="28"/>
      <c r="N973" s="28"/>
      <c r="O973" s="28"/>
      <c r="P973" s="28"/>
      <c r="Q973" s="28"/>
      <c r="R973" s="28"/>
      <c r="S973" s="28"/>
      <c r="T973" s="28"/>
      <c r="U973" s="28"/>
      <c r="V973" s="28"/>
      <c r="W973" s="28"/>
      <c r="X973" s="28"/>
      <c r="Y973" s="28"/>
      <c r="Z973" s="28"/>
    </row>
    <row r="974" spans="1:26" ht="13.5" customHeight="1">
      <c r="A974" s="28"/>
      <c r="B974" s="29"/>
      <c r="C974" s="29"/>
      <c r="D974" s="29"/>
      <c r="E974" s="30"/>
      <c r="F974" s="28"/>
      <c r="G974" s="28"/>
      <c r="H974" s="28"/>
      <c r="I974" s="28"/>
      <c r="J974" s="28"/>
      <c r="K974" s="28"/>
      <c r="L974" s="28"/>
      <c r="M974" s="28"/>
      <c r="N974" s="28"/>
      <c r="O974" s="28"/>
      <c r="P974" s="28"/>
      <c r="Q974" s="28"/>
      <c r="R974" s="28"/>
      <c r="S974" s="28"/>
      <c r="T974" s="28"/>
      <c r="U974" s="28"/>
      <c r="V974" s="28"/>
      <c r="W974" s="28"/>
      <c r="X974" s="28"/>
      <c r="Y974" s="28"/>
      <c r="Z974" s="28"/>
    </row>
    <row r="975" spans="1:26" ht="13.5" customHeight="1">
      <c r="A975" s="28"/>
      <c r="B975" s="29"/>
      <c r="C975" s="29"/>
      <c r="D975" s="29"/>
      <c r="E975" s="30"/>
      <c r="F975" s="28"/>
      <c r="G975" s="28"/>
      <c r="H975" s="28"/>
      <c r="I975" s="28"/>
      <c r="J975" s="28"/>
      <c r="K975" s="28"/>
      <c r="L975" s="28"/>
      <c r="M975" s="28"/>
      <c r="N975" s="28"/>
      <c r="O975" s="28"/>
      <c r="P975" s="28"/>
      <c r="Q975" s="28"/>
      <c r="R975" s="28"/>
      <c r="S975" s="28"/>
      <c r="T975" s="28"/>
      <c r="U975" s="28"/>
      <c r="V975" s="28"/>
      <c r="W975" s="28"/>
      <c r="X975" s="28"/>
      <c r="Y975" s="28"/>
      <c r="Z975" s="28"/>
    </row>
    <row r="976" spans="1:26" ht="13.5" customHeight="1">
      <c r="A976" s="28"/>
      <c r="B976" s="29"/>
      <c r="C976" s="29"/>
      <c r="D976" s="29"/>
      <c r="E976" s="30"/>
      <c r="F976" s="28"/>
      <c r="G976" s="28"/>
      <c r="H976" s="28"/>
      <c r="I976" s="28"/>
      <c r="J976" s="28"/>
      <c r="K976" s="28"/>
      <c r="L976" s="28"/>
      <c r="M976" s="28"/>
      <c r="N976" s="28"/>
      <c r="O976" s="28"/>
      <c r="P976" s="28"/>
      <c r="Q976" s="28"/>
      <c r="R976" s="28"/>
      <c r="S976" s="28"/>
      <c r="T976" s="28"/>
      <c r="U976" s="28"/>
      <c r="V976" s="28"/>
      <c r="W976" s="28"/>
      <c r="X976" s="28"/>
      <c r="Y976" s="28"/>
      <c r="Z976" s="28"/>
    </row>
    <row r="977" spans="1:26" ht="13.5" customHeight="1">
      <c r="A977" s="28"/>
      <c r="B977" s="29"/>
      <c r="C977" s="29"/>
      <c r="D977" s="29"/>
      <c r="E977" s="30"/>
      <c r="F977" s="28"/>
      <c r="G977" s="28"/>
      <c r="H977" s="28"/>
      <c r="I977" s="28"/>
      <c r="J977" s="28"/>
      <c r="K977" s="28"/>
      <c r="L977" s="28"/>
      <c r="M977" s="28"/>
      <c r="N977" s="28"/>
      <c r="O977" s="28"/>
      <c r="P977" s="28"/>
      <c r="Q977" s="28"/>
      <c r="R977" s="28"/>
      <c r="S977" s="28"/>
      <c r="T977" s="28"/>
      <c r="U977" s="28"/>
      <c r="V977" s="28"/>
      <c r="W977" s="28"/>
      <c r="X977" s="28"/>
      <c r="Y977" s="28"/>
      <c r="Z977" s="28"/>
    </row>
    <row r="978" spans="1:26" ht="13.5" customHeight="1">
      <c r="A978" s="28"/>
      <c r="B978" s="29"/>
      <c r="C978" s="29"/>
      <c r="D978" s="29"/>
      <c r="E978" s="30"/>
      <c r="F978" s="28"/>
      <c r="G978" s="28"/>
      <c r="H978" s="28"/>
      <c r="I978" s="28"/>
      <c r="J978" s="28"/>
      <c r="K978" s="28"/>
      <c r="L978" s="28"/>
      <c r="M978" s="28"/>
      <c r="N978" s="28"/>
      <c r="O978" s="28"/>
      <c r="P978" s="28"/>
      <c r="Q978" s="28"/>
      <c r="R978" s="28"/>
      <c r="S978" s="28"/>
      <c r="T978" s="28"/>
      <c r="U978" s="28"/>
      <c r="V978" s="28"/>
      <c r="W978" s="28"/>
      <c r="X978" s="28"/>
      <c r="Y978" s="28"/>
      <c r="Z978" s="28"/>
    </row>
    <row r="979" spans="1:26" ht="13.5" customHeight="1">
      <c r="A979" s="28"/>
      <c r="B979" s="29"/>
      <c r="C979" s="29"/>
      <c r="D979" s="29"/>
      <c r="E979" s="30"/>
      <c r="F979" s="28"/>
      <c r="G979" s="28"/>
      <c r="H979" s="28"/>
      <c r="I979" s="28"/>
      <c r="J979" s="28"/>
      <c r="K979" s="28"/>
      <c r="L979" s="28"/>
      <c r="M979" s="28"/>
      <c r="N979" s="28"/>
      <c r="O979" s="28"/>
      <c r="P979" s="28"/>
      <c r="Q979" s="28"/>
      <c r="R979" s="28"/>
      <c r="S979" s="28"/>
      <c r="T979" s="28"/>
      <c r="U979" s="28"/>
      <c r="V979" s="28"/>
      <c r="W979" s="28"/>
      <c r="X979" s="28"/>
      <c r="Y979" s="28"/>
      <c r="Z979" s="28"/>
    </row>
    <row r="980" spans="1:26" ht="13.5" customHeight="1">
      <c r="A980" s="28"/>
      <c r="B980" s="29"/>
      <c r="C980" s="29"/>
      <c r="D980" s="29"/>
      <c r="E980" s="30"/>
      <c r="F980" s="28"/>
      <c r="G980" s="28"/>
      <c r="H980" s="28"/>
      <c r="I980" s="28"/>
      <c r="J980" s="28"/>
      <c r="K980" s="28"/>
      <c r="L980" s="28"/>
      <c r="M980" s="28"/>
      <c r="N980" s="28"/>
      <c r="O980" s="28"/>
      <c r="P980" s="28"/>
      <c r="Q980" s="28"/>
      <c r="R980" s="28"/>
      <c r="S980" s="28"/>
      <c r="T980" s="28"/>
      <c r="U980" s="28"/>
      <c r="V980" s="28"/>
      <c r="W980" s="28"/>
      <c r="X980" s="28"/>
      <c r="Y980" s="28"/>
      <c r="Z980" s="28"/>
    </row>
    <row r="981" spans="1:26" ht="13.5" customHeight="1">
      <c r="A981" s="28"/>
      <c r="B981" s="29"/>
      <c r="C981" s="29"/>
      <c r="D981" s="29"/>
      <c r="E981" s="30"/>
      <c r="F981" s="28"/>
      <c r="G981" s="28"/>
      <c r="H981" s="28"/>
      <c r="I981" s="28"/>
      <c r="J981" s="28"/>
      <c r="K981" s="28"/>
      <c r="L981" s="28"/>
      <c r="M981" s="28"/>
      <c r="N981" s="28"/>
      <c r="O981" s="28"/>
      <c r="P981" s="28"/>
      <c r="Q981" s="28"/>
      <c r="R981" s="28"/>
      <c r="S981" s="28"/>
      <c r="T981" s="28"/>
      <c r="U981" s="28"/>
      <c r="V981" s="28"/>
      <c r="W981" s="28"/>
      <c r="X981" s="28"/>
      <c r="Y981" s="28"/>
      <c r="Z981" s="28"/>
    </row>
    <row r="982" spans="1:26" ht="13.5" customHeight="1">
      <c r="A982" s="28"/>
      <c r="B982" s="29"/>
      <c r="C982" s="29"/>
      <c r="D982" s="29"/>
      <c r="E982" s="30"/>
      <c r="F982" s="28"/>
      <c r="G982" s="28"/>
      <c r="H982" s="28"/>
      <c r="I982" s="28"/>
      <c r="J982" s="28"/>
      <c r="K982" s="28"/>
      <c r="L982" s="28"/>
      <c r="M982" s="28"/>
      <c r="N982" s="28"/>
      <c r="O982" s="28"/>
      <c r="P982" s="28"/>
      <c r="Q982" s="28"/>
      <c r="R982" s="28"/>
      <c r="S982" s="28"/>
      <c r="T982" s="28"/>
      <c r="U982" s="28"/>
      <c r="V982" s="28"/>
      <c r="W982" s="28"/>
      <c r="X982" s="28"/>
      <c r="Y982" s="28"/>
      <c r="Z982" s="28"/>
    </row>
    <row r="983" spans="1:26" ht="13.5" customHeight="1">
      <c r="A983" s="28"/>
      <c r="B983" s="29"/>
      <c r="C983" s="29"/>
      <c r="D983" s="29"/>
      <c r="E983" s="30"/>
      <c r="F983" s="28"/>
      <c r="G983" s="28"/>
      <c r="H983" s="28"/>
      <c r="I983" s="28"/>
      <c r="J983" s="28"/>
      <c r="K983" s="28"/>
      <c r="L983" s="28"/>
      <c r="M983" s="28"/>
      <c r="N983" s="28"/>
      <c r="O983" s="28"/>
      <c r="P983" s="28"/>
      <c r="Q983" s="28"/>
      <c r="R983" s="28"/>
      <c r="S983" s="28"/>
      <c r="T983" s="28"/>
      <c r="U983" s="28"/>
      <c r="V983" s="28"/>
      <c r="W983" s="28"/>
      <c r="X983" s="28"/>
      <c r="Y983" s="28"/>
      <c r="Z983" s="28"/>
    </row>
    <row r="984" spans="1:26" ht="13.5" customHeight="1">
      <c r="A984" s="28"/>
      <c r="B984" s="29"/>
      <c r="C984" s="29"/>
      <c r="D984" s="29"/>
      <c r="E984" s="30"/>
      <c r="F984" s="28"/>
      <c r="G984" s="28"/>
      <c r="H984" s="28"/>
      <c r="I984" s="28"/>
      <c r="J984" s="28"/>
      <c r="K984" s="28"/>
      <c r="L984" s="28"/>
      <c r="M984" s="28"/>
      <c r="N984" s="28"/>
      <c r="O984" s="28"/>
      <c r="P984" s="28"/>
      <c r="Q984" s="28"/>
      <c r="R984" s="28"/>
      <c r="S984" s="28"/>
      <c r="T984" s="28"/>
      <c r="U984" s="28"/>
      <c r="V984" s="28"/>
      <c r="W984" s="28"/>
      <c r="X984" s="28"/>
      <c r="Y984" s="28"/>
      <c r="Z984" s="28"/>
    </row>
    <row r="985" spans="1:26" ht="13.5" customHeight="1">
      <c r="A985" s="28"/>
      <c r="B985" s="29"/>
      <c r="C985" s="29"/>
      <c r="D985" s="29"/>
      <c r="E985" s="30"/>
      <c r="F985" s="28"/>
      <c r="G985" s="28"/>
      <c r="H985" s="28"/>
      <c r="I985" s="28"/>
      <c r="J985" s="28"/>
      <c r="K985" s="28"/>
      <c r="L985" s="28"/>
      <c r="M985" s="28"/>
      <c r="N985" s="28"/>
      <c r="O985" s="28"/>
      <c r="P985" s="28"/>
      <c r="Q985" s="28"/>
      <c r="R985" s="28"/>
      <c r="S985" s="28"/>
      <c r="T985" s="28"/>
      <c r="U985" s="28"/>
      <c r="V985" s="28"/>
      <c r="W985" s="28"/>
      <c r="X985" s="28"/>
      <c r="Y985" s="28"/>
      <c r="Z985" s="28"/>
    </row>
    <row r="986" spans="1:26" ht="13.5" customHeight="1">
      <c r="A986" s="28"/>
      <c r="B986" s="29"/>
      <c r="C986" s="29"/>
      <c r="D986" s="29"/>
      <c r="E986" s="30"/>
      <c r="F986" s="28"/>
      <c r="G986" s="28"/>
      <c r="H986" s="28"/>
      <c r="I986" s="28"/>
      <c r="J986" s="28"/>
      <c r="K986" s="28"/>
      <c r="L986" s="28"/>
      <c r="M986" s="28"/>
      <c r="N986" s="28"/>
      <c r="O986" s="28"/>
      <c r="P986" s="28"/>
      <c r="Q986" s="28"/>
      <c r="R986" s="28"/>
      <c r="S986" s="28"/>
      <c r="T986" s="28"/>
      <c r="U986" s="28"/>
      <c r="V986" s="28"/>
      <c r="W986" s="28"/>
      <c r="X986" s="28"/>
      <c r="Y986" s="28"/>
      <c r="Z986" s="28"/>
    </row>
    <row r="987" spans="1:26" ht="13.5" customHeight="1">
      <c r="A987" s="28"/>
      <c r="B987" s="29"/>
      <c r="C987" s="29"/>
      <c r="D987" s="29"/>
      <c r="E987" s="30"/>
      <c r="F987" s="28"/>
      <c r="G987" s="28"/>
      <c r="H987" s="28"/>
      <c r="I987" s="28"/>
      <c r="J987" s="28"/>
      <c r="K987" s="28"/>
      <c r="L987" s="28"/>
      <c r="M987" s="28"/>
      <c r="N987" s="28"/>
      <c r="O987" s="28"/>
      <c r="P987" s="28"/>
      <c r="Q987" s="28"/>
      <c r="R987" s="28"/>
      <c r="S987" s="28"/>
      <c r="T987" s="28"/>
      <c r="U987" s="28"/>
      <c r="V987" s="28"/>
      <c r="W987" s="28"/>
      <c r="X987" s="28"/>
      <c r="Y987" s="28"/>
      <c r="Z987" s="28"/>
    </row>
    <row r="988" spans="1:26" ht="13.5" customHeight="1">
      <c r="A988" s="28"/>
      <c r="B988" s="29"/>
      <c r="C988" s="29"/>
      <c r="D988" s="29"/>
      <c r="E988" s="30"/>
      <c r="F988" s="28"/>
      <c r="G988" s="28"/>
      <c r="H988" s="28"/>
      <c r="I988" s="28"/>
      <c r="J988" s="28"/>
      <c r="K988" s="28"/>
      <c r="L988" s="28"/>
      <c r="M988" s="28"/>
      <c r="N988" s="28"/>
      <c r="O988" s="28"/>
      <c r="P988" s="28"/>
      <c r="Q988" s="28"/>
      <c r="R988" s="28"/>
      <c r="S988" s="28"/>
      <c r="T988" s="28"/>
      <c r="U988" s="28"/>
      <c r="V988" s="28"/>
      <c r="W988" s="28"/>
      <c r="X988" s="28"/>
      <c r="Y988" s="28"/>
      <c r="Z988" s="28"/>
    </row>
    <row r="989" spans="1:26" ht="13.5" customHeight="1">
      <c r="A989" s="28"/>
      <c r="B989" s="29"/>
      <c r="C989" s="29"/>
      <c r="D989" s="29"/>
      <c r="E989" s="30"/>
      <c r="F989" s="28"/>
      <c r="G989" s="28"/>
      <c r="H989" s="28"/>
      <c r="I989" s="28"/>
      <c r="J989" s="28"/>
      <c r="K989" s="28"/>
      <c r="L989" s="28"/>
      <c r="M989" s="28"/>
      <c r="N989" s="28"/>
      <c r="O989" s="28"/>
      <c r="P989" s="28"/>
      <c r="Q989" s="28"/>
      <c r="R989" s="28"/>
      <c r="S989" s="28"/>
      <c r="T989" s="28"/>
      <c r="U989" s="28"/>
      <c r="V989" s="28"/>
      <c r="W989" s="28"/>
      <c r="X989" s="28"/>
      <c r="Y989" s="28"/>
      <c r="Z989" s="28"/>
    </row>
    <row r="990" spans="1:26" ht="13.5" customHeight="1">
      <c r="A990" s="28"/>
      <c r="B990" s="29"/>
      <c r="C990" s="29"/>
      <c r="D990" s="29"/>
      <c r="E990" s="30"/>
      <c r="F990" s="28"/>
      <c r="G990" s="28"/>
      <c r="H990" s="28"/>
      <c r="I990" s="28"/>
      <c r="J990" s="28"/>
      <c r="K990" s="28"/>
      <c r="L990" s="28"/>
      <c r="M990" s="28"/>
      <c r="N990" s="28"/>
      <c r="O990" s="28"/>
      <c r="P990" s="28"/>
      <c r="Q990" s="28"/>
      <c r="R990" s="28"/>
      <c r="S990" s="28"/>
      <c r="T990" s="28"/>
      <c r="U990" s="28"/>
      <c r="V990" s="28"/>
      <c r="W990" s="28"/>
      <c r="X990" s="28"/>
      <c r="Y990" s="28"/>
      <c r="Z990" s="28"/>
    </row>
    <row r="991" spans="1:26" ht="13.5" customHeight="1">
      <c r="A991" s="28"/>
      <c r="B991" s="29"/>
      <c r="C991" s="29"/>
      <c r="D991" s="29"/>
      <c r="E991" s="30"/>
      <c r="F991" s="28"/>
      <c r="G991" s="28"/>
      <c r="H991" s="28"/>
      <c r="I991" s="28"/>
      <c r="J991" s="28"/>
      <c r="K991" s="28"/>
      <c r="L991" s="28"/>
      <c r="M991" s="28"/>
      <c r="N991" s="28"/>
      <c r="O991" s="28"/>
      <c r="P991" s="28"/>
      <c r="Q991" s="28"/>
      <c r="R991" s="28"/>
      <c r="S991" s="28"/>
      <c r="T991" s="28"/>
      <c r="U991" s="28"/>
      <c r="V991" s="28"/>
      <c r="W991" s="28"/>
      <c r="X991" s="28"/>
      <c r="Y991" s="28"/>
      <c r="Z991" s="28"/>
    </row>
    <row r="992" spans="1:26" ht="13.5" customHeight="1">
      <c r="A992" s="28"/>
      <c r="B992" s="29"/>
      <c r="C992" s="29"/>
      <c r="D992" s="29"/>
      <c r="E992" s="30"/>
      <c r="F992" s="28"/>
      <c r="G992" s="28"/>
      <c r="H992" s="28"/>
      <c r="I992" s="28"/>
      <c r="J992" s="28"/>
      <c r="K992" s="28"/>
      <c r="L992" s="28"/>
      <c r="M992" s="28"/>
      <c r="N992" s="28"/>
      <c r="O992" s="28"/>
      <c r="P992" s="28"/>
      <c r="Q992" s="28"/>
      <c r="R992" s="28"/>
      <c r="S992" s="28"/>
      <c r="T992" s="28"/>
      <c r="U992" s="28"/>
      <c r="V992" s="28"/>
      <c r="W992" s="28"/>
      <c r="X992" s="28"/>
      <c r="Y992" s="28"/>
      <c r="Z992" s="28"/>
    </row>
    <row r="993" spans="1:26" ht="13.5" customHeight="1">
      <c r="A993" s="28"/>
      <c r="B993" s="29"/>
      <c r="C993" s="29"/>
      <c r="D993" s="29"/>
      <c r="E993" s="30"/>
      <c r="F993" s="28"/>
      <c r="G993" s="28"/>
      <c r="H993" s="28"/>
      <c r="I993" s="28"/>
      <c r="J993" s="28"/>
      <c r="K993" s="28"/>
      <c r="L993" s="28"/>
      <c r="M993" s="28"/>
      <c r="N993" s="28"/>
      <c r="O993" s="28"/>
      <c r="P993" s="28"/>
      <c r="Q993" s="28"/>
      <c r="R993" s="28"/>
      <c r="S993" s="28"/>
      <c r="T993" s="28"/>
      <c r="U993" s="28"/>
      <c r="V993" s="28"/>
      <c r="W993" s="28"/>
      <c r="X993" s="28"/>
      <c r="Y993" s="28"/>
      <c r="Z993" s="28"/>
    </row>
    <row r="994" spans="1:26" ht="13.5" customHeight="1">
      <c r="A994" s="28"/>
      <c r="B994" s="29"/>
      <c r="C994" s="29"/>
      <c r="D994" s="29"/>
      <c r="E994" s="30"/>
      <c r="F994" s="28"/>
      <c r="G994" s="28"/>
      <c r="H994" s="28"/>
      <c r="I994" s="28"/>
      <c r="J994" s="28"/>
      <c r="K994" s="28"/>
      <c r="L994" s="28"/>
      <c r="M994" s="28"/>
      <c r="N994" s="28"/>
      <c r="O994" s="28"/>
      <c r="P994" s="28"/>
      <c r="Q994" s="28"/>
      <c r="R994" s="28"/>
      <c r="S994" s="28"/>
      <c r="T994" s="28"/>
      <c r="U994" s="28"/>
      <c r="V994" s="28"/>
      <c r="W994" s="28"/>
      <c r="X994" s="28"/>
      <c r="Y994" s="28"/>
      <c r="Z994" s="28"/>
    </row>
    <row r="995" spans="1:26" ht="13.5" customHeight="1">
      <c r="A995" s="28"/>
      <c r="B995" s="29"/>
      <c r="C995" s="29"/>
      <c r="D995" s="29"/>
      <c r="E995" s="30"/>
      <c r="F995" s="28"/>
      <c r="G995" s="28"/>
      <c r="H995" s="28"/>
      <c r="I995" s="28"/>
      <c r="J995" s="28"/>
      <c r="K995" s="28"/>
      <c r="L995" s="28"/>
      <c r="M995" s="28"/>
      <c r="N995" s="28"/>
      <c r="O995" s="28"/>
      <c r="P995" s="28"/>
      <c r="Q995" s="28"/>
      <c r="R995" s="28"/>
      <c r="S995" s="28"/>
      <c r="T995" s="28"/>
      <c r="U995" s="28"/>
      <c r="V995" s="28"/>
      <c r="W995" s="28"/>
      <c r="X995" s="28"/>
      <c r="Y995" s="28"/>
      <c r="Z995" s="28"/>
    </row>
    <row r="996" spans="1:26" ht="13.5" customHeight="1">
      <c r="A996" s="28"/>
      <c r="B996" s="29"/>
      <c r="C996" s="29"/>
      <c r="D996" s="29"/>
      <c r="E996" s="30"/>
      <c r="F996" s="28"/>
      <c r="G996" s="28"/>
      <c r="H996" s="28"/>
      <c r="I996" s="28"/>
      <c r="J996" s="28"/>
      <c r="K996" s="28"/>
      <c r="L996" s="28"/>
      <c r="M996" s="28"/>
      <c r="N996" s="28"/>
      <c r="O996" s="28"/>
      <c r="P996" s="28"/>
      <c r="Q996" s="28"/>
      <c r="R996" s="28"/>
      <c r="S996" s="28"/>
      <c r="T996" s="28"/>
      <c r="U996" s="28"/>
      <c r="V996" s="28"/>
      <c r="W996" s="28"/>
      <c r="X996" s="28"/>
      <c r="Y996" s="28"/>
      <c r="Z996" s="28"/>
    </row>
    <row r="997" spans="1:26" ht="13.5" customHeight="1">
      <c r="A997" s="28"/>
      <c r="B997" s="29"/>
      <c r="C997" s="29"/>
      <c r="D997" s="29"/>
      <c r="E997" s="30"/>
      <c r="F997" s="28"/>
      <c r="G997" s="28"/>
      <c r="H997" s="28"/>
      <c r="I997" s="28"/>
      <c r="J997" s="28"/>
      <c r="K997" s="28"/>
      <c r="L997" s="28"/>
      <c r="M997" s="28"/>
      <c r="N997" s="28"/>
      <c r="O997" s="28"/>
      <c r="P997" s="28"/>
      <c r="Q997" s="28"/>
      <c r="R997" s="28"/>
      <c r="S997" s="28"/>
      <c r="T997" s="28"/>
      <c r="U997" s="28"/>
      <c r="V997" s="28"/>
      <c r="W997" s="28"/>
      <c r="X997" s="28"/>
      <c r="Y997" s="28"/>
      <c r="Z997" s="28"/>
    </row>
    <row r="998" spans="1:26" ht="13.5" customHeight="1">
      <c r="A998" s="28"/>
      <c r="B998" s="29"/>
      <c r="C998" s="29"/>
      <c r="D998" s="29"/>
      <c r="E998" s="30"/>
      <c r="F998" s="28"/>
      <c r="G998" s="28"/>
      <c r="H998" s="28"/>
      <c r="I998" s="28"/>
      <c r="J998" s="28"/>
      <c r="K998" s="28"/>
      <c r="L998" s="28"/>
      <c r="M998" s="28"/>
      <c r="N998" s="28"/>
      <c r="O998" s="28"/>
      <c r="P998" s="28"/>
      <c r="Q998" s="28"/>
      <c r="R998" s="28"/>
      <c r="S998" s="28"/>
      <c r="T998" s="28"/>
      <c r="U998" s="28"/>
      <c r="V998" s="28"/>
      <c r="W998" s="28"/>
      <c r="X998" s="28"/>
      <c r="Y998" s="28"/>
      <c r="Z998" s="28"/>
    </row>
    <row r="999" spans="1:26" ht="13.5" customHeight="1">
      <c r="A999" s="28"/>
      <c r="B999" s="29"/>
      <c r="C999" s="29"/>
      <c r="D999" s="29"/>
      <c r="E999" s="30"/>
      <c r="F999" s="28"/>
      <c r="G999" s="28"/>
      <c r="H999" s="28"/>
      <c r="I999" s="28"/>
      <c r="J999" s="28"/>
      <c r="K999" s="28"/>
      <c r="L999" s="28"/>
      <c r="M999" s="28"/>
      <c r="N999" s="28"/>
      <c r="O999" s="28"/>
      <c r="P999" s="28"/>
      <c r="Q999" s="28"/>
      <c r="R999" s="28"/>
      <c r="S999" s="28"/>
      <c r="T999" s="28"/>
      <c r="U999" s="28"/>
      <c r="V999" s="28"/>
      <c r="W999" s="28"/>
      <c r="X999" s="28"/>
      <c r="Y999" s="28"/>
      <c r="Z999" s="28"/>
    </row>
    <row r="1000" spans="1:26" ht="13.5" customHeight="1">
      <c r="A1000" s="28"/>
      <c r="B1000" s="29"/>
      <c r="C1000" s="29"/>
      <c r="D1000" s="29"/>
      <c r="E1000" s="30"/>
      <c r="F1000" s="28"/>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1:26" ht="13.5" customHeight="1">
      <c r="A1001" s="28"/>
      <c r="B1001" s="29"/>
      <c r="C1001" s="29"/>
      <c r="D1001" s="29"/>
      <c r="E1001" s="30"/>
      <c r="F1001" s="28"/>
      <c r="G1001" s="28"/>
      <c r="H1001" s="28"/>
      <c r="I1001" s="28"/>
      <c r="J1001" s="28"/>
      <c r="K1001" s="28"/>
      <c r="L1001" s="28"/>
      <c r="M1001" s="28"/>
      <c r="N1001" s="28"/>
      <c r="O1001" s="28"/>
      <c r="P1001" s="28"/>
      <c r="Q1001" s="28"/>
      <c r="R1001" s="28"/>
      <c r="S1001" s="28"/>
      <c r="T1001" s="28"/>
      <c r="U1001" s="28"/>
      <c r="V1001" s="28"/>
      <c r="W1001" s="28"/>
      <c r="X1001" s="28"/>
      <c r="Y1001" s="28"/>
      <c r="Z1001" s="28"/>
    </row>
    <row r="1002" spans="1:26" ht="13.5" customHeight="1">
      <c r="A1002" s="28"/>
      <c r="B1002" s="29"/>
      <c r="C1002" s="29"/>
      <c r="D1002" s="29"/>
      <c r="E1002" s="30"/>
      <c r="F1002" s="28"/>
      <c r="G1002" s="28"/>
      <c r="H1002" s="28"/>
      <c r="I1002" s="28"/>
      <c r="J1002" s="28"/>
      <c r="K1002" s="28"/>
      <c r="L1002" s="28"/>
      <c r="M1002" s="28"/>
      <c r="N1002" s="28"/>
      <c r="O1002" s="28"/>
      <c r="P1002" s="28"/>
      <c r="Q1002" s="28"/>
      <c r="R1002" s="28"/>
      <c r="S1002" s="28"/>
      <c r="T1002" s="28"/>
      <c r="U1002" s="28"/>
      <c r="V1002" s="28"/>
      <c r="W1002" s="28"/>
      <c r="X1002" s="28"/>
      <c r="Y1002" s="28"/>
      <c r="Z1002" s="28"/>
    </row>
    <row r="1003" spans="1:26" ht="13.5" customHeight="1">
      <c r="A1003" s="28"/>
      <c r="B1003" s="29"/>
      <c r="C1003" s="29"/>
      <c r="D1003" s="29"/>
      <c r="E1003" s="30"/>
      <c r="F1003" s="28"/>
      <c r="G1003" s="28"/>
      <c r="H1003" s="28"/>
      <c r="I1003" s="28"/>
      <c r="J1003" s="28"/>
      <c r="K1003" s="28"/>
      <c r="L1003" s="28"/>
      <c r="M1003" s="28"/>
      <c r="N1003" s="28"/>
      <c r="O1003" s="28"/>
      <c r="P1003" s="28"/>
      <c r="Q1003" s="28"/>
      <c r="R1003" s="28"/>
      <c r="S1003" s="28"/>
      <c r="T1003" s="28"/>
      <c r="U1003" s="28"/>
      <c r="V1003" s="28"/>
      <c r="W1003" s="28"/>
      <c r="X1003" s="28"/>
      <c r="Y1003" s="28"/>
      <c r="Z1003" s="28"/>
    </row>
  </sheetData>
  <sheetProtection algorithmName="SHA-512" hashValue="OHs5uKUwdrHkxC5bZP9XDCElYpx4BxvDT4HVjMBGV8cmQPSqWvmWnvd8gn9v4YV0f1siO5+m+/EOnqD7tb+Vhg==" saltValue="YUL9mlXj9hPLXuSphY+8Pw==" spinCount="100000" sheet="1" objects="1" scenarios="1"/>
  <dataValidations count="1">
    <dataValidation type="list" allowBlank="1" showInputMessage="1" prompt="Select the asphalt type most representative for the produced product. " sqref="C24:C174" xr:uid="{00000000-0002-0000-0200-000000000000}">
      <formula1>$B$12:$B$19</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00"/>
  <sheetViews>
    <sheetView workbookViewId="0">
      <selection activeCell="C2" sqref="C2"/>
    </sheetView>
  </sheetViews>
  <sheetFormatPr defaultColWidth="16.7109375" defaultRowHeight="15" customHeight="1"/>
  <cols>
    <col min="1" max="1" width="2.7109375" customWidth="1"/>
    <col min="2" max="2" width="36" hidden="1" customWidth="1"/>
    <col min="3" max="3" width="49.42578125" customWidth="1"/>
    <col min="4" max="6" width="20.42578125" customWidth="1"/>
    <col min="7" max="7" width="28.7109375" customWidth="1"/>
    <col min="8" max="8" width="29.28515625" customWidth="1"/>
    <col min="9" max="10" width="15.7109375" customWidth="1"/>
    <col min="11" max="11" width="7.28515625" customWidth="1"/>
    <col min="12" max="12" width="65.42578125" customWidth="1"/>
    <col min="13" max="14" width="21.28515625" customWidth="1"/>
    <col min="15" max="33" width="10.7109375" customWidth="1"/>
  </cols>
  <sheetData>
    <row r="1" spans="1:33" ht="9.75" customHeight="1">
      <c r="A1" s="37"/>
      <c r="B1" s="37"/>
      <c r="C1" s="37"/>
      <c r="D1" s="38"/>
      <c r="E1" s="37"/>
      <c r="F1" s="37"/>
      <c r="G1" s="37"/>
      <c r="H1" s="28"/>
      <c r="I1" s="28"/>
      <c r="J1" s="28"/>
      <c r="K1" s="37"/>
      <c r="L1" s="37"/>
      <c r="M1" s="37"/>
      <c r="N1" s="37"/>
      <c r="O1" s="37"/>
      <c r="P1" s="37"/>
      <c r="Q1" s="37"/>
      <c r="R1" s="37"/>
      <c r="S1" s="37"/>
      <c r="T1" s="37"/>
      <c r="U1" s="37"/>
      <c r="V1" s="37"/>
      <c r="W1" s="37"/>
      <c r="X1" s="37"/>
      <c r="Y1" s="37"/>
      <c r="Z1" s="37"/>
      <c r="AA1" s="37"/>
      <c r="AB1" s="37"/>
      <c r="AC1" s="37"/>
      <c r="AD1" s="37"/>
      <c r="AE1" s="37"/>
      <c r="AF1" s="37"/>
      <c r="AG1" s="37"/>
    </row>
    <row r="2" spans="1:33" ht="13.5" customHeight="1">
      <c r="A2" s="37"/>
      <c r="B2" s="37"/>
      <c r="C2" s="31" t="s">
        <v>126</v>
      </c>
      <c r="D2" s="38"/>
      <c r="E2" s="37"/>
      <c r="F2" s="37"/>
      <c r="G2" s="37"/>
      <c r="H2" s="39"/>
      <c r="I2" s="39"/>
      <c r="J2" s="39"/>
      <c r="K2" s="37"/>
      <c r="L2" s="37"/>
      <c r="M2" s="37"/>
      <c r="N2" s="37"/>
      <c r="O2" s="37"/>
      <c r="P2" s="37"/>
      <c r="Q2" s="37"/>
      <c r="R2" s="37"/>
      <c r="S2" s="37"/>
      <c r="T2" s="37"/>
      <c r="U2" s="37"/>
      <c r="V2" s="37"/>
      <c r="W2" s="37"/>
      <c r="X2" s="37"/>
      <c r="Y2" s="37"/>
      <c r="Z2" s="37"/>
      <c r="AA2" s="37"/>
      <c r="AB2" s="37"/>
      <c r="AC2" s="37"/>
      <c r="AD2" s="37"/>
      <c r="AE2" s="37"/>
      <c r="AF2" s="37"/>
      <c r="AG2" s="37"/>
    </row>
    <row r="3" spans="1:33" ht="13.5" customHeight="1">
      <c r="A3" s="37"/>
      <c r="B3" s="37"/>
      <c r="C3" s="29" t="s">
        <v>127</v>
      </c>
      <c r="D3" s="38"/>
      <c r="E3" s="37"/>
      <c r="F3" s="37"/>
      <c r="G3" s="37"/>
      <c r="H3" s="39"/>
      <c r="I3" s="39"/>
      <c r="J3" s="39"/>
      <c r="K3" s="37"/>
      <c r="L3" s="37"/>
      <c r="M3" s="37"/>
      <c r="N3" s="37"/>
      <c r="O3" s="37"/>
      <c r="P3" s="37"/>
      <c r="Q3" s="37"/>
      <c r="R3" s="37"/>
      <c r="S3" s="37"/>
      <c r="T3" s="37"/>
      <c r="U3" s="37"/>
      <c r="V3" s="37"/>
      <c r="W3" s="37"/>
      <c r="X3" s="37"/>
      <c r="Y3" s="37"/>
      <c r="Z3" s="37"/>
      <c r="AA3" s="37"/>
      <c r="AB3" s="37"/>
      <c r="AC3" s="37"/>
      <c r="AD3" s="37"/>
      <c r="AE3" s="37"/>
      <c r="AF3" s="37"/>
      <c r="AG3" s="37"/>
    </row>
    <row r="4" spans="1:33" ht="13.5" customHeight="1">
      <c r="A4" s="37"/>
      <c r="B4" s="37"/>
      <c r="C4" s="29" t="s">
        <v>76</v>
      </c>
      <c r="D4" s="38"/>
      <c r="E4" s="37"/>
      <c r="F4" s="37"/>
      <c r="G4" s="37"/>
      <c r="H4" s="39"/>
      <c r="I4" s="39"/>
      <c r="J4" s="39"/>
      <c r="K4" s="37"/>
      <c r="L4" s="37"/>
      <c r="M4" s="37"/>
      <c r="N4" s="37"/>
      <c r="O4" s="37"/>
      <c r="P4" s="37"/>
      <c r="Q4" s="37"/>
      <c r="R4" s="37"/>
      <c r="S4" s="37"/>
      <c r="T4" s="37"/>
      <c r="U4" s="37"/>
      <c r="V4" s="37"/>
      <c r="W4" s="37"/>
      <c r="X4" s="37"/>
      <c r="Y4" s="37"/>
      <c r="Z4" s="37"/>
      <c r="AA4" s="37"/>
      <c r="AB4" s="37"/>
      <c r="AC4" s="37"/>
      <c r="AD4" s="37"/>
      <c r="AE4" s="37"/>
      <c r="AF4" s="37"/>
      <c r="AG4" s="37"/>
    </row>
    <row r="5" spans="1:33" ht="13.5" customHeight="1">
      <c r="A5" s="37"/>
      <c r="B5" s="37"/>
      <c r="C5" s="29" t="s">
        <v>1491</v>
      </c>
      <c r="D5" s="38"/>
      <c r="E5" s="37"/>
      <c r="F5" s="37"/>
      <c r="G5" s="37"/>
      <c r="H5" s="39"/>
      <c r="I5" s="39"/>
      <c r="J5" s="39"/>
      <c r="K5" s="37"/>
      <c r="L5" s="37"/>
      <c r="M5" s="37"/>
      <c r="N5" s="37"/>
      <c r="O5" s="37"/>
      <c r="P5" s="37"/>
      <c r="Q5" s="37"/>
      <c r="R5" s="37"/>
      <c r="S5" s="37"/>
      <c r="T5" s="37"/>
      <c r="U5" s="37"/>
      <c r="V5" s="37"/>
      <c r="W5" s="37"/>
      <c r="X5" s="37"/>
      <c r="Y5" s="37"/>
      <c r="Z5" s="37"/>
      <c r="AA5" s="37"/>
      <c r="AB5" s="37"/>
      <c r="AC5" s="37"/>
      <c r="AD5" s="37"/>
      <c r="AE5" s="37"/>
      <c r="AF5" s="37"/>
      <c r="AG5" s="37"/>
    </row>
    <row r="6" spans="1:33" ht="13.5" customHeight="1">
      <c r="A6" s="37"/>
      <c r="B6" s="37"/>
      <c r="C6" s="29" t="s">
        <v>128</v>
      </c>
      <c r="D6" s="38"/>
      <c r="E6" s="37"/>
      <c r="F6" s="37"/>
      <c r="G6" s="37"/>
      <c r="H6" s="39"/>
      <c r="I6" s="39"/>
      <c r="J6" s="39"/>
      <c r="K6" s="37"/>
      <c r="L6" s="37"/>
      <c r="M6" s="37"/>
      <c r="N6" s="37"/>
      <c r="O6" s="37"/>
      <c r="P6" s="37"/>
      <c r="Q6" s="37"/>
      <c r="R6" s="37"/>
      <c r="S6" s="37"/>
      <c r="T6" s="37"/>
      <c r="U6" s="37"/>
      <c r="V6" s="37"/>
      <c r="W6" s="37"/>
      <c r="X6" s="37"/>
      <c r="Y6" s="37"/>
      <c r="Z6" s="37"/>
      <c r="AA6" s="37"/>
      <c r="AB6" s="37"/>
      <c r="AC6" s="37"/>
      <c r="AD6" s="37"/>
      <c r="AE6" s="37"/>
      <c r="AF6" s="37"/>
      <c r="AG6" s="37"/>
    </row>
    <row r="7" spans="1:33" ht="13.5" customHeight="1">
      <c r="A7" s="37"/>
      <c r="B7" s="37"/>
      <c r="C7" s="29" t="s">
        <v>129</v>
      </c>
      <c r="D7" s="38"/>
      <c r="E7" s="37"/>
      <c r="F7" s="37"/>
      <c r="G7" s="37"/>
      <c r="H7" s="39"/>
      <c r="I7" s="39"/>
      <c r="J7" s="39"/>
      <c r="K7" s="37"/>
      <c r="L7" s="37"/>
      <c r="M7" s="37"/>
      <c r="N7" s="37"/>
      <c r="O7" s="37"/>
      <c r="P7" s="37"/>
      <c r="Q7" s="37"/>
      <c r="R7" s="37"/>
      <c r="S7" s="37"/>
      <c r="T7" s="37"/>
      <c r="U7" s="37"/>
      <c r="V7" s="37"/>
      <c r="W7" s="37"/>
      <c r="X7" s="37"/>
      <c r="Y7" s="37"/>
      <c r="Z7" s="37"/>
      <c r="AA7" s="37"/>
      <c r="AB7" s="37"/>
      <c r="AC7" s="37"/>
      <c r="AD7" s="37"/>
      <c r="AE7" s="37"/>
      <c r="AF7" s="37"/>
      <c r="AG7" s="37"/>
    </row>
    <row r="8" spans="1:33" ht="13.5" customHeight="1">
      <c r="A8" s="37"/>
      <c r="B8" s="37"/>
      <c r="C8" s="29" t="s">
        <v>130</v>
      </c>
      <c r="D8" s="38"/>
      <c r="E8" s="37"/>
      <c r="F8" s="37"/>
      <c r="G8" s="37"/>
      <c r="H8" s="39"/>
      <c r="I8" s="39"/>
      <c r="J8" s="39"/>
      <c r="K8" s="37"/>
      <c r="L8" s="37"/>
      <c r="M8" s="37"/>
      <c r="N8" s="37"/>
      <c r="O8" s="37"/>
      <c r="P8" s="37"/>
      <c r="Q8" s="37"/>
      <c r="R8" s="37"/>
      <c r="S8" s="37"/>
      <c r="T8" s="37"/>
      <c r="U8" s="37"/>
      <c r="V8" s="37"/>
      <c r="W8" s="37"/>
      <c r="X8" s="37"/>
      <c r="Y8" s="37"/>
      <c r="Z8" s="37"/>
      <c r="AA8" s="37"/>
      <c r="AB8" s="37"/>
      <c r="AC8" s="37"/>
      <c r="AD8" s="37"/>
      <c r="AE8" s="37"/>
      <c r="AF8" s="37"/>
      <c r="AG8" s="37"/>
    </row>
    <row r="9" spans="1:33" ht="13.5" customHeight="1">
      <c r="A9" s="37"/>
      <c r="B9" s="37"/>
      <c r="C9" s="29" t="s">
        <v>131</v>
      </c>
      <c r="D9" s="38"/>
      <c r="E9" s="37"/>
      <c r="F9" s="37"/>
      <c r="G9" s="37"/>
      <c r="H9" s="39"/>
      <c r="I9" s="39"/>
      <c r="J9" s="39"/>
      <c r="K9" s="37"/>
      <c r="L9" s="37"/>
      <c r="M9" s="37"/>
      <c r="N9" s="37"/>
      <c r="O9" s="37"/>
      <c r="P9" s="37"/>
      <c r="Q9" s="37"/>
      <c r="R9" s="37"/>
      <c r="S9" s="37"/>
      <c r="T9" s="37"/>
      <c r="U9" s="37"/>
      <c r="V9" s="37"/>
      <c r="W9" s="37"/>
      <c r="X9" s="37"/>
      <c r="Y9" s="37"/>
      <c r="Z9" s="37"/>
      <c r="AA9" s="37"/>
      <c r="AB9" s="37"/>
      <c r="AC9" s="37"/>
      <c r="AD9" s="37"/>
      <c r="AE9" s="37"/>
      <c r="AF9" s="37"/>
      <c r="AG9" s="37"/>
    </row>
    <row r="10" spans="1:33" ht="13.5" customHeight="1">
      <c r="A10" s="37"/>
      <c r="B10" s="37"/>
      <c r="C10" s="29" t="s">
        <v>1494</v>
      </c>
      <c r="D10" s="38"/>
      <c r="E10" s="37"/>
      <c r="F10" s="37"/>
      <c r="G10" s="37"/>
      <c r="H10" s="39"/>
      <c r="I10" s="39"/>
      <c r="J10" s="39"/>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3" ht="13.5" customHeight="1">
      <c r="A11" s="37"/>
      <c r="B11" s="37"/>
      <c r="C11" s="29" t="s">
        <v>132</v>
      </c>
      <c r="D11" s="38"/>
      <c r="E11" s="37"/>
      <c r="F11" s="37"/>
      <c r="G11" s="37"/>
      <c r="H11" s="39"/>
      <c r="I11" s="39"/>
      <c r="J11" s="39"/>
      <c r="K11" s="37"/>
      <c r="L11" s="37"/>
      <c r="M11" s="37"/>
      <c r="N11" s="37"/>
      <c r="O11" s="37"/>
      <c r="P11" s="37"/>
      <c r="Q11" s="37"/>
      <c r="R11" s="37"/>
      <c r="S11" s="37"/>
      <c r="T11" s="37"/>
      <c r="U11" s="37"/>
      <c r="V11" s="37"/>
      <c r="W11" s="37"/>
      <c r="X11" s="37"/>
      <c r="Y11" s="37"/>
      <c r="Z11" s="37"/>
      <c r="AA11" s="37"/>
      <c r="AB11" s="37"/>
      <c r="AC11" s="37"/>
      <c r="AD11" s="37"/>
      <c r="AE11" s="37"/>
      <c r="AF11" s="37"/>
      <c r="AG11" s="37"/>
    </row>
    <row r="12" spans="1:33" ht="13.5" customHeight="1">
      <c r="A12" s="37"/>
      <c r="B12" s="37"/>
      <c r="C12" s="37"/>
      <c r="D12" s="38"/>
      <c r="E12" s="37"/>
      <c r="F12" s="37"/>
      <c r="G12" s="37"/>
      <c r="H12" s="39"/>
      <c r="I12" s="39"/>
      <c r="J12" s="39"/>
      <c r="K12" s="37"/>
      <c r="L12" s="37"/>
      <c r="M12" s="37"/>
      <c r="N12" s="37"/>
      <c r="O12" s="37"/>
      <c r="P12" s="37"/>
      <c r="Q12" s="37"/>
      <c r="R12" s="37"/>
      <c r="S12" s="37"/>
      <c r="T12" s="37"/>
      <c r="U12" s="37"/>
      <c r="V12" s="37"/>
      <c r="W12" s="37"/>
      <c r="X12" s="37"/>
      <c r="Y12" s="37"/>
      <c r="Z12" s="37"/>
      <c r="AA12" s="37"/>
      <c r="AB12" s="37"/>
      <c r="AC12" s="37"/>
      <c r="AD12" s="37"/>
      <c r="AE12" s="37"/>
      <c r="AF12" s="37"/>
      <c r="AG12" s="37"/>
    </row>
    <row r="13" spans="1:33" ht="13.5" customHeight="1">
      <c r="A13" s="37"/>
      <c r="B13" s="37"/>
      <c r="C13" s="32" t="s">
        <v>133</v>
      </c>
      <c r="D13" s="38"/>
      <c r="E13" s="37"/>
      <c r="F13" s="37"/>
      <c r="G13" s="37"/>
      <c r="H13" s="39"/>
      <c r="I13" s="39"/>
      <c r="J13" s="39"/>
      <c r="K13" s="37"/>
      <c r="L13" s="37"/>
      <c r="M13" s="37"/>
      <c r="N13" s="37"/>
      <c r="O13" s="37"/>
      <c r="P13" s="37"/>
      <c r="Q13" s="37"/>
      <c r="R13" s="37"/>
      <c r="S13" s="37"/>
      <c r="T13" s="37"/>
      <c r="U13" s="37"/>
      <c r="V13" s="37"/>
      <c r="W13" s="37"/>
      <c r="X13" s="37"/>
      <c r="Y13" s="37"/>
      <c r="Z13" s="37"/>
      <c r="AA13" s="37"/>
      <c r="AB13" s="37"/>
      <c r="AC13" s="37"/>
      <c r="AD13" s="37"/>
      <c r="AE13" s="37"/>
      <c r="AF13" s="37"/>
      <c r="AG13" s="37"/>
    </row>
    <row r="14" spans="1:33" ht="13.5" customHeight="1">
      <c r="A14" s="37"/>
      <c r="B14" s="37"/>
      <c r="C14" s="8" t="s">
        <v>134</v>
      </c>
      <c r="D14" s="21" t="s">
        <v>135</v>
      </c>
      <c r="E14" s="8" t="s">
        <v>136</v>
      </c>
      <c r="F14" s="37"/>
      <c r="G14" s="37"/>
      <c r="H14" s="39"/>
      <c r="I14" s="39"/>
      <c r="J14" s="39"/>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3" ht="13.5" customHeight="1">
      <c r="A15" s="37"/>
      <c r="B15" s="37"/>
      <c r="C15" s="17" t="s">
        <v>137</v>
      </c>
      <c r="D15" s="26">
        <f t="shared" ref="D15:D18" ca="1" si="0">SUMIF($G:$H,C15,$H:$H)</f>
        <v>10773.24612</v>
      </c>
      <c r="E15" s="40">
        <f t="shared" ref="E15:E18" ca="1" si="1">VLOOKUP(C15,$G:$J,4,FALSE)/100</f>
        <v>0.06</v>
      </c>
      <c r="F15" s="37"/>
      <c r="G15" s="37"/>
      <c r="H15" s="39"/>
      <c r="I15" s="39"/>
      <c r="J15" s="39"/>
      <c r="K15" s="37"/>
      <c r="L15" s="37"/>
      <c r="M15" s="37"/>
      <c r="N15" s="37"/>
      <c r="O15" s="37"/>
      <c r="P15" s="37"/>
      <c r="Q15" s="37"/>
      <c r="R15" s="37"/>
      <c r="S15" s="37"/>
      <c r="T15" s="37"/>
      <c r="U15" s="37"/>
      <c r="V15" s="37"/>
      <c r="W15" s="37"/>
      <c r="X15" s="37"/>
      <c r="Y15" s="37"/>
      <c r="Z15" s="37"/>
      <c r="AA15" s="37"/>
      <c r="AB15" s="37"/>
      <c r="AC15" s="37"/>
      <c r="AD15" s="37"/>
      <c r="AE15" s="37"/>
      <c r="AF15" s="37"/>
      <c r="AG15" s="37"/>
    </row>
    <row r="16" spans="1:33" ht="13.5" customHeight="1">
      <c r="A16" s="37"/>
      <c r="B16" s="37"/>
      <c r="C16" s="18" t="s">
        <v>35</v>
      </c>
      <c r="D16" s="26">
        <f t="shared" ca="1" si="0"/>
        <v>3350.4696599999997</v>
      </c>
      <c r="E16" s="40">
        <f t="shared" ca="1" si="1"/>
        <v>0.06</v>
      </c>
      <c r="F16" s="37"/>
      <c r="G16" s="37"/>
      <c r="H16" s="39"/>
      <c r="I16" s="39"/>
      <c r="J16" s="39"/>
      <c r="K16" s="37"/>
      <c r="L16" s="37"/>
      <c r="M16" s="37"/>
      <c r="N16" s="37"/>
      <c r="O16" s="37"/>
      <c r="P16" s="37"/>
      <c r="Q16" s="37"/>
      <c r="R16" s="37"/>
      <c r="S16" s="37"/>
      <c r="T16" s="37"/>
      <c r="U16" s="37"/>
      <c r="V16" s="37"/>
      <c r="W16" s="37"/>
      <c r="X16" s="37"/>
      <c r="Y16" s="37"/>
      <c r="Z16" s="37"/>
      <c r="AA16" s="37"/>
      <c r="AB16" s="37"/>
      <c r="AC16" s="37"/>
      <c r="AD16" s="37"/>
      <c r="AE16" s="37"/>
      <c r="AF16" s="37"/>
      <c r="AG16" s="37"/>
    </row>
    <row r="17" spans="1:33" ht="13.5" customHeight="1">
      <c r="A17" s="37"/>
      <c r="B17" s="37"/>
      <c r="C17" s="17" t="s">
        <v>36</v>
      </c>
      <c r="D17" s="26">
        <f t="shared" ca="1" si="0"/>
        <v>2678.9192800000001</v>
      </c>
      <c r="E17" s="40">
        <f t="shared" ca="1" si="1"/>
        <v>0.05</v>
      </c>
      <c r="F17" s="37"/>
      <c r="G17" s="37"/>
      <c r="H17" s="39"/>
      <c r="I17" s="39"/>
      <c r="J17" s="39"/>
      <c r="K17" s="37"/>
      <c r="L17" s="37"/>
      <c r="M17" s="37"/>
      <c r="N17" s="37"/>
      <c r="O17" s="37"/>
      <c r="P17" s="37"/>
      <c r="Q17" s="37"/>
      <c r="R17" s="37"/>
      <c r="S17" s="37"/>
      <c r="T17" s="37"/>
      <c r="U17" s="37"/>
      <c r="V17" s="37"/>
      <c r="W17" s="37"/>
      <c r="X17" s="37"/>
      <c r="Y17" s="37"/>
      <c r="Z17" s="37"/>
      <c r="AA17" s="37"/>
      <c r="AB17" s="37"/>
      <c r="AC17" s="37"/>
      <c r="AD17" s="37"/>
      <c r="AE17" s="37"/>
      <c r="AF17" s="37"/>
      <c r="AG17" s="37"/>
    </row>
    <row r="18" spans="1:33" ht="13.5" customHeight="1">
      <c r="A18" s="37"/>
      <c r="B18" s="37"/>
      <c r="C18" s="18" t="s">
        <v>37</v>
      </c>
      <c r="D18" s="26">
        <f t="shared" ca="1" si="0"/>
        <v>67914.81240000001</v>
      </c>
      <c r="E18" s="40">
        <f t="shared" ca="1" si="1"/>
        <v>3.5000000000000003E-2</v>
      </c>
      <c r="F18" s="37"/>
      <c r="G18" s="37"/>
      <c r="H18" s="39"/>
      <c r="I18" s="39"/>
      <c r="J18" s="39"/>
      <c r="K18" s="37"/>
      <c r="L18" s="37"/>
      <c r="M18" s="37"/>
      <c r="N18" s="37"/>
      <c r="O18" s="37"/>
      <c r="P18" s="37"/>
      <c r="Q18" s="37"/>
      <c r="R18" s="37"/>
      <c r="S18" s="37"/>
      <c r="T18" s="37"/>
      <c r="U18" s="37"/>
      <c r="V18" s="37"/>
      <c r="W18" s="37"/>
      <c r="X18" s="37"/>
      <c r="Y18" s="37"/>
      <c r="Z18" s="37"/>
      <c r="AA18" s="37"/>
      <c r="AB18" s="37"/>
      <c r="AC18" s="37"/>
      <c r="AD18" s="37"/>
      <c r="AE18" s="37"/>
      <c r="AF18" s="37"/>
      <c r="AG18" s="37"/>
    </row>
    <row r="19" spans="1:33" ht="13.5" customHeight="1">
      <c r="A19" s="37"/>
      <c r="B19" s="37"/>
      <c r="C19" s="37"/>
      <c r="D19" s="38"/>
      <c r="E19" s="37"/>
      <c r="F19" s="37"/>
      <c r="G19" s="37"/>
      <c r="H19" s="39"/>
      <c r="I19" s="39"/>
      <c r="J19" s="39"/>
      <c r="K19" s="37"/>
      <c r="L19" s="37"/>
      <c r="M19" s="37"/>
      <c r="N19" s="37"/>
      <c r="O19" s="37"/>
      <c r="P19" s="37"/>
      <c r="Q19" s="37"/>
      <c r="R19" s="37"/>
      <c r="S19" s="37"/>
      <c r="T19" s="37"/>
      <c r="U19" s="37"/>
      <c r="V19" s="37"/>
      <c r="W19" s="37"/>
      <c r="X19" s="37"/>
      <c r="Y19" s="37"/>
      <c r="Z19" s="37"/>
      <c r="AA19" s="37"/>
      <c r="AB19" s="37"/>
      <c r="AC19" s="37"/>
      <c r="AD19" s="37"/>
      <c r="AE19" s="37"/>
      <c r="AF19" s="37"/>
      <c r="AG19" s="37"/>
    </row>
    <row r="20" spans="1:33" ht="13.5" customHeight="1">
      <c r="A20" s="37"/>
      <c r="B20" s="37"/>
      <c r="C20" s="32" t="s">
        <v>138</v>
      </c>
      <c r="D20" s="38"/>
      <c r="E20" s="37"/>
      <c r="F20" s="37"/>
      <c r="G20" s="37"/>
      <c r="H20" s="39"/>
      <c r="I20" s="39"/>
      <c r="J20" s="39"/>
      <c r="K20" s="37"/>
      <c r="L20" s="37"/>
      <c r="M20" s="37"/>
      <c r="N20" s="37"/>
      <c r="O20" s="37"/>
      <c r="P20" s="37"/>
      <c r="Q20" s="37"/>
      <c r="R20" s="37"/>
      <c r="S20" s="37"/>
      <c r="T20" s="37"/>
      <c r="U20" s="37"/>
      <c r="V20" s="37"/>
      <c r="W20" s="37"/>
      <c r="X20" s="37"/>
      <c r="Y20" s="37"/>
      <c r="Z20" s="37"/>
      <c r="AA20" s="37"/>
      <c r="AB20" s="37"/>
      <c r="AC20" s="37"/>
      <c r="AD20" s="37"/>
      <c r="AE20" s="37"/>
      <c r="AF20" s="37"/>
      <c r="AG20" s="37"/>
    </row>
    <row r="21" spans="1:33" ht="30" customHeight="1">
      <c r="A21" s="37"/>
      <c r="B21" s="37"/>
      <c r="C21" s="534" t="s">
        <v>32</v>
      </c>
      <c r="D21" s="504" t="s">
        <v>139</v>
      </c>
      <c r="E21" s="505" t="s">
        <v>140</v>
      </c>
      <c r="F21" s="505" t="s">
        <v>141</v>
      </c>
      <c r="G21" s="505" t="s">
        <v>142</v>
      </c>
      <c r="H21" s="505" t="s">
        <v>143</v>
      </c>
      <c r="I21" s="505" t="s">
        <v>144</v>
      </c>
      <c r="J21" s="505" t="s">
        <v>145</v>
      </c>
      <c r="K21" s="37"/>
      <c r="L21" s="37"/>
      <c r="M21" s="37"/>
      <c r="N21" s="37"/>
      <c r="O21" s="37"/>
      <c r="P21" s="37"/>
      <c r="Q21" s="37"/>
      <c r="R21" s="37"/>
      <c r="S21" s="37"/>
      <c r="T21" s="37"/>
      <c r="U21" s="37"/>
      <c r="V21" s="37"/>
      <c r="W21" s="37"/>
      <c r="X21" s="37"/>
      <c r="Y21" s="37"/>
      <c r="Z21" s="37"/>
      <c r="AA21" s="37"/>
      <c r="AB21" s="37"/>
      <c r="AC21" s="37"/>
      <c r="AD21" s="37"/>
      <c r="AE21" s="37"/>
      <c r="AF21" s="37"/>
      <c r="AG21" s="37"/>
    </row>
    <row r="22" spans="1:33" ht="13.5" customHeight="1">
      <c r="A22" s="37"/>
      <c r="B22" s="535"/>
      <c r="C22" s="716" t="s">
        <v>146</v>
      </c>
      <c r="D22" s="717"/>
      <c r="E22" s="41">
        <f t="shared" ref="E22:E111" si="2">IF(NOT(G22=$C$18),D22,0)</f>
        <v>0</v>
      </c>
      <c r="F22" s="41">
        <f t="shared" ref="F22:F111" si="3">IF(G22=$C$18,D22,0)</f>
        <v>0</v>
      </c>
      <c r="G22" s="729"/>
      <c r="H22" s="726">
        <v>80.748720000000006</v>
      </c>
      <c r="I22" s="42">
        <f t="shared" ref="I22:I111" si="4">IFERROR(H22/VLOOKUP(G22,$C$15:$D$18,2,FALSE),0)*D22</f>
        <v>0</v>
      </c>
      <c r="J22" s="43">
        <f t="shared" ref="J22:J111" ca="1" si="5">SUMIF($G:$I,G22,$I:$I)</f>
        <v>0</v>
      </c>
      <c r="K22" s="37"/>
      <c r="L22" s="505" t="s">
        <v>147</v>
      </c>
      <c r="M22" s="37"/>
      <c r="N22" s="37"/>
      <c r="O22" s="37"/>
      <c r="P22" s="37"/>
      <c r="Q22" s="37"/>
      <c r="R22" s="37"/>
      <c r="S22" s="37"/>
      <c r="T22" s="37"/>
      <c r="U22" s="37"/>
      <c r="V22" s="37"/>
      <c r="W22" s="37"/>
      <c r="X22" s="37"/>
      <c r="Y22" s="37"/>
      <c r="Z22" s="37"/>
      <c r="AA22" s="37"/>
      <c r="AB22" s="37"/>
      <c r="AC22" s="37"/>
      <c r="AD22" s="37"/>
      <c r="AE22" s="37"/>
      <c r="AF22" s="37"/>
      <c r="AG22" s="37"/>
    </row>
    <row r="23" spans="1:33" ht="13.5" customHeight="1">
      <c r="A23" s="37"/>
      <c r="B23" s="535"/>
      <c r="C23" s="716" t="s">
        <v>37</v>
      </c>
      <c r="D23" s="717">
        <v>3.5</v>
      </c>
      <c r="E23" s="41">
        <f t="shared" si="2"/>
        <v>0</v>
      </c>
      <c r="F23" s="41">
        <f t="shared" si="3"/>
        <v>3.5</v>
      </c>
      <c r="G23" s="729" t="s">
        <v>37</v>
      </c>
      <c r="H23" s="726">
        <v>67914.81240000001</v>
      </c>
      <c r="I23" s="42">
        <f t="shared" ca="1" si="4"/>
        <v>3.5</v>
      </c>
      <c r="J23" s="43">
        <f t="shared" ca="1" si="5"/>
        <v>3.5</v>
      </c>
      <c r="K23" s="37"/>
      <c r="L23" s="17" t="s">
        <v>149</v>
      </c>
      <c r="M23" s="44">
        <f ca="1">SUMPRODUCT(D15:D17,E15:E17)/SUM(D15:D17)</f>
        <v>5.8405655261550379E-2</v>
      </c>
      <c r="N23" s="37"/>
      <c r="O23" s="37"/>
      <c r="P23" s="37"/>
      <c r="Q23" s="37"/>
      <c r="R23" s="37"/>
      <c r="S23" s="37"/>
      <c r="T23" s="37"/>
      <c r="U23" s="37"/>
      <c r="V23" s="37"/>
      <c r="W23" s="37"/>
      <c r="X23" s="37"/>
      <c r="Y23" s="37"/>
      <c r="Z23" s="37"/>
      <c r="AA23" s="37"/>
      <c r="AB23" s="37"/>
      <c r="AC23" s="37"/>
      <c r="AD23" s="37"/>
      <c r="AE23" s="37"/>
      <c r="AF23" s="37"/>
      <c r="AG23" s="37"/>
    </row>
    <row r="24" spans="1:33" ht="13.5" customHeight="1">
      <c r="A24" s="37"/>
      <c r="B24" s="535"/>
      <c r="C24" s="718" t="s">
        <v>150</v>
      </c>
      <c r="D24" s="717"/>
      <c r="E24" s="41">
        <f t="shared" si="2"/>
        <v>0</v>
      </c>
      <c r="F24" s="41">
        <f t="shared" si="3"/>
        <v>0</v>
      </c>
      <c r="G24" s="729"/>
      <c r="H24" s="726">
        <v>848.9831999999999</v>
      </c>
      <c r="I24" s="42">
        <f t="shared" si="4"/>
        <v>0</v>
      </c>
      <c r="J24" s="43">
        <f t="shared" ca="1" si="5"/>
        <v>0</v>
      </c>
      <c r="K24" s="37"/>
      <c r="L24" s="18" t="s">
        <v>151</v>
      </c>
      <c r="M24" s="45">
        <f ca="1">ROUND(M23*100,2)</f>
        <v>5.84</v>
      </c>
      <c r="N24" s="37"/>
      <c r="O24" s="37"/>
      <c r="P24" s="37"/>
      <c r="Q24" s="37"/>
      <c r="R24" s="37"/>
      <c r="S24" s="37"/>
      <c r="T24" s="37"/>
      <c r="U24" s="37"/>
      <c r="V24" s="37"/>
      <c r="W24" s="37"/>
      <c r="X24" s="37"/>
      <c r="Y24" s="37"/>
      <c r="Z24" s="37"/>
      <c r="AA24" s="37"/>
      <c r="AB24" s="37"/>
      <c r="AC24" s="37"/>
      <c r="AD24" s="37"/>
      <c r="AE24" s="37"/>
      <c r="AF24" s="37"/>
      <c r="AG24" s="37"/>
    </row>
    <row r="25" spans="1:33" ht="13.5" customHeight="1">
      <c r="A25" s="37"/>
      <c r="B25" s="535"/>
      <c r="C25" s="716" t="s">
        <v>36</v>
      </c>
      <c r="D25" s="717">
        <v>6</v>
      </c>
      <c r="E25" s="41">
        <f t="shared" si="2"/>
        <v>6</v>
      </c>
      <c r="F25" s="41">
        <f t="shared" si="3"/>
        <v>0</v>
      </c>
      <c r="G25" s="729" t="s">
        <v>153</v>
      </c>
      <c r="H25" s="726">
        <v>3350.4696599999997</v>
      </c>
      <c r="I25" s="42">
        <f t="shared" ca="1" si="4"/>
        <v>6</v>
      </c>
      <c r="J25" s="43">
        <f t="shared" ca="1" si="5"/>
        <v>6</v>
      </c>
      <c r="K25" s="37"/>
      <c r="L25" s="37"/>
      <c r="M25" s="37"/>
      <c r="N25" s="37"/>
      <c r="O25" s="37"/>
      <c r="P25" s="37"/>
      <c r="Q25" s="37"/>
      <c r="R25" s="37"/>
      <c r="S25" s="37"/>
      <c r="T25" s="37"/>
      <c r="U25" s="37"/>
      <c r="V25" s="37"/>
      <c r="W25" s="37"/>
      <c r="X25" s="37"/>
      <c r="Y25" s="37"/>
      <c r="Z25" s="37"/>
      <c r="AA25" s="37"/>
      <c r="AB25" s="37"/>
      <c r="AC25" s="37"/>
      <c r="AD25" s="37"/>
      <c r="AE25" s="37"/>
      <c r="AF25" s="37"/>
      <c r="AG25" s="37"/>
    </row>
    <row r="26" spans="1:33" ht="13.5" customHeight="1">
      <c r="A26" s="37"/>
      <c r="B26" s="535"/>
      <c r="C26" s="716" t="s">
        <v>1375</v>
      </c>
      <c r="D26" s="717">
        <v>5</v>
      </c>
      <c r="E26" s="41">
        <f t="shared" si="2"/>
        <v>5</v>
      </c>
      <c r="F26" s="41">
        <f t="shared" si="3"/>
        <v>0</v>
      </c>
      <c r="G26" s="729" t="s">
        <v>36</v>
      </c>
      <c r="H26" s="726">
        <v>2678.9192800000001</v>
      </c>
      <c r="I26" s="42">
        <f t="shared" ca="1" si="4"/>
        <v>5</v>
      </c>
      <c r="J26" s="43">
        <f t="shared" ca="1" si="5"/>
        <v>5</v>
      </c>
      <c r="K26" s="37"/>
      <c r="L26" s="46" t="s">
        <v>152</v>
      </c>
      <c r="M26" s="37"/>
      <c r="N26" s="37"/>
      <c r="O26" s="37"/>
      <c r="P26" s="37"/>
      <c r="Q26" s="37"/>
      <c r="R26" s="37"/>
      <c r="S26" s="37"/>
      <c r="T26" s="37"/>
      <c r="U26" s="37"/>
      <c r="V26" s="37"/>
      <c r="W26" s="37"/>
      <c r="X26" s="37"/>
      <c r="Y26" s="37"/>
      <c r="Z26" s="37"/>
      <c r="AA26" s="37"/>
      <c r="AB26" s="37"/>
      <c r="AC26" s="37"/>
      <c r="AD26" s="37"/>
      <c r="AE26" s="37"/>
      <c r="AF26" s="37"/>
      <c r="AG26" s="37"/>
    </row>
    <row r="27" spans="1:33" ht="13.5" customHeight="1">
      <c r="A27" s="37"/>
      <c r="B27" s="535"/>
      <c r="C27" s="716" t="s">
        <v>1376</v>
      </c>
      <c r="D27" s="717">
        <v>6</v>
      </c>
      <c r="E27" s="41">
        <f t="shared" si="2"/>
        <v>6</v>
      </c>
      <c r="F27" s="41">
        <f t="shared" si="3"/>
        <v>0</v>
      </c>
      <c r="G27" s="729" t="s">
        <v>137</v>
      </c>
      <c r="H27" s="726">
        <v>7785.4783200000002</v>
      </c>
      <c r="I27" s="42">
        <f t="shared" ca="1" si="4"/>
        <v>4.3360069378977482</v>
      </c>
      <c r="J27" s="43">
        <f t="shared" ca="1" si="5"/>
        <v>6</v>
      </c>
      <c r="K27" s="37"/>
      <c r="L27" s="520" t="s">
        <v>154</v>
      </c>
      <c r="M27" s="47">
        <v>0.03</v>
      </c>
      <c r="N27" s="37"/>
      <c r="O27" s="37"/>
      <c r="P27" s="37"/>
      <c r="Q27" s="37"/>
      <c r="R27" s="37"/>
      <c r="S27" s="37"/>
      <c r="T27" s="37"/>
      <c r="U27" s="37"/>
      <c r="V27" s="37"/>
      <c r="W27" s="37"/>
      <c r="X27" s="37"/>
      <c r="Y27" s="37"/>
      <c r="Z27" s="37"/>
      <c r="AA27" s="37"/>
      <c r="AB27" s="37"/>
      <c r="AC27" s="37"/>
      <c r="AD27" s="37"/>
      <c r="AE27" s="37"/>
      <c r="AF27" s="37"/>
      <c r="AG27" s="37"/>
    </row>
    <row r="28" spans="1:33" ht="13.5" customHeight="1">
      <c r="A28" s="37"/>
      <c r="B28" s="535"/>
      <c r="C28" s="716" t="s">
        <v>158</v>
      </c>
      <c r="D28" s="717">
        <v>6</v>
      </c>
      <c r="E28" s="41">
        <f t="shared" si="2"/>
        <v>6</v>
      </c>
      <c r="F28" s="41">
        <f t="shared" si="3"/>
        <v>0</v>
      </c>
      <c r="G28" s="729" t="s">
        <v>137</v>
      </c>
      <c r="H28" s="726">
        <v>2987.7678000000001</v>
      </c>
      <c r="I28" s="42">
        <f t="shared" ca="1" si="4"/>
        <v>1.6639930621022516</v>
      </c>
      <c r="J28" s="43">
        <f t="shared" ca="1" si="5"/>
        <v>6</v>
      </c>
      <c r="K28" s="37"/>
      <c r="L28" s="520" t="s">
        <v>155</v>
      </c>
      <c r="M28" s="47">
        <v>0.06</v>
      </c>
      <c r="N28" s="37"/>
      <c r="O28" s="37"/>
      <c r="P28" s="37"/>
      <c r="Q28" s="37"/>
      <c r="R28" s="37"/>
      <c r="S28" s="37"/>
      <c r="T28" s="37"/>
      <c r="U28" s="37"/>
      <c r="V28" s="37"/>
      <c r="W28" s="37"/>
      <c r="X28" s="37"/>
      <c r="Y28" s="37"/>
      <c r="Z28" s="37"/>
      <c r="AA28" s="37"/>
      <c r="AB28" s="37"/>
      <c r="AC28" s="37"/>
      <c r="AD28" s="37"/>
      <c r="AE28" s="37"/>
      <c r="AF28" s="37"/>
      <c r="AG28" s="37"/>
    </row>
    <row r="29" spans="1:33" ht="13.5" customHeight="1">
      <c r="A29" s="37"/>
      <c r="B29" s="535"/>
      <c r="C29" s="716" t="s">
        <v>159</v>
      </c>
      <c r="D29" s="717">
        <v>3.64</v>
      </c>
      <c r="E29" s="41">
        <f t="shared" si="2"/>
        <v>3.64</v>
      </c>
      <c r="F29" s="41">
        <f t="shared" si="3"/>
        <v>0</v>
      </c>
      <c r="G29" s="729"/>
      <c r="H29" s="726">
        <v>2373.7481600000001</v>
      </c>
      <c r="I29" s="42">
        <f t="shared" si="4"/>
        <v>0</v>
      </c>
      <c r="J29" s="43">
        <f t="shared" ca="1" si="5"/>
        <v>0</v>
      </c>
      <c r="K29" s="37"/>
      <c r="L29" s="520" t="s">
        <v>156</v>
      </c>
      <c r="M29" s="47">
        <v>4.4999999999999998E-2</v>
      </c>
      <c r="N29" s="37"/>
      <c r="O29" s="37"/>
      <c r="P29" s="37"/>
      <c r="Q29" s="37"/>
      <c r="R29" s="37"/>
      <c r="S29" s="37"/>
      <c r="T29" s="37"/>
      <c r="U29" s="37"/>
      <c r="V29" s="37"/>
      <c r="W29" s="37"/>
      <c r="X29" s="37"/>
      <c r="Y29" s="37"/>
      <c r="Z29" s="37"/>
      <c r="AA29" s="37"/>
      <c r="AB29" s="37"/>
      <c r="AC29" s="37"/>
      <c r="AD29" s="37"/>
      <c r="AE29" s="37"/>
      <c r="AF29" s="37"/>
      <c r="AG29" s="37"/>
    </row>
    <row r="30" spans="1:33" ht="13.5" customHeight="1">
      <c r="A30" s="37"/>
      <c r="B30" s="535"/>
      <c r="C30" s="716" t="s">
        <v>160</v>
      </c>
      <c r="D30" s="717">
        <v>4.5</v>
      </c>
      <c r="E30" s="41">
        <f t="shared" si="2"/>
        <v>4.5</v>
      </c>
      <c r="F30" s="41">
        <f t="shared" si="3"/>
        <v>0</v>
      </c>
      <c r="G30" s="729"/>
      <c r="H30" s="726">
        <v>28727.856820000001</v>
      </c>
      <c r="I30" s="42">
        <f t="shared" si="4"/>
        <v>0</v>
      </c>
      <c r="J30" s="43">
        <f t="shared" ca="1" si="5"/>
        <v>0</v>
      </c>
      <c r="K30" s="37"/>
      <c r="L30" s="520" t="s">
        <v>157</v>
      </c>
      <c r="M30" s="47">
        <v>3.5000000000000003E-2</v>
      </c>
      <c r="N30" s="37"/>
      <c r="O30" s="37"/>
      <c r="P30" s="37"/>
      <c r="Q30" s="37"/>
      <c r="R30" s="37"/>
      <c r="S30" s="37"/>
      <c r="T30" s="37"/>
      <c r="U30" s="37"/>
      <c r="V30" s="37"/>
      <c r="W30" s="37"/>
      <c r="X30" s="37"/>
      <c r="Y30" s="37"/>
      <c r="Z30" s="37"/>
      <c r="AA30" s="37"/>
      <c r="AB30" s="37"/>
      <c r="AC30" s="37"/>
      <c r="AD30" s="37"/>
      <c r="AE30" s="37"/>
      <c r="AF30" s="37"/>
      <c r="AG30" s="37"/>
    </row>
    <row r="31" spans="1:33" ht="13.5" customHeight="1">
      <c r="A31" s="37"/>
      <c r="B31" s="535"/>
      <c r="C31" s="716" t="s">
        <v>161</v>
      </c>
      <c r="D31" s="717">
        <v>3</v>
      </c>
      <c r="E31" s="41">
        <f t="shared" si="2"/>
        <v>3</v>
      </c>
      <c r="F31" s="41">
        <f t="shared" si="3"/>
        <v>0</v>
      </c>
      <c r="G31" s="729"/>
      <c r="H31" s="726">
        <v>48767.432980000005</v>
      </c>
      <c r="I31" s="42">
        <f t="shared" si="4"/>
        <v>0</v>
      </c>
      <c r="J31" s="43">
        <f t="shared" ca="1" si="5"/>
        <v>0</v>
      </c>
      <c r="K31" s="37"/>
      <c r="L31" s="37"/>
      <c r="M31" s="37"/>
      <c r="N31" s="37"/>
      <c r="O31" s="37"/>
      <c r="P31" s="37"/>
      <c r="Q31" s="37"/>
      <c r="R31" s="37"/>
      <c r="S31" s="37"/>
      <c r="T31" s="37"/>
      <c r="U31" s="37"/>
      <c r="V31" s="37"/>
      <c r="W31" s="37"/>
      <c r="X31" s="37"/>
      <c r="Y31" s="37"/>
      <c r="Z31" s="37"/>
      <c r="AA31" s="37"/>
      <c r="AB31" s="37"/>
      <c r="AC31" s="37"/>
      <c r="AD31" s="37"/>
      <c r="AE31" s="37"/>
      <c r="AF31" s="37"/>
      <c r="AG31" s="37"/>
    </row>
    <row r="32" spans="1:33" ht="13.5" customHeight="1">
      <c r="A32" s="37"/>
      <c r="B32" s="535"/>
      <c r="C32" s="716"/>
      <c r="D32" s="717"/>
      <c r="E32" s="41">
        <f t="shared" si="2"/>
        <v>0</v>
      </c>
      <c r="F32" s="41">
        <f t="shared" si="3"/>
        <v>0</v>
      </c>
      <c r="G32" s="729"/>
      <c r="H32" s="726"/>
      <c r="I32" s="42">
        <f t="shared" si="4"/>
        <v>0</v>
      </c>
      <c r="J32" s="43">
        <f t="shared" ca="1" si="5"/>
        <v>0</v>
      </c>
      <c r="K32" s="37"/>
      <c r="L32" s="37"/>
      <c r="M32" s="37"/>
      <c r="N32" s="37"/>
      <c r="O32" s="37"/>
      <c r="P32" s="37"/>
      <c r="Q32" s="37"/>
      <c r="R32" s="37"/>
      <c r="S32" s="37"/>
      <c r="T32" s="37"/>
      <c r="U32" s="37"/>
      <c r="V32" s="37"/>
      <c r="W32" s="37"/>
      <c r="X32" s="37"/>
      <c r="Y32" s="37"/>
      <c r="Z32" s="37"/>
      <c r="AA32" s="37"/>
      <c r="AB32" s="37"/>
      <c r="AC32" s="37"/>
      <c r="AD32" s="37"/>
      <c r="AE32" s="37"/>
      <c r="AF32" s="37"/>
      <c r="AG32" s="37"/>
    </row>
    <row r="33" spans="1:33" ht="13.5" customHeight="1">
      <c r="A33" s="37"/>
      <c r="B33" s="535"/>
      <c r="C33" s="716"/>
      <c r="D33" s="717"/>
      <c r="E33" s="41">
        <f t="shared" si="2"/>
        <v>0</v>
      </c>
      <c r="F33" s="41">
        <f t="shared" si="3"/>
        <v>0</v>
      </c>
      <c r="G33" s="729"/>
      <c r="H33" s="726"/>
      <c r="I33" s="42">
        <f t="shared" si="4"/>
        <v>0</v>
      </c>
      <c r="J33" s="43">
        <f t="shared" ca="1" si="5"/>
        <v>0</v>
      </c>
      <c r="K33" s="37"/>
      <c r="L33" s="37"/>
      <c r="M33" s="37"/>
      <c r="N33" s="48"/>
      <c r="O33" s="49"/>
      <c r="P33" s="37"/>
      <c r="Q33" s="37"/>
      <c r="R33" s="37"/>
      <c r="S33" s="37"/>
      <c r="T33" s="37"/>
      <c r="U33" s="37"/>
      <c r="V33" s="37"/>
      <c r="W33" s="37"/>
      <c r="X33" s="37"/>
      <c r="Y33" s="37"/>
      <c r="Z33" s="37"/>
      <c r="AA33" s="37"/>
      <c r="AB33" s="37"/>
      <c r="AC33" s="37"/>
      <c r="AD33" s="37"/>
      <c r="AE33" s="37"/>
      <c r="AF33" s="37"/>
      <c r="AG33" s="37"/>
    </row>
    <row r="34" spans="1:33" ht="13.5" customHeight="1">
      <c r="A34" s="37"/>
      <c r="B34" s="535"/>
      <c r="C34" s="716"/>
      <c r="D34" s="717"/>
      <c r="E34" s="41">
        <f t="shared" si="2"/>
        <v>0</v>
      </c>
      <c r="F34" s="41">
        <f t="shared" si="3"/>
        <v>0</v>
      </c>
      <c r="G34" s="729"/>
      <c r="H34" s="726"/>
      <c r="I34" s="42">
        <f t="shared" si="4"/>
        <v>0</v>
      </c>
      <c r="J34" s="43">
        <f t="shared" ca="1" si="5"/>
        <v>0</v>
      </c>
      <c r="K34" s="37"/>
      <c r="L34" s="37"/>
      <c r="M34" s="37"/>
      <c r="N34" s="37"/>
      <c r="O34" s="37"/>
      <c r="P34" s="37"/>
      <c r="Q34" s="37"/>
      <c r="R34" s="37"/>
      <c r="S34" s="37"/>
      <c r="T34" s="37"/>
      <c r="U34" s="37"/>
      <c r="V34" s="37"/>
      <c r="W34" s="37"/>
      <c r="X34" s="37"/>
      <c r="Y34" s="37"/>
      <c r="Z34" s="37"/>
      <c r="AA34" s="37"/>
      <c r="AB34" s="37"/>
      <c r="AC34" s="37"/>
      <c r="AD34" s="37"/>
      <c r="AE34" s="37"/>
      <c r="AF34" s="37"/>
      <c r="AG34" s="37"/>
    </row>
    <row r="35" spans="1:33" ht="13.5" customHeight="1">
      <c r="A35" s="37"/>
      <c r="B35" s="535"/>
      <c r="C35" s="716"/>
      <c r="D35" s="717"/>
      <c r="E35" s="41">
        <f t="shared" si="2"/>
        <v>0</v>
      </c>
      <c r="F35" s="41">
        <f t="shared" si="3"/>
        <v>0</v>
      </c>
      <c r="G35" s="729"/>
      <c r="H35" s="726"/>
      <c r="I35" s="42">
        <f t="shared" si="4"/>
        <v>0</v>
      </c>
      <c r="J35" s="43">
        <f t="shared" ca="1" si="5"/>
        <v>0</v>
      </c>
      <c r="K35" s="37"/>
      <c r="L35" s="37"/>
      <c r="M35" s="37"/>
      <c r="N35" s="37"/>
      <c r="O35" s="37"/>
      <c r="P35" s="37"/>
      <c r="Q35" s="37"/>
      <c r="R35" s="37"/>
      <c r="S35" s="37"/>
      <c r="T35" s="37"/>
      <c r="U35" s="37"/>
      <c r="V35" s="37"/>
      <c r="W35" s="37"/>
      <c r="X35" s="37"/>
      <c r="Y35" s="37"/>
      <c r="Z35" s="37"/>
      <c r="AA35" s="37"/>
      <c r="AB35" s="37"/>
      <c r="AC35" s="37"/>
      <c r="AD35" s="37"/>
      <c r="AE35" s="37"/>
      <c r="AF35" s="37"/>
      <c r="AG35" s="37"/>
    </row>
    <row r="36" spans="1:33" ht="13.5" customHeight="1">
      <c r="A36" s="37"/>
      <c r="B36" s="535"/>
      <c r="C36" s="716"/>
      <c r="D36" s="717"/>
      <c r="E36" s="41">
        <f t="shared" si="2"/>
        <v>0</v>
      </c>
      <c r="F36" s="41">
        <f t="shared" si="3"/>
        <v>0</v>
      </c>
      <c r="G36" s="729"/>
      <c r="H36" s="726"/>
      <c r="I36" s="42">
        <f t="shared" si="4"/>
        <v>0</v>
      </c>
      <c r="J36" s="43">
        <f t="shared" ca="1" si="5"/>
        <v>0</v>
      </c>
      <c r="K36" s="37"/>
      <c r="L36" s="37"/>
      <c r="M36" s="37"/>
      <c r="N36" s="37"/>
      <c r="O36" s="37"/>
      <c r="P36" s="37"/>
      <c r="Q36" s="37"/>
      <c r="R36" s="37"/>
      <c r="S36" s="37"/>
      <c r="T36" s="37"/>
      <c r="U36" s="37"/>
      <c r="V36" s="37"/>
      <c r="W36" s="37"/>
      <c r="X36" s="37"/>
      <c r="Y36" s="37"/>
      <c r="Z36" s="37"/>
      <c r="AA36" s="37"/>
      <c r="AB36" s="37"/>
      <c r="AC36" s="37"/>
      <c r="AD36" s="37"/>
      <c r="AE36" s="37"/>
      <c r="AF36" s="37"/>
      <c r="AG36" s="37"/>
    </row>
    <row r="37" spans="1:33" ht="13.5" customHeight="1">
      <c r="A37" s="37"/>
      <c r="B37" s="535"/>
      <c r="C37" s="716"/>
      <c r="D37" s="717"/>
      <c r="E37" s="41">
        <f t="shared" si="2"/>
        <v>0</v>
      </c>
      <c r="F37" s="41">
        <f t="shared" si="3"/>
        <v>0</v>
      </c>
      <c r="G37" s="729"/>
      <c r="H37" s="726"/>
      <c r="I37" s="42">
        <f t="shared" si="4"/>
        <v>0</v>
      </c>
      <c r="J37" s="43">
        <f t="shared" ca="1" si="5"/>
        <v>0</v>
      </c>
      <c r="K37" s="37"/>
      <c r="L37" s="37"/>
      <c r="M37" s="37"/>
      <c r="N37" s="37"/>
      <c r="O37" s="37"/>
      <c r="P37" s="37"/>
      <c r="Q37" s="37"/>
      <c r="R37" s="37"/>
      <c r="S37" s="37"/>
      <c r="T37" s="37"/>
      <c r="U37" s="37"/>
      <c r="V37" s="37"/>
      <c r="W37" s="37"/>
      <c r="X37" s="37"/>
      <c r="Y37" s="37"/>
      <c r="Z37" s="37"/>
      <c r="AA37" s="37"/>
      <c r="AB37" s="37"/>
      <c r="AC37" s="37"/>
      <c r="AD37" s="37"/>
      <c r="AE37" s="37"/>
      <c r="AF37" s="37"/>
      <c r="AG37" s="37"/>
    </row>
    <row r="38" spans="1:33" ht="13.5" customHeight="1">
      <c r="A38" s="37"/>
      <c r="B38" s="536"/>
      <c r="C38" s="719"/>
      <c r="D38" s="717"/>
      <c r="E38" s="41">
        <f t="shared" si="2"/>
        <v>0</v>
      </c>
      <c r="F38" s="41">
        <f t="shared" si="3"/>
        <v>0</v>
      </c>
      <c r="G38" s="729"/>
      <c r="H38" s="727"/>
      <c r="I38" s="42">
        <f t="shared" si="4"/>
        <v>0</v>
      </c>
      <c r="J38" s="43">
        <f t="shared" ca="1" si="5"/>
        <v>0</v>
      </c>
      <c r="K38" s="37"/>
      <c r="L38" s="37"/>
      <c r="M38" s="37"/>
      <c r="N38" s="37"/>
      <c r="O38" s="37"/>
      <c r="P38" s="37"/>
      <c r="Q38" s="37"/>
      <c r="R38" s="37"/>
      <c r="S38" s="37"/>
      <c r="T38" s="37"/>
      <c r="U38" s="37"/>
      <c r="V38" s="37"/>
      <c r="W38" s="37"/>
      <c r="X38" s="37"/>
      <c r="Y38" s="37"/>
      <c r="Z38" s="37"/>
      <c r="AA38" s="37"/>
      <c r="AB38" s="37"/>
      <c r="AC38" s="37"/>
      <c r="AD38" s="37"/>
      <c r="AE38" s="37"/>
      <c r="AF38" s="37"/>
      <c r="AG38" s="37"/>
    </row>
    <row r="39" spans="1:33" ht="13.5" customHeight="1">
      <c r="A39" s="37"/>
      <c r="B39" s="537"/>
      <c r="C39" s="720"/>
      <c r="D39" s="717"/>
      <c r="E39" s="41">
        <f t="shared" si="2"/>
        <v>0</v>
      </c>
      <c r="F39" s="41">
        <f t="shared" si="3"/>
        <v>0</v>
      </c>
      <c r="G39" s="729"/>
      <c r="H39" s="727"/>
      <c r="I39" s="42">
        <f t="shared" si="4"/>
        <v>0</v>
      </c>
      <c r="J39" s="43">
        <f t="shared" ca="1" si="5"/>
        <v>0</v>
      </c>
      <c r="K39" s="37"/>
      <c r="L39" s="37"/>
      <c r="M39" s="37"/>
      <c r="N39" s="50"/>
      <c r="O39" s="37"/>
      <c r="P39" s="37"/>
      <c r="Q39" s="37"/>
      <c r="R39" s="37"/>
      <c r="S39" s="37"/>
      <c r="T39" s="37"/>
      <c r="U39" s="37"/>
      <c r="V39" s="37"/>
      <c r="W39" s="37"/>
      <c r="X39" s="37"/>
      <c r="Y39" s="37"/>
      <c r="Z39" s="37"/>
      <c r="AA39" s="37"/>
      <c r="AB39" s="37"/>
      <c r="AC39" s="37"/>
      <c r="AD39" s="37"/>
      <c r="AE39" s="37"/>
      <c r="AF39" s="37"/>
      <c r="AG39" s="37"/>
    </row>
    <row r="40" spans="1:33" ht="13.5" customHeight="1">
      <c r="A40" s="37"/>
      <c r="B40" s="537"/>
      <c r="C40" s="720"/>
      <c r="D40" s="717"/>
      <c r="E40" s="41">
        <f t="shared" si="2"/>
        <v>0</v>
      </c>
      <c r="F40" s="41">
        <f t="shared" si="3"/>
        <v>0</v>
      </c>
      <c r="G40" s="729"/>
      <c r="H40" s="727"/>
      <c r="I40" s="42">
        <f t="shared" si="4"/>
        <v>0</v>
      </c>
      <c r="J40" s="43">
        <f t="shared" ca="1" si="5"/>
        <v>0</v>
      </c>
      <c r="K40" s="37"/>
      <c r="L40" s="37"/>
      <c r="M40" s="37"/>
      <c r="N40" s="37"/>
      <c r="O40" s="37"/>
      <c r="P40" s="37"/>
      <c r="Q40" s="37"/>
      <c r="R40" s="37"/>
      <c r="S40" s="37"/>
      <c r="T40" s="37"/>
      <c r="U40" s="37"/>
      <c r="V40" s="37"/>
      <c r="W40" s="37"/>
      <c r="X40" s="37"/>
      <c r="Y40" s="37"/>
      <c r="Z40" s="37"/>
      <c r="AA40" s="37"/>
      <c r="AB40" s="37"/>
      <c r="AC40" s="37"/>
      <c r="AD40" s="37"/>
      <c r="AE40" s="37"/>
      <c r="AF40" s="37"/>
      <c r="AG40" s="37"/>
    </row>
    <row r="41" spans="1:33" ht="13.5" customHeight="1">
      <c r="A41" s="37"/>
      <c r="B41" s="537"/>
      <c r="C41" s="720"/>
      <c r="D41" s="717"/>
      <c r="E41" s="41">
        <f t="shared" si="2"/>
        <v>0</v>
      </c>
      <c r="F41" s="41">
        <f t="shared" si="3"/>
        <v>0</v>
      </c>
      <c r="G41" s="729"/>
      <c r="H41" s="727"/>
      <c r="I41" s="42">
        <f t="shared" si="4"/>
        <v>0</v>
      </c>
      <c r="J41" s="43">
        <f t="shared" ca="1" si="5"/>
        <v>0</v>
      </c>
      <c r="K41" s="37"/>
      <c r="L41" s="37"/>
      <c r="M41" s="37"/>
      <c r="N41" s="37"/>
      <c r="O41" s="37"/>
      <c r="P41" s="37"/>
      <c r="Q41" s="37"/>
      <c r="R41" s="37"/>
      <c r="S41" s="37"/>
      <c r="T41" s="37"/>
      <c r="U41" s="37"/>
      <c r="V41" s="37"/>
      <c r="W41" s="37"/>
      <c r="X41" s="37"/>
      <c r="Y41" s="37"/>
      <c r="Z41" s="37"/>
      <c r="AA41" s="37"/>
      <c r="AB41" s="37"/>
      <c r="AC41" s="37"/>
      <c r="AD41" s="37"/>
      <c r="AE41" s="37"/>
      <c r="AF41" s="37"/>
      <c r="AG41" s="37"/>
    </row>
    <row r="42" spans="1:33" ht="13.5" customHeight="1">
      <c r="A42" s="37"/>
      <c r="B42" s="537"/>
      <c r="C42" s="720"/>
      <c r="D42" s="717"/>
      <c r="E42" s="41">
        <f t="shared" si="2"/>
        <v>0</v>
      </c>
      <c r="F42" s="41">
        <f t="shared" si="3"/>
        <v>0</v>
      </c>
      <c r="G42" s="729"/>
      <c r="H42" s="727"/>
      <c r="I42" s="42">
        <f t="shared" si="4"/>
        <v>0</v>
      </c>
      <c r="J42" s="43">
        <f t="shared" ca="1" si="5"/>
        <v>0</v>
      </c>
      <c r="K42" s="37"/>
      <c r="L42" s="37"/>
      <c r="M42" s="37"/>
      <c r="N42" s="37"/>
      <c r="O42" s="37"/>
      <c r="P42" s="37"/>
      <c r="Q42" s="37"/>
      <c r="R42" s="37"/>
      <c r="S42" s="37"/>
      <c r="T42" s="37"/>
      <c r="U42" s="37"/>
      <c r="V42" s="37"/>
      <c r="W42" s="37"/>
      <c r="X42" s="37"/>
      <c r="Y42" s="37"/>
      <c r="Z42" s="37"/>
      <c r="AA42" s="37"/>
      <c r="AB42" s="37"/>
      <c r="AC42" s="37"/>
      <c r="AD42" s="37"/>
      <c r="AE42" s="37"/>
      <c r="AF42" s="37"/>
      <c r="AG42" s="37"/>
    </row>
    <row r="43" spans="1:33" ht="13.5" customHeight="1">
      <c r="A43" s="37"/>
      <c r="B43" s="523"/>
      <c r="C43" s="721"/>
      <c r="D43" s="717"/>
      <c r="E43" s="41">
        <f t="shared" si="2"/>
        <v>0</v>
      </c>
      <c r="F43" s="41">
        <f t="shared" si="3"/>
        <v>0</v>
      </c>
      <c r="G43" s="729"/>
      <c r="H43" s="727"/>
      <c r="I43" s="42">
        <f t="shared" si="4"/>
        <v>0</v>
      </c>
      <c r="J43" s="43">
        <f t="shared" ca="1" si="5"/>
        <v>0</v>
      </c>
      <c r="K43" s="37"/>
      <c r="L43" s="37"/>
      <c r="M43" s="37"/>
      <c r="N43" s="37"/>
      <c r="O43" s="37"/>
      <c r="P43" s="37"/>
      <c r="Q43" s="37"/>
      <c r="R43" s="37"/>
      <c r="S43" s="37"/>
      <c r="T43" s="37"/>
      <c r="U43" s="37"/>
      <c r="V43" s="37"/>
      <c r="W43" s="37"/>
      <c r="X43" s="37"/>
      <c r="Y43" s="37"/>
      <c r="Z43" s="37"/>
      <c r="AA43" s="37"/>
      <c r="AB43" s="37"/>
      <c r="AC43" s="37"/>
      <c r="AD43" s="37"/>
      <c r="AE43" s="37"/>
      <c r="AF43" s="37"/>
      <c r="AG43" s="37"/>
    </row>
    <row r="44" spans="1:33" ht="13.5" customHeight="1">
      <c r="A44" s="37"/>
      <c r="B44" s="523"/>
      <c r="C44" s="721"/>
      <c r="D44" s="717"/>
      <c r="E44" s="41">
        <f t="shared" si="2"/>
        <v>0</v>
      </c>
      <c r="F44" s="41">
        <f t="shared" si="3"/>
        <v>0</v>
      </c>
      <c r="G44" s="729"/>
      <c r="H44" s="727"/>
      <c r="I44" s="42">
        <f t="shared" si="4"/>
        <v>0</v>
      </c>
      <c r="J44" s="43">
        <f t="shared" ca="1" si="5"/>
        <v>0</v>
      </c>
      <c r="K44" s="37"/>
      <c r="L44" s="37"/>
      <c r="M44" s="37"/>
      <c r="N44" s="37"/>
      <c r="O44" s="37"/>
      <c r="P44" s="37"/>
      <c r="Q44" s="37"/>
      <c r="R44" s="37"/>
      <c r="S44" s="37"/>
      <c r="T44" s="37"/>
      <c r="U44" s="37"/>
      <c r="V44" s="37"/>
      <c r="W44" s="37"/>
      <c r="X44" s="37"/>
      <c r="Y44" s="37"/>
      <c r="Z44" s="37"/>
      <c r="AA44" s="37"/>
      <c r="AB44" s="37"/>
      <c r="AC44" s="37"/>
      <c r="AD44" s="37"/>
      <c r="AE44" s="37"/>
      <c r="AF44" s="37"/>
      <c r="AG44" s="37"/>
    </row>
    <row r="45" spans="1:33" ht="13.5" customHeight="1">
      <c r="A45" s="37"/>
      <c r="B45" s="523"/>
      <c r="C45" s="721"/>
      <c r="D45" s="717"/>
      <c r="E45" s="41">
        <f t="shared" si="2"/>
        <v>0</v>
      </c>
      <c r="F45" s="41">
        <f t="shared" si="3"/>
        <v>0</v>
      </c>
      <c r="G45" s="729"/>
      <c r="H45" s="727"/>
      <c r="I45" s="42">
        <f t="shared" si="4"/>
        <v>0</v>
      </c>
      <c r="J45" s="43">
        <f t="shared" ca="1" si="5"/>
        <v>0</v>
      </c>
      <c r="K45" s="37"/>
      <c r="L45" s="37"/>
      <c r="M45" s="37"/>
      <c r="N45" s="37"/>
      <c r="O45" s="37"/>
      <c r="P45" s="37"/>
      <c r="Q45" s="37"/>
      <c r="R45" s="37"/>
      <c r="S45" s="37"/>
      <c r="T45" s="37"/>
      <c r="U45" s="37"/>
      <c r="V45" s="37"/>
      <c r="W45" s="37"/>
      <c r="X45" s="37"/>
      <c r="Y45" s="37"/>
      <c r="Z45" s="37"/>
      <c r="AA45" s="37"/>
      <c r="AB45" s="37"/>
      <c r="AC45" s="37"/>
      <c r="AD45" s="37"/>
      <c r="AE45" s="37"/>
      <c r="AF45" s="37"/>
      <c r="AG45" s="37"/>
    </row>
    <row r="46" spans="1:33" ht="13.5" customHeight="1">
      <c r="A46" s="37"/>
      <c r="B46" s="523"/>
      <c r="C46" s="721"/>
      <c r="D46" s="717"/>
      <c r="E46" s="41">
        <f t="shared" si="2"/>
        <v>0</v>
      </c>
      <c r="F46" s="41">
        <f t="shared" si="3"/>
        <v>0</v>
      </c>
      <c r="G46" s="729"/>
      <c r="H46" s="727"/>
      <c r="I46" s="42">
        <f t="shared" si="4"/>
        <v>0</v>
      </c>
      <c r="J46" s="43">
        <f t="shared" ca="1" si="5"/>
        <v>0</v>
      </c>
      <c r="K46" s="37"/>
      <c r="L46" s="37"/>
      <c r="M46" s="37"/>
      <c r="N46" s="37"/>
      <c r="O46" s="37"/>
      <c r="P46" s="37"/>
      <c r="Q46" s="37"/>
      <c r="R46" s="37"/>
      <c r="S46" s="37"/>
      <c r="T46" s="37"/>
      <c r="U46" s="37"/>
      <c r="V46" s="37"/>
      <c r="W46" s="37"/>
      <c r="X46" s="37"/>
      <c r="Y46" s="37"/>
      <c r="Z46" s="37"/>
      <c r="AA46" s="37"/>
      <c r="AB46" s="37"/>
      <c r="AC46" s="37"/>
      <c r="AD46" s="37"/>
      <c r="AE46" s="37"/>
      <c r="AF46" s="37"/>
      <c r="AG46" s="37"/>
    </row>
    <row r="47" spans="1:33" ht="13.5" customHeight="1">
      <c r="A47" s="37"/>
      <c r="B47" s="523"/>
      <c r="C47" s="721"/>
      <c r="D47" s="717"/>
      <c r="E47" s="41">
        <f t="shared" si="2"/>
        <v>0</v>
      </c>
      <c r="F47" s="41">
        <f t="shared" si="3"/>
        <v>0</v>
      </c>
      <c r="G47" s="729"/>
      <c r="H47" s="727"/>
      <c r="I47" s="42">
        <f t="shared" si="4"/>
        <v>0</v>
      </c>
      <c r="J47" s="43">
        <f t="shared" ca="1" si="5"/>
        <v>0</v>
      </c>
      <c r="K47" s="37"/>
      <c r="L47" s="37"/>
      <c r="M47" s="37"/>
      <c r="N47" s="37"/>
      <c r="O47" s="37"/>
      <c r="P47" s="37"/>
      <c r="Q47" s="37"/>
      <c r="R47" s="37"/>
      <c r="S47" s="37"/>
      <c r="T47" s="37"/>
      <c r="U47" s="37"/>
      <c r="V47" s="37"/>
      <c r="W47" s="37"/>
      <c r="X47" s="37"/>
      <c r="Y47" s="37"/>
      <c r="Z47" s="37"/>
      <c r="AA47" s="37"/>
      <c r="AB47" s="37"/>
      <c r="AC47" s="37"/>
      <c r="AD47" s="37"/>
      <c r="AE47" s="37"/>
      <c r="AF47" s="37"/>
      <c r="AG47" s="37"/>
    </row>
    <row r="48" spans="1:33" ht="13.5" customHeight="1">
      <c r="A48" s="37"/>
      <c r="B48" s="523"/>
      <c r="C48" s="721"/>
      <c r="D48" s="717"/>
      <c r="E48" s="41">
        <f t="shared" si="2"/>
        <v>0</v>
      </c>
      <c r="F48" s="41">
        <f t="shared" si="3"/>
        <v>0</v>
      </c>
      <c r="G48" s="729"/>
      <c r="H48" s="727"/>
      <c r="I48" s="42">
        <f t="shared" si="4"/>
        <v>0</v>
      </c>
      <c r="J48" s="43">
        <f t="shared" ca="1" si="5"/>
        <v>0</v>
      </c>
      <c r="K48" s="37"/>
      <c r="L48" s="37"/>
      <c r="M48" s="37"/>
      <c r="N48" s="37"/>
      <c r="O48" s="37"/>
      <c r="P48" s="37"/>
      <c r="Q48" s="37"/>
      <c r="R48" s="37"/>
      <c r="S48" s="37"/>
      <c r="T48" s="37"/>
      <c r="U48" s="37"/>
      <c r="V48" s="37"/>
      <c r="W48" s="37"/>
      <c r="X48" s="37"/>
      <c r="Y48" s="37"/>
      <c r="Z48" s="37"/>
      <c r="AA48" s="37"/>
      <c r="AB48" s="37"/>
      <c r="AC48" s="37"/>
      <c r="AD48" s="37"/>
      <c r="AE48" s="37"/>
      <c r="AF48" s="37"/>
      <c r="AG48" s="37"/>
    </row>
    <row r="49" spans="1:33" ht="13.5" customHeight="1">
      <c r="A49" s="37"/>
      <c r="B49" s="523"/>
      <c r="C49" s="721"/>
      <c r="D49" s="717"/>
      <c r="E49" s="41">
        <f t="shared" si="2"/>
        <v>0</v>
      </c>
      <c r="F49" s="41">
        <f t="shared" si="3"/>
        <v>0</v>
      </c>
      <c r="G49" s="729"/>
      <c r="H49" s="727"/>
      <c r="I49" s="42">
        <f t="shared" si="4"/>
        <v>0</v>
      </c>
      <c r="J49" s="43">
        <f t="shared" ca="1" si="5"/>
        <v>0</v>
      </c>
      <c r="K49" s="37"/>
      <c r="L49" s="37"/>
      <c r="M49" s="37"/>
      <c r="N49" s="37"/>
      <c r="O49" s="37"/>
      <c r="P49" s="37"/>
      <c r="Q49" s="37"/>
      <c r="R49" s="37"/>
      <c r="S49" s="37"/>
      <c r="T49" s="37"/>
      <c r="U49" s="37"/>
      <c r="V49" s="37"/>
      <c r="W49" s="37"/>
      <c r="X49" s="37"/>
      <c r="Y49" s="37"/>
      <c r="Z49" s="37"/>
      <c r="AA49" s="37"/>
      <c r="AB49" s="37"/>
      <c r="AC49" s="37"/>
      <c r="AD49" s="37"/>
      <c r="AE49" s="37"/>
      <c r="AF49" s="37"/>
      <c r="AG49" s="37"/>
    </row>
    <row r="50" spans="1:33" ht="13.5" customHeight="1">
      <c r="A50" s="37"/>
      <c r="B50" s="523"/>
      <c r="C50" s="721"/>
      <c r="D50" s="717"/>
      <c r="E50" s="41">
        <f t="shared" si="2"/>
        <v>0</v>
      </c>
      <c r="F50" s="41">
        <f t="shared" si="3"/>
        <v>0</v>
      </c>
      <c r="G50" s="729"/>
      <c r="H50" s="727"/>
      <c r="I50" s="42">
        <f t="shared" si="4"/>
        <v>0</v>
      </c>
      <c r="J50" s="43">
        <f t="shared" ca="1" si="5"/>
        <v>0</v>
      </c>
      <c r="K50" s="37"/>
      <c r="L50" s="37"/>
      <c r="M50" s="37"/>
      <c r="N50" s="37"/>
      <c r="O50" s="37"/>
      <c r="P50" s="37"/>
      <c r="Q50" s="37"/>
      <c r="R50" s="37"/>
      <c r="S50" s="37"/>
      <c r="T50" s="37"/>
      <c r="U50" s="37"/>
      <c r="V50" s="37"/>
      <c r="W50" s="37"/>
      <c r="X50" s="37"/>
      <c r="Y50" s="37"/>
      <c r="Z50" s="37"/>
      <c r="AA50" s="37"/>
      <c r="AB50" s="37"/>
      <c r="AC50" s="37"/>
      <c r="AD50" s="37"/>
      <c r="AE50" s="37"/>
      <c r="AF50" s="37"/>
      <c r="AG50" s="37"/>
    </row>
    <row r="51" spans="1:33" ht="13.5" customHeight="1">
      <c r="A51" s="37"/>
      <c r="B51" s="523"/>
      <c r="C51" s="721"/>
      <c r="D51" s="717"/>
      <c r="E51" s="41">
        <f t="shared" si="2"/>
        <v>0</v>
      </c>
      <c r="F51" s="41">
        <f t="shared" si="3"/>
        <v>0</v>
      </c>
      <c r="G51" s="729"/>
      <c r="H51" s="727"/>
      <c r="I51" s="42">
        <f t="shared" si="4"/>
        <v>0</v>
      </c>
      <c r="J51" s="43">
        <f t="shared" ca="1" si="5"/>
        <v>0</v>
      </c>
      <c r="K51" s="37"/>
      <c r="L51" s="37"/>
      <c r="M51" s="37"/>
      <c r="N51" s="37"/>
      <c r="O51" s="37"/>
      <c r="P51" s="37"/>
      <c r="Q51" s="37"/>
      <c r="R51" s="37"/>
      <c r="S51" s="37"/>
      <c r="T51" s="37"/>
      <c r="U51" s="37"/>
      <c r="V51" s="37"/>
      <c r="W51" s="37"/>
      <c r="X51" s="37"/>
      <c r="Y51" s="37"/>
      <c r="Z51" s="37"/>
      <c r="AA51" s="37"/>
      <c r="AB51" s="37"/>
      <c r="AC51" s="37"/>
      <c r="AD51" s="37"/>
      <c r="AE51" s="37"/>
      <c r="AF51" s="37"/>
      <c r="AG51" s="37"/>
    </row>
    <row r="52" spans="1:33" ht="13.5" customHeight="1">
      <c r="A52" s="37"/>
      <c r="B52" s="523"/>
      <c r="C52" s="721"/>
      <c r="D52" s="717"/>
      <c r="E52" s="41">
        <f t="shared" si="2"/>
        <v>0</v>
      </c>
      <c r="F52" s="41">
        <f t="shared" si="3"/>
        <v>0</v>
      </c>
      <c r="G52" s="729"/>
      <c r="H52" s="727"/>
      <c r="I52" s="42">
        <f t="shared" si="4"/>
        <v>0</v>
      </c>
      <c r="J52" s="43">
        <f t="shared" ca="1" si="5"/>
        <v>0</v>
      </c>
      <c r="K52" s="37"/>
      <c r="L52" s="37"/>
      <c r="M52" s="37"/>
      <c r="N52" s="37"/>
      <c r="O52" s="37"/>
      <c r="P52" s="37"/>
      <c r="Q52" s="37"/>
      <c r="R52" s="37"/>
      <c r="S52" s="37"/>
      <c r="T52" s="37"/>
      <c r="U52" s="37"/>
      <c r="V52" s="37"/>
      <c r="W52" s="37"/>
      <c r="X52" s="37"/>
      <c r="Y52" s="37"/>
      <c r="Z52" s="37"/>
      <c r="AA52" s="37"/>
      <c r="AB52" s="37"/>
      <c r="AC52" s="37"/>
      <c r="AD52" s="37"/>
      <c r="AE52" s="37"/>
      <c r="AF52" s="37"/>
      <c r="AG52" s="37"/>
    </row>
    <row r="53" spans="1:33" ht="13.5" customHeight="1">
      <c r="A53" s="37"/>
      <c r="B53" s="523"/>
      <c r="C53" s="721"/>
      <c r="D53" s="717"/>
      <c r="E53" s="41">
        <f t="shared" si="2"/>
        <v>0</v>
      </c>
      <c r="F53" s="41">
        <f t="shared" si="3"/>
        <v>0</v>
      </c>
      <c r="G53" s="729"/>
      <c r="H53" s="727"/>
      <c r="I53" s="42">
        <f t="shared" si="4"/>
        <v>0</v>
      </c>
      <c r="J53" s="43">
        <f t="shared" ca="1" si="5"/>
        <v>0</v>
      </c>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ht="13.5" customHeight="1">
      <c r="A54" s="37"/>
      <c r="B54" s="523"/>
      <c r="C54" s="721"/>
      <c r="D54" s="717"/>
      <c r="E54" s="41">
        <f t="shared" si="2"/>
        <v>0</v>
      </c>
      <c r="F54" s="41">
        <f t="shared" si="3"/>
        <v>0</v>
      </c>
      <c r="G54" s="729"/>
      <c r="H54" s="727"/>
      <c r="I54" s="42">
        <f t="shared" si="4"/>
        <v>0</v>
      </c>
      <c r="J54" s="43">
        <f t="shared" ca="1" si="5"/>
        <v>0</v>
      </c>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ht="13.5" customHeight="1">
      <c r="A55" s="37"/>
      <c r="B55" s="523"/>
      <c r="C55" s="721"/>
      <c r="D55" s="717"/>
      <c r="E55" s="41">
        <f t="shared" si="2"/>
        <v>0</v>
      </c>
      <c r="F55" s="41">
        <f t="shared" si="3"/>
        <v>0</v>
      </c>
      <c r="G55" s="729"/>
      <c r="H55" s="727"/>
      <c r="I55" s="42">
        <f t="shared" si="4"/>
        <v>0</v>
      </c>
      <c r="J55" s="43">
        <f t="shared" ca="1" si="5"/>
        <v>0</v>
      </c>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ht="13.5" customHeight="1">
      <c r="A56" s="37"/>
      <c r="B56" s="37"/>
      <c r="C56" s="721"/>
      <c r="D56" s="717"/>
      <c r="E56" s="41">
        <f t="shared" si="2"/>
        <v>0</v>
      </c>
      <c r="F56" s="41">
        <f t="shared" si="3"/>
        <v>0</v>
      </c>
      <c r="G56" s="729"/>
      <c r="H56" s="727"/>
      <c r="I56" s="42">
        <f t="shared" si="4"/>
        <v>0</v>
      </c>
      <c r="J56" s="43">
        <f t="shared" ca="1" si="5"/>
        <v>0</v>
      </c>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3.5" customHeight="1">
      <c r="A57" s="37"/>
      <c r="B57" s="37"/>
      <c r="C57" s="721"/>
      <c r="D57" s="717"/>
      <c r="E57" s="41">
        <f t="shared" si="2"/>
        <v>0</v>
      </c>
      <c r="F57" s="41">
        <f t="shared" si="3"/>
        <v>0</v>
      </c>
      <c r="G57" s="729"/>
      <c r="H57" s="727"/>
      <c r="I57" s="42">
        <f t="shared" si="4"/>
        <v>0</v>
      </c>
      <c r="J57" s="43">
        <f t="shared" ca="1" si="5"/>
        <v>0</v>
      </c>
      <c r="K57" s="37"/>
      <c r="L57" s="37"/>
      <c r="M57" s="37"/>
      <c r="N57" s="37"/>
      <c r="O57" s="37"/>
      <c r="P57" s="37"/>
      <c r="Q57" s="37"/>
      <c r="R57" s="37"/>
      <c r="S57" s="37"/>
      <c r="T57" s="37"/>
      <c r="U57" s="37"/>
      <c r="V57" s="37"/>
      <c r="W57" s="37"/>
      <c r="X57" s="37"/>
      <c r="Y57" s="37"/>
      <c r="Z57" s="37"/>
      <c r="AA57" s="37"/>
      <c r="AB57" s="37"/>
      <c r="AC57" s="37"/>
      <c r="AD57" s="37"/>
      <c r="AE57" s="37"/>
      <c r="AF57" s="37"/>
      <c r="AG57" s="37"/>
    </row>
    <row r="58" spans="1:33" ht="13.5" customHeight="1">
      <c r="A58" s="37"/>
      <c r="B58" s="37"/>
      <c r="C58" s="721"/>
      <c r="D58" s="717"/>
      <c r="E58" s="41">
        <f t="shared" si="2"/>
        <v>0</v>
      </c>
      <c r="F58" s="41">
        <f t="shared" si="3"/>
        <v>0</v>
      </c>
      <c r="G58" s="729"/>
      <c r="H58" s="727"/>
      <c r="I58" s="42">
        <f t="shared" si="4"/>
        <v>0</v>
      </c>
      <c r="J58" s="43">
        <f t="shared" ca="1" si="5"/>
        <v>0</v>
      </c>
      <c r="K58" s="37"/>
      <c r="L58" s="37"/>
      <c r="M58" s="37"/>
      <c r="N58" s="37"/>
      <c r="O58" s="37"/>
      <c r="P58" s="37"/>
      <c r="Q58" s="37"/>
      <c r="R58" s="37"/>
      <c r="S58" s="37"/>
      <c r="T58" s="37"/>
      <c r="U58" s="37"/>
      <c r="V58" s="37"/>
      <c r="W58" s="37"/>
      <c r="X58" s="37"/>
      <c r="Y58" s="37"/>
      <c r="Z58" s="37"/>
      <c r="AA58" s="37"/>
      <c r="AB58" s="37"/>
      <c r="AC58" s="37"/>
      <c r="AD58" s="37"/>
      <c r="AE58" s="37"/>
      <c r="AF58" s="37"/>
      <c r="AG58" s="37"/>
    </row>
    <row r="59" spans="1:33" ht="13.5" customHeight="1">
      <c r="A59" s="37"/>
      <c r="B59" s="37"/>
      <c r="C59" s="721"/>
      <c r="D59" s="717"/>
      <c r="E59" s="41">
        <f t="shared" si="2"/>
        <v>0</v>
      </c>
      <c r="F59" s="41">
        <f t="shared" si="3"/>
        <v>0</v>
      </c>
      <c r="G59" s="729"/>
      <c r="H59" s="727"/>
      <c r="I59" s="42">
        <f t="shared" si="4"/>
        <v>0</v>
      </c>
      <c r="J59" s="43">
        <f t="shared" ca="1" si="5"/>
        <v>0</v>
      </c>
      <c r="K59" s="37"/>
      <c r="L59" s="37"/>
      <c r="M59" s="37"/>
      <c r="N59" s="37"/>
      <c r="O59" s="37"/>
      <c r="P59" s="37"/>
      <c r="Q59" s="37"/>
      <c r="R59" s="37"/>
      <c r="S59" s="37"/>
      <c r="T59" s="37"/>
      <c r="U59" s="37"/>
      <c r="V59" s="37"/>
      <c r="W59" s="37"/>
      <c r="X59" s="37"/>
      <c r="Y59" s="37"/>
      <c r="Z59" s="37"/>
      <c r="AA59" s="37"/>
      <c r="AB59" s="37"/>
      <c r="AC59" s="37"/>
      <c r="AD59" s="37"/>
      <c r="AE59" s="37"/>
      <c r="AF59" s="37"/>
      <c r="AG59" s="37"/>
    </row>
    <row r="60" spans="1:33" ht="13.5" customHeight="1">
      <c r="A60" s="37"/>
      <c r="B60" s="37"/>
      <c r="C60" s="721"/>
      <c r="D60" s="717"/>
      <c r="E60" s="41">
        <f t="shared" si="2"/>
        <v>0</v>
      </c>
      <c r="F60" s="41">
        <f t="shared" si="3"/>
        <v>0</v>
      </c>
      <c r="G60" s="729"/>
      <c r="H60" s="727"/>
      <c r="I60" s="42">
        <f t="shared" si="4"/>
        <v>0</v>
      </c>
      <c r="J60" s="43">
        <f t="shared" ca="1" si="5"/>
        <v>0</v>
      </c>
      <c r="K60" s="37"/>
      <c r="L60" s="37"/>
      <c r="M60" s="37"/>
      <c r="N60" s="37"/>
      <c r="O60" s="37"/>
      <c r="P60" s="37"/>
      <c r="Q60" s="37"/>
      <c r="R60" s="37"/>
      <c r="S60" s="37"/>
      <c r="T60" s="37"/>
      <c r="U60" s="37"/>
      <c r="V60" s="37"/>
      <c r="W60" s="37"/>
      <c r="X60" s="37"/>
      <c r="Y60" s="37"/>
      <c r="Z60" s="37"/>
      <c r="AA60" s="37"/>
      <c r="AB60" s="37"/>
      <c r="AC60" s="37"/>
      <c r="AD60" s="37"/>
      <c r="AE60" s="37"/>
      <c r="AF60" s="37"/>
      <c r="AG60" s="37"/>
    </row>
    <row r="61" spans="1:33" ht="13.5" customHeight="1">
      <c r="A61" s="37"/>
      <c r="B61" s="37"/>
      <c r="C61" s="722"/>
      <c r="D61" s="723"/>
      <c r="E61" s="41">
        <f t="shared" si="2"/>
        <v>0</v>
      </c>
      <c r="F61" s="41">
        <f t="shared" si="3"/>
        <v>0</v>
      </c>
      <c r="G61" s="729"/>
      <c r="H61" s="727"/>
      <c r="I61" s="42">
        <f t="shared" si="4"/>
        <v>0</v>
      </c>
      <c r="J61" s="43">
        <f t="shared" ca="1" si="5"/>
        <v>0</v>
      </c>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ht="13.5" customHeight="1">
      <c r="A62" s="37"/>
      <c r="B62" s="37"/>
      <c r="C62" s="722"/>
      <c r="D62" s="723"/>
      <c r="E62" s="41">
        <f t="shared" si="2"/>
        <v>0</v>
      </c>
      <c r="F62" s="41">
        <f t="shared" si="3"/>
        <v>0</v>
      </c>
      <c r="G62" s="729"/>
      <c r="H62" s="727"/>
      <c r="I62" s="42">
        <f t="shared" si="4"/>
        <v>0</v>
      </c>
      <c r="J62" s="43">
        <f t="shared" ca="1" si="5"/>
        <v>0</v>
      </c>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ht="13.5" customHeight="1">
      <c r="A63" s="37"/>
      <c r="B63" s="37"/>
      <c r="C63" s="722"/>
      <c r="D63" s="723"/>
      <c r="E63" s="41">
        <f t="shared" si="2"/>
        <v>0</v>
      </c>
      <c r="F63" s="41">
        <f t="shared" si="3"/>
        <v>0</v>
      </c>
      <c r="G63" s="729"/>
      <c r="H63" s="727"/>
      <c r="I63" s="42">
        <f t="shared" si="4"/>
        <v>0</v>
      </c>
      <c r="J63" s="43">
        <f t="shared" ca="1" si="5"/>
        <v>0</v>
      </c>
      <c r="K63" s="37"/>
      <c r="L63" s="37"/>
      <c r="M63" s="37"/>
      <c r="N63" s="37"/>
      <c r="O63" s="37"/>
      <c r="P63" s="37"/>
      <c r="Q63" s="37"/>
      <c r="R63" s="37"/>
      <c r="S63" s="37"/>
      <c r="T63" s="37"/>
      <c r="U63" s="37"/>
      <c r="V63" s="37"/>
      <c r="W63" s="37"/>
      <c r="X63" s="37"/>
      <c r="Y63" s="37"/>
      <c r="Z63" s="37"/>
      <c r="AA63" s="37"/>
      <c r="AB63" s="37"/>
      <c r="AC63" s="37"/>
      <c r="AD63" s="37"/>
      <c r="AE63" s="37"/>
      <c r="AF63" s="37"/>
      <c r="AG63" s="37"/>
    </row>
    <row r="64" spans="1:33" ht="13.5" customHeight="1">
      <c r="A64" s="37"/>
      <c r="B64" s="37"/>
      <c r="C64" s="722"/>
      <c r="D64" s="723"/>
      <c r="E64" s="41">
        <f t="shared" si="2"/>
        <v>0</v>
      </c>
      <c r="F64" s="41">
        <f t="shared" si="3"/>
        <v>0</v>
      </c>
      <c r="G64" s="729"/>
      <c r="H64" s="727"/>
      <c r="I64" s="42">
        <f t="shared" si="4"/>
        <v>0</v>
      </c>
      <c r="J64" s="43">
        <f t="shared" ca="1" si="5"/>
        <v>0</v>
      </c>
      <c r="K64" s="37"/>
      <c r="L64" s="37"/>
      <c r="M64" s="37"/>
      <c r="N64" s="37"/>
      <c r="O64" s="37"/>
      <c r="P64" s="37"/>
      <c r="Q64" s="37"/>
      <c r="R64" s="37"/>
      <c r="S64" s="37"/>
      <c r="T64" s="37"/>
      <c r="U64" s="37"/>
      <c r="V64" s="37"/>
      <c r="W64" s="37"/>
      <c r="X64" s="37"/>
      <c r="Y64" s="37"/>
      <c r="Z64" s="37"/>
      <c r="AA64" s="37"/>
      <c r="AB64" s="37"/>
      <c r="AC64" s="37"/>
      <c r="AD64" s="37"/>
      <c r="AE64" s="37"/>
      <c r="AF64" s="37"/>
      <c r="AG64" s="37"/>
    </row>
    <row r="65" spans="1:33" ht="13.5" customHeight="1">
      <c r="A65" s="37"/>
      <c r="B65" s="37"/>
      <c r="C65" s="722"/>
      <c r="D65" s="723"/>
      <c r="E65" s="41">
        <f t="shared" si="2"/>
        <v>0</v>
      </c>
      <c r="F65" s="41">
        <f t="shared" si="3"/>
        <v>0</v>
      </c>
      <c r="G65" s="729"/>
      <c r="H65" s="727"/>
      <c r="I65" s="42">
        <f t="shared" si="4"/>
        <v>0</v>
      </c>
      <c r="J65" s="43">
        <f t="shared" ca="1" si="5"/>
        <v>0</v>
      </c>
      <c r="K65" s="37"/>
      <c r="L65" s="37"/>
      <c r="M65" s="37"/>
      <c r="N65" s="37"/>
      <c r="O65" s="37"/>
      <c r="P65" s="37"/>
      <c r="Q65" s="37"/>
      <c r="R65" s="37"/>
      <c r="S65" s="37"/>
      <c r="T65" s="37"/>
      <c r="U65" s="37"/>
      <c r="V65" s="37"/>
      <c r="W65" s="37"/>
      <c r="X65" s="37"/>
      <c r="Y65" s="37"/>
      <c r="Z65" s="37"/>
      <c r="AA65" s="37"/>
      <c r="AB65" s="37"/>
      <c r="AC65" s="37"/>
      <c r="AD65" s="37"/>
      <c r="AE65" s="37"/>
      <c r="AF65" s="37"/>
      <c r="AG65" s="37"/>
    </row>
    <row r="66" spans="1:33" ht="13.5" customHeight="1">
      <c r="A66" s="37"/>
      <c r="B66" s="37"/>
      <c r="C66" s="722"/>
      <c r="D66" s="723"/>
      <c r="E66" s="41">
        <f t="shared" si="2"/>
        <v>0</v>
      </c>
      <c r="F66" s="41">
        <f t="shared" si="3"/>
        <v>0</v>
      </c>
      <c r="G66" s="729"/>
      <c r="H66" s="727"/>
      <c r="I66" s="42">
        <f t="shared" si="4"/>
        <v>0</v>
      </c>
      <c r="J66" s="43">
        <f t="shared" ca="1" si="5"/>
        <v>0</v>
      </c>
      <c r="K66" s="37"/>
      <c r="L66" s="37"/>
      <c r="M66" s="37"/>
      <c r="N66" s="37"/>
      <c r="O66" s="37"/>
      <c r="P66" s="37"/>
      <c r="Q66" s="37"/>
      <c r="R66" s="37"/>
      <c r="S66" s="37"/>
      <c r="T66" s="37"/>
      <c r="U66" s="37"/>
      <c r="V66" s="37"/>
      <c r="W66" s="37"/>
      <c r="X66" s="37"/>
      <c r="Y66" s="37"/>
      <c r="Z66" s="37"/>
      <c r="AA66" s="37"/>
      <c r="AB66" s="37"/>
      <c r="AC66" s="37"/>
      <c r="AD66" s="37"/>
      <c r="AE66" s="37"/>
      <c r="AF66" s="37"/>
      <c r="AG66" s="37"/>
    </row>
    <row r="67" spans="1:33" ht="13.5" customHeight="1">
      <c r="A67" s="37"/>
      <c r="B67" s="37"/>
      <c r="C67" s="722"/>
      <c r="D67" s="723"/>
      <c r="E67" s="41">
        <f t="shared" si="2"/>
        <v>0</v>
      </c>
      <c r="F67" s="41">
        <f t="shared" si="3"/>
        <v>0</v>
      </c>
      <c r="G67" s="729"/>
      <c r="H67" s="727"/>
      <c r="I67" s="42">
        <f t="shared" si="4"/>
        <v>0</v>
      </c>
      <c r="J67" s="43">
        <f t="shared" ca="1" si="5"/>
        <v>0</v>
      </c>
      <c r="K67" s="37"/>
      <c r="L67" s="37"/>
      <c r="M67" s="37"/>
      <c r="N67" s="37"/>
      <c r="O67" s="37"/>
      <c r="P67" s="37"/>
      <c r="Q67" s="37"/>
      <c r="R67" s="37"/>
      <c r="S67" s="37"/>
      <c r="T67" s="37"/>
      <c r="U67" s="37"/>
      <c r="V67" s="37"/>
      <c r="W67" s="37"/>
      <c r="X67" s="37"/>
      <c r="Y67" s="37"/>
      <c r="Z67" s="37"/>
      <c r="AA67" s="37"/>
      <c r="AB67" s="37"/>
      <c r="AC67" s="37"/>
      <c r="AD67" s="37"/>
      <c r="AE67" s="37"/>
      <c r="AF67" s="37"/>
      <c r="AG67" s="37"/>
    </row>
    <row r="68" spans="1:33" ht="13.5" customHeight="1">
      <c r="A68" s="37"/>
      <c r="B68" s="37"/>
      <c r="C68" s="722"/>
      <c r="D68" s="723"/>
      <c r="E68" s="41">
        <f t="shared" si="2"/>
        <v>0</v>
      </c>
      <c r="F68" s="41">
        <f t="shared" si="3"/>
        <v>0</v>
      </c>
      <c r="G68" s="729"/>
      <c r="H68" s="727"/>
      <c r="I68" s="42">
        <f t="shared" si="4"/>
        <v>0</v>
      </c>
      <c r="J68" s="43">
        <f t="shared" ca="1" si="5"/>
        <v>0</v>
      </c>
      <c r="K68" s="37"/>
      <c r="L68" s="37"/>
      <c r="M68" s="37"/>
      <c r="N68" s="37"/>
      <c r="O68" s="37"/>
      <c r="P68" s="37"/>
      <c r="Q68" s="37"/>
      <c r="R68" s="37"/>
      <c r="S68" s="37"/>
      <c r="T68" s="37"/>
      <c r="U68" s="37"/>
      <c r="V68" s="37"/>
      <c r="W68" s="37"/>
      <c r="X68" s="37"/>
      <c r="Y68" s="37"/>
      <c r="Z68" s="37"/>
      <c r="AA68" s="37"/>
      <c r="AB68" s="37"/>
      <c r="AC68" s="37"/>
      <c r="AD68" s="37"/>
      <c r="AE68" s="37"/>
      <c r="AF68" s="37"/>
      <c r="AG68" s="37"/>
    </row>
    <row r="69" spans="1:33" ht="13.5" customHeight="1">
      <c r="A69" s="37"/>
      <c r="B69" s="37"/>
      <c r="C69" s="722"/>
      <c r="D69" s="723"/>
      <c r="E69" s="41">
        <f t="shared" si="2"/>
        <v>0</v>
      </c>
      <c r="F69" s="41">
        <f t="shared" si="3"/>
        <v>0</v>
      </c>
      <c r="G69" s="729"/>
      <c r="H69" s="727"/>
      <c r="I69" s="42">
        <f t="shared" si="4"/>
        <v>0</v>
      </c>
      <c r="J69" s="43">
        <f t="shared" ca="1" si="5"/>
        <v>0</v>
      </c>
      <c r="K69" s="37"/>
      <c r="L69" s="37"/>
      <c r="M69" s="37"/>
      <c r="N69" s="37"/>
      <c r="O69" s="37"/>
      <c r="P69" s="37"/>
      <c r="Q69" s="37"/>
      <c r="R69" s="37"/>
      <c r="S69" s="37"/>
      <c r="T69" s="37"/>
      <c r="U69" s="37"/>
      <c r="V69" s="37"/>
      <c r="W69" s="37"/>
      <c r="X69" s="37"/>
      <c r="Y69" s="37"/>
      <c r="Z69" s="37"/>
      <c r="AA69" s="37"/>
      <c r="AB69" s="37"/>
      <c r="AC69" s="37"/>
      <c r="AD69" s="37"/>
      <c r="AE69" s="37"/>
      <c r="AF69" s="37"/>
      <c r="AG69" s="37"/>
    </row>
    <row r="70" spans="1:33" ht="13.5" customHeight="1">
      <c r="A70" s="37"/>
      <c r="B70" s="37"/>
      <c r="C70" s="722"/>
      <c r="D70" s="723"/>
      <c r="E70" s="41">
        <f t="shared" si="2"/>
        <v>0</v>
      </c>
      <c r="F70" s="41">
        <f t="shared" si="3"/>
        <v>0</v>
      </c>
      <c r="G70" s="729"/>
      <c r="H70" s="727"/>
      <c r="I70" s="42">
        <f t="shared" si="4"/>
        <v>0</v>
      </c>
      <c r="J70" s="43">
        <f t="shared" ca="1" si="5"/>
        <v>0</v>
      </c>
      <c r="K70" s="37"/>
      <c r="L70" s="37"/>
      <c r="M70" s="37"/>
      <c r="N70" s="37"/>
      <c r="O70" s="37"/>
      <c r="P70" s="37"/>
      <c r="Q70" s="37"/>
      <c r="R70" s="37"/>
      <c r="S70" s="37"/>
      <c r="T70" s="37"/>
      <c r="U70" s="37"/>
      <c r="V70" s="37"/>
      <c r="W70" s="37"/>
      <c r="X70" s="37"/>
      <c r="Y70" s="37"/>
      <c r="Z70" s="37"/>
      <c r="AA70" s="37"/>
      <c r="AB70" s="37"/>
      <c r="AC70" s="37"/>
      <c r="AD70" s="37"/>
      <c r="AE70" s="37"/>
      <c r="AF70" s="37"/>
      <c r="AG70" s="37"/>
    </row>
    <row r="71" spans="1:33" ht="13.5" customHeight="1">
      <c r="A71" s="37"/>
      <c r="B71" s="37"/>
      <c r="C71" s="721"/>
      <c r="D71" s="717"/>
      <c r="E71" s="41">
        <f t="shared" si="2"/>
        <v>0</v>
      </c>
      <c r="F71" s="41">
        <f t="shared" si="3"/>
        <v>0</v>
      </c>
      <c r="G71" s="729"/>
      <c r="H71" s="722"/>
      <c r="I71" s="42">
        <f t="shared" si="4"/>
        <v>0</v>
      </c>
      <c r="J71" s="43">
        <f t="shared" ca="1" si="5"/>
        <v>0</v>
      </c>
      <c r="K71" s="37"/>
      <c r="L71" s="37"/>
      <c r="M71" s="37"/>
      <c r="N71" s="37"/>
      <c r="O71" s="37"/>
      <c r="P71" s="37"/>
      <c r="Q71" s="37"/>
      <c r="R71" s="37"/>
      <c r="S71" s="37"/>
      <c r="T71" s="37"/>
      <c r="U71" s="37"/>
      <c r="V71" s="37"/>
      <c r="W71" s="37"/>
      <c r="X71" s="37"/>
      <c r="Y71" s="37"/>
      <c r="Z71" s="37"/>
      <c r="AA71" s="37"/>
      <c r="AB71" s="37"/>
      <c r="AC71" s="37"/>
      <c r="AD71" s="37"/>
      <c r="AE71" s="37"/>
      <c r="AF71" s="37"/>
      <c r="AG71" s="37"/>
    </row>
    <row r="72" spans="1:33" ht="13.5" customHeight="1">
      <c r="A72" s="37"/>
      <c r="B72" s="37"/>
      <c r="C72" s="721"/>
      <c r="D72" s="717"/>
      <c r="E72" s="41">
        <f t="shared" si="2"/>
        <v>0</v>
      </c>
      <c r="F72" s="41">
        <f t="shared" si="3"/>
        <v>0</v>
      </c>
      <c r="G72" s="729"/>
      <c r="H72" s="722"/>
      <c r="I72" s="42">
        <f t="shared" si="4"/>
        <v>0</v>
      </c>
      <c r="J72" s="43">
        <f t="shared" ca="1" si="5"/>
        <v>0</v>
      </c>
      <c r="K72" s="37"/>
      <c r="L72" s="37"/>
      <c r="M72" s="37"/>
      <c r="N72" s="37"/>
      <c r="O72" s="37"/>
      <c r="P72" s="37"/>
      <c r="Q72" s="37"/>
      <c r="R72" s="37"/>
      <c r="S72" s="37"/>
      <c r="T72" s="37"/>
      <c r="U72" s="37"/>
      <c r="V72" s="37"/>
      <c r="W72" s="37"/>
      <c r="X72" s="37"/>
      <c r="Y72" s="37"/>
      <c r="Z72" s="37"/>
      <c r="AA72" s="37"/>
      <c r="AB72" s="37"/>
      <c r="AC72" s="37"/>
      <c r="AD72" s="37"/>
      <c r="AE72" s="37"/>
      <c r="AF72" s="37"/>
      <c r="AG72" s="37"/>
    </row>
    <row r="73" spans="1:33" ht="13.5" customHeight="1">
      <c r="A73" s="37"/>
      <c r="B73" s="37"/>
      <c r="C73" s="721"/>
      <c r="D73" s="717"/>
      <c r="E73" s="41">
        <f t="shared" si="2"/>
        <v>0</v>
      </c>
      <c r="F73" s="41">
        <f t="shared" si="3"/>
        <v>0</v>
      </c>
      <c r="G73" s="729"/>
      <c r="H73" s="722"/>
      <c r="I73" s="42">
        <f t="shared" si="4"/>
        <v>0</v>
      </c>
      <c r="J73" s="43">
        <f t="shared" ca="1" si="5"/>
        <v>0</v>
      </c>
      <c r="K73" s="37"/>
      <c r="L73" s="37"/>
      <c r="M73" s="37"/>
      <c r="N73" s="37"/>
      <c r="O73" s="37"/>
      <c r="P73" s="37"/>
      <c r="Q73" s="37"/>
      <c r="R73" s="37"/>
      <c r="S73" s="37"/>
      <c r="T73" s="37"/>
      <c r="U73" s="37"/>
      <c r="V73" s="37"/>
      <c r="W73" s="37"/>
      <c r="X73" s="37"/>
      <c r="Y73" s="37"/>
      <c r="Z73" s="37"/>
      <c r="AA73" s="37"/>
      <c r="AB73" s="37"/>
      <c r="AC73" s="37"/>
      <c r="AD73" s="37"/>
      <c r="AE73" s="37"/>
      <c r="AF73" s="37"/>
      <c r="AG73" s="37"/>
    </row>
    <row r="74" spans="1:33" ht="13.5" customHeight="1">
      <c r="A74" s="37"/>
      <c r="B74" s="37"/>
      <c r="C74" s="721"/>
      <c r="D74" s="717"/>
      <c r="E74" s="41">
        <f t="shared" si="2"/>
        <v>0</v>
      </c>
      <c r="F74" s="41">
        <f t="shared" si="3"/>
        <v>0</v>
      </c>
      <c r="G74" s="729"/>
      <c r="H74" s="722"/>
      <c r="I74" s="42">
        <f t="shared" si="4"/>
        <v>0</v>
      </c>
      <c r="J74" s="43">
        <f t="shared" ca="1" si="5"/>
        <v>0</v>
      </c>
      <c r="K74" s="37"/>
      <c r="L74" s="37"/>
      <c r="M74" s="37"/>
      <c r="N74" s="37"/>
      <c r="O74" s="37"/>
      <c r="P74" s="37"/>
      <c r="Q74" s="37"/>
      <c r="R74" s="37"/>
      <c r="S74" s="37"/>
      <c r="T74" s="37"/>
      <c r="U74" s="37"/>
      <c r="V74" s="37"/>
      <c r="W74" s="37"/>
      <c r="X74" s="37"/>
      <c r="Y74" s="37"/>
      <c r="Z74" s="37"/>
      <c r="AA74" s="37"/>
      <c r="AB74" s="37"/>
      <c r="AC74" s="37"/>
      <c r="AD74" s="37"/>
      <c r="AE74" s="37"/>
      <c r="AF74" s="37"/>
      <c r="AG74" s="37"/>
    </row>
    <row r="75" spans="1:33" ht="13.5" customHeight="1">
      <c r="A75" s="37"/>
      <c r="B75" s="37"/>
      <c r="C75" s="721"/>
      <c r="D75" s="717"/>
      <c r="E75" s="41">
        <f t="shared" si="2"/>
        <v>0</v>
      </c>
      <c r="F75" s="41">
        <f t="shared" si="3"/>
        <v>0</v>
      </c>
      <c r="G75" s="729"/>
      <c r="H75" s="722"/>
      <c r="I75" s="42">
        <f t="shared" si="4"/>
        <v>0</v>
      </c>
      <c r="J75" s="43">
        <f t="shared" ca="1" si="5"/>
        <v>0</v>
      </c>
      <c r="K75" s="37"/>
      <c r="L75" s="37"/>
      <c r="M75" s="37"/>
      <c r="N75" s="37"/>
      <c r="O75" s="37"/>
      <c r="P75" s="37"/>
      <c r="Q75" s="37"/>
      <c r="R75" s="37"/>
      <c r="S75" s="37"/>
      <c r="T75" s="37"/>
      <c r="U75" s="37"/>
      <c r="V75" s="37"/>
      <c r="W75" s="37"/>
      <c r="X75" s="37"/>
      <c r="Y75" s="37"/>
      <c r="Z75" s="37"/>
      <c r="AA75" s="37"/>
      <c r="AB75" s="37"/>
      <c r="AC75" s="37"/>
      <c r="AD75" s="37"/>
      <c r="AE75" s="37"/>
      <c r="AF75" s="37"/>
      <c r="AG75" s="37"/>
    </row>
    <row r="76" spans="1:33" ht="13.5" customHeight="1">
      <c r="A76" s="37"/>
      <c r="B76" s="37"/>
      <c r="C76" s="721"/>
      <c r="D76" s="717"/>
      <c r="E76" s="41">
        <f t="shared" si="2"/>
        <v>0</v>
      </c>
      <c r="F76" s="41">
        <f t="shared" si="3"/>
        <v>0</v>
      </c>
      <c r="G76" s="729"/>
      <c r="H76" s="722"/>
      <c r="I76" s="42">
        <f t="shared" si="4"/>
        <v>0</v>
      </c>
      <c r="J76" s="43">
        <f t="shared" ca="1" si="5"/>
        <v>0</v>
      </c>
      <c r="K76" s="37"/>
      <c r="L76" s="37"/>
      <c r="M76" s="37"/>
      <c r="N76" s="37"/>
      <c r="O76" s="37"/>
      <c r="P76" s="37"/>
      <c r="Q76" s="37"/>
      <c r="R76" s="37"/>
      <c r="S76" s="37"/>
      <c r="T76" s="37"/>
      <c r="U76" s="37"/>
      <c r="V76" s="37"/>
      <c r="W76" s="37"/>
      <c r="X76" s="37"/>
      <c r="Y76" s="37"/>
      <c r="Z76" s="37"/>
      <c r="AA76" s="37"/>
      <c r="AB76" s="37"/>
      <c r="AC76" s="37"/>
      <c r="AD76" s="37"/>
      <c r="AE76" s="37"/>
      <c r="AF76" s="37"/>
      <c r="AG76" s="37"/>
    </row>
    <row r="77" spans="1:33" ht="13.5" customHeight="1">
      <c r="A77" s="37"/>
      <c r="B77" s="37"/>
      <c r="C77" s="721"/>
      <c r="D77" s="717"/>
      <c r="E77" s="41">
        <f t="shared" si="2"/>
        <v>0</v>
      </c>
      <c r="F77" s="41">
        <f t="shared" si="3"/>
        <v>0</v>
      </c>
      <c r="G77" s="729"/>
      <c r="H77" s="722"/>
      <c r="I77" s="42">
        <f t="shared" si="4"/>
        <v>0</v>
      </c>
      <c r="J77" s="43">
        <f t="shared" ca="1" si="5"/>
        <v>0</v>
      </c>
      <c r="K77" s="37"/>
      <c r="L77" s="37"/>
      <c r="M77" s="37"/>
      <c r="N77" s="37"/>
      <c r="O77" s="37"/>
      <c r="P77" s="37"/>
      <c r="Q77" s="37"/>
      <c r="R77" s="37"/>
      <c r="S77" s="37"/>
      <c r="T77" s="37"/>
      <c r="U77" s="37"/>
      <c r="V77" s="37"/>
      <c r="W77" s="37"/>
      <c r="X77" s="37"/>
      <c r="Y77" s="37"/>
      <c r="Z77" s="37"/>
      <c r="AA77" s="37"/>
      <c r="AB77" s="37"/>
      <c r="AC77" s="37"/>
      <c r="AD77" s="37"/>
      <c r="AE77" s="37"/>
      <c r="AF77" s="37"/>
      <c r="AG77" s="37"/>
    </row>
    <row r="78" spans="1:33" ht="13.5" customHeight="1">
      <c r="A78" s="37"/>
      <c r="B78" s="37"/>
      <c r="C78" s="721"/>
      <c r="D78" s="717"/>
      <c r="E78" s="41">
        <f t="shared" si="2"/>
        <v>0</v>
      </c>
      <c r="F78" s="41">
        <f t="shared" si="3"/>
        <v>0</v>
      </c>
      <c r="G78" s="729"/>
      <c r="H78" s="722"/>
      <c r="I78" s="42">
        <f t="shared" si="4"/>
        <v>0</v>
      </c>
      <c r="J78" s="43">
        <f t="shared" ca="1" si="5"/>
        <v>0</v>
      </c>
      <c r="K78" s="37"/>
      <c r="L78" s="37"/>
      <c r="M78" s="37"/>
      <c r="N78" s="37"/>
      <c r="O78" s="37"/>
      <c r="P78" s="37"/>
      <c r="Q78" s="37"/>
      <c r="R78" s="37"/>
      <c r="S78" s="37"/>
      <c r="T78" s="37"/>
      <c r="U78" s="37"/>
      <c r="V78" s="37"/>
      <c r="W78" s="37"/>
      <c r="X78" s="37"/>
      <c r="Y78" s="37"/>
      <c r="Z78" s="37"/>
      <c r="AA78" s="37"/>
      <c r="AB78" s="37"/>
      <c r="AC78" s="37"/>
      <c r="AD78" s="37"/>
      <c r="AE78" s="37"/>
      <c r="AF78" s="37"/>
      <c r="AG78" s="37"/>
    </row>
    <row r="79" spans="1:33" ht="13.5" customHeight="1">
      <c r="A79" s="37"/>
      <c r="B79" s="37"/>
      <c r="C79" s="721"/>
      <c r="D79" s="717"/>
      <c r="E79" s="41">
        <f t="shared" si="2"/>
        <v>0</v>
      </c>
      <c r="F79" s="41">
        <f t="shared" si="3"/>
        <v>0</v>
      </c>
      <c r="G79" s="729"/>
      <c r="H79" s="722"/>
      <c r="I79" s="42">
        <f t="shared" si="4"/>
        <v>0</v>
      </c>
      <c r="J79" s="43">
        <f t="shared" ca="1" si="5"/>
        <v>0</v>
      </c>
      <c r="K79" s="37"/>
      <c r="L79" s="37"/>
      <c r="M79" s="37"/>
      <c r="N79" s="37"/>
      <c r="O79" s="37"/>
      <c r="P79" s="37"/>
      <c r="Q79" s="37"/>
      <c r="R79" s="37"/>
      <c r="S79" s="37"/>
      <c r="T79" s="37"/>
      <c r="U79" s="37"/>
      <c r="V79" s="37"/>
      <c r="W79" s="37"/>
      <c r="X79" s="37"/>
      <c r="Y79" s="37"/>
      <c r="Z79" s="37"/>
      <c r="AA79" s="37"/>
      <c r="AB79" s="37"/>
      <c r="AC79" s="37"/>
      <c r="AD79" s="37"/>
      <c r="AE79" s="37"/>
      <c r="AF79" s="37"/>
      <c r="AG79" s="37"/>
    </row>
    <row r="80" spans="1:33" ht="13.5" customHeight="1">
      <c r="A80" s="37"/>
      <c r="B80" s="37"/>
      <c r="C80" s="721"/>
      <c r="D80" s="717"/>
      <c r="E80" s="41">
        <f t="shared" si="2"/>
        <v>0</v>
      </c>
      <c r="F80" s="41">
        <f t="shared" si="3"/>
        <v>0</v>
      </c>
      <c r="G80" s="729"/>
      <c r="H80" s="722"/>
      <c r="I80" s="42">
        <f t="shared" si="4"/>
        <v>0</v>
      </c>
      <c r="J80" s="43">
        <f t="shared" ca="1" si="5"/>
        <v>0</v>
      </c>
      <c r="K80" s="37"/>
      <c r="L80" s="37"/>
      <c r="M80" s="37"/>
      <c r="N80" s="37"/>
      <c r="O80" s="37"/>
      <c r="P80" s="37"/>
      <c r="Q80" s="37"/>
      <c r="R80" s="37"/>
      <c r="S80" s="37"/>
      <c r="T80" s="37"/>
      <c r="U80" s="37"/>
      <c r="V80" s="37"/>
      <c r="W80" s="37"/>
      <c r="X80" s="37"/>
      <c r="Y80" s="37"/>
      <c r="Z80" s="37"/>
      <c r="AA80" s="37"/>
      <c r="AB80" s="37"/>
      <c r="AC80" s="37"/>
      <c r="AD80" s="37"/>
      <c r="AE80" s="37"/>
      <c r="AF80" s="37"/>
      <c r="AG80" s="37"/>
    </row>
    <row r="81" spans="1:33" ht="13.5" customHeight="1">
      <c r="A81" s="37"/>
      <c r="B81" s="37"/>
      <c r="C81" s="721"/>
      <c r="D81" s="717"/>
      <c r="E81" s="41">
        <f t="shared" si="2"/>
        <v>0</v>
      </c>
      <c r="F81" s="41">
        <f t="shared" si="3"/>
        <v>0</v>
      </c>
      <c r="G81" s="729"/>
      <c r="H81" s="722"/>
      <c r="I81" s="42">
        <f t="shared" si="4"/>
        <v>0</v>
      </c>
      <c r="J81" s="43">
        <f t="shared" ca="1" si="5"/>
        <v>0</v>
      </c>
      <c r="K81" s="37"/>
      <c r="L81" s="37"/>
      <c r="M81" s="37"/>
      <c r="N81" s="37"/>
      <c r="O81" s="37"/>
      <c r="P81" s="37"/>
      <c r="Q81" s="37"/>
      <c r="R81" s="37"/>
      <c r="S81" s="37"/>
      <c r="T81" s="37"/>
      <c r="U81" s="37"/>
      <c r="V81" s="37"/>
      <c r="W81" s="37"/>
      <c r="X81" s="37"/>
      <c r="Y81" s="37"/>
      <c r="Z81" s="37"/>
      <c r="AA81" s="37"/>
      <c r="AB81" s="37"/>
      <c r="AC81" s="37"/>
      <c r="AD81" s="37"/>
      <c r="AE81" s="37"/>
      <c r="AF81" s="37"/>
      <c r="AG81" s="37"/>
    </row>
    <row r="82" spans="1:33" ht="13.5" customHeight="1">
      <c r="A82" s="37"/>
      <c r="B82" s="37"/>
      <c r="C82" s="721"/>
      <c r="D82" s="717"/>
      <c r="E82" s="41">
        <f t="shared" si="2"/>
        <v>0</v>
      </c>
      <c r="F82" s="41">
        <f t="shared" si="3"/>
        <v>0</v>
      </c>
      <c r="G82" s="729"/>
      <c r="H82" s="722"/>
      <c r="I82" s="42">
        <f t="shared" si="4"/>
        <v>0</v>
      </c>
      <c r="J82" s="43">
        <f t="shared" ca="1" si="5"/>
        <v>0</v>
      </c>
      <c r="K82" s="37"/>
      <c r="L82" s="37"/>
      <c r="M82" s="37"/>
      <c r="N82" s="37"/>
      <c r="O82" s="37"/>
      <c r="P82" s="37"/>
      <c r="Q82" s="37"/>
      <c r="R82" s="37"/>
      <c r="S82" s="37"/>
      <c r="T82" s="37"/>
      <c r="U82" s="37"/>
      <c r="V82" s="37"/>
      <c r="W82" s="37"/>
      <c r="X82" s="37"/>
      <c r="Y82" s="37"/>
      <c r="Z82" s="37"/>
      <c r="AA82" s="37"/>
      <c r="AB82" s="37"/>
      <c r="AC82" s="37"/>
      <c r="AD82" s="37"/>
      <c r="AE82" s="37"/>
      <c r="AF82" s="37"/>
      <c r="AG82" s="37"/>
    </row>
    <row r="83" spans="1:33" ht="13.5" customHeight="1">
      <c r="A83" s="37"/>
      <c r="B83" s="37"/>
      <c r="C83" s="721"/>
      <c r="D83" s="717"/>
      <c r="E83" s="41">
        <f t="shared" si="2"/>
        <v>0</v>
      </c>
      <c r="F83" s="41">
        <f t="shared" si="3"/>
        <v>0</v>
      </c>
      <c r="G83" s="729"/>
      <c r="H83" s="722"/>
      <c r="I83" s="42">
        <f t="shared" si="4"/>
        <v>0</v>
      </c>
      <c r="J83" s="43">
        <f t="shared" ca="1" si="5"/>
        <v>0</v>
      </c>
      <c r="K83" s="37"/>
      <c r="L83" s="37"/>
      <c r="M83" s="37"/>
      <c r="N83" s="37"/>
      <c r="O83" s="37"/>
      <c r="P83" s="37"/>
      <c r="Q83" s="37"/>
      <c r="R83" s="37"/>
      <c r="S83" s="37"/>
      <c r="T83" s="37"/>
      <c r="U83" s="37"/>
      <c r="V83" s="37"/>
      <c r="W83" s="37"/>
      <c r="X83" s="37"/>
      <c r="Y83" s="37"/>
      <c r="Z83" s="37"/>
      <c r="AA83" s="37"/>
      <c r="AB83" s="37"/>
      <c r="AC83" s="37"/>
      <c r="AD83" s="37"/>
      <c r="AE83" s="37"/>
      <c r="AF83" s="37"/>
      <c r="AG83" s="37"/>
    </row>
    <row r="84" spans="1:33" ht="13.5" customHeight="1">
      <c r="A84" s="37"/>
      <c r="B84" s="37"/>
      <c r="C84" s="721"/>
      <c r="D84" s="717"/>
      <c r="E84" s="41">
        <f t="shared" si="2"/>
        <v>0</v>
      </c>
      <c r="F84" s="41">
        <f t="shared" si="3"/>
        <v>0</v>
      </c>
      <c r="G84" s="729"/>
      <c r="H84" s="722"/>
      <c r="I84" s="42">
        <f t="shared" si="4"/>
        <v>0</v>
      </c>
      <c r="J84" s="43">
        <f t="shared" ca="1" si="5"/>
        <v>0</v>
      </c>
      <c r="K84" s="37"/>
      <c r="L84" s="37"/>
      <c r="M84" s="37"/>
      <c r="N84" s="37"/>
      <c r="O84" s="37"/>
      <c r="P84" s="37"/>
      <c r="Q84" s="37"/>
      <c r="R84" s="37"/>
      <c r="S84" s="37"/>
      <c r="T84" s="37"/>
      <c r="U84" s="37"/>
      <c r="V84" s="37"/>
      <c r="W84" s="37"/>
      <c r="X84" s="37"/>
      <c r="Y84" s="37"/>
      <c r="Z84" s="37"/>
      <c r="AA84" s="37"/>
      <c r="AB84" s="37"/>
      <c r="AC84" s="37"/>
      <c r="AD84" s="37"/>
      <c r="AE84" s="37"/>
      <c r="AF84" s="37"/>
      <c r="AG84" s="37"/>
    </row>
    <row r="85" spans="1:33" ht="13.5" customHeight="1">
      <c r="A85" s="37"/>
      <c r="B85" s="37"/>
      <c r="C85" s="721"/>
      <c r="D85" s="717"/>
      <c r="E85" s="41">
        <f t="shared" si="2"/>
        <v>0</v>
      </c>
      <c r="F85" s="41">
        <f t="shared" si="3"/>
        <v>0</v>
      </c>
      <c r="G85" s="729"/>
      <c r="H85" s="722"/>
      <c r="I85" s="42">
        <f t="shared" si="4"/>
        <v>0</v>
      </c>
      <c r="J85" s="43">
        <f t="shared" ca="1" si="5"/>
        <v>0</v>
      </c>
      <c r="K85" s="37"/>
      <c r="L85" s="37"/>
      <c r="M85" s="37"/>
      <c r="N85" s="37"/>
      <c r="O85" s="37"/>
      <c r="P85" s="37"/>
      <c r="Q85" s="37"/>
      <c r="R85" s="37"/>
      <c r="S85" s="37"/>
      <c r="T85" s="37"/>
      <c r="U85" s="37"/>
      <c r="V85" s="37"/>
      <c r="W85" s="37"/>
      <c r="X85" s="37"/>
      <c r="Y85" s="37"/>
      <c r="Z85" s="37"/>
      <c r="AA85" s="37"/>
      <c r="AB85" s="37"/>
      <c r="AC85" s="37"/>
      <c r="AD85" s="37"/>
      <c r="AE85" s="37"/>
      <c r="AF85" s="37"/>
      <c r="AG85" s="37"/>
    </row>
    <row r="86" spans="1:33" ht="13.5" customHeight="1">
      <c r="A86" s="37"/>
      <c r="B86" s="37"/>
      <c r="C86" s="721"/>
      <c r="D86" s="717"/>
      <c r="E86" s="41">
        <f t="shared" si="2"/>
        <v>0</v>
      </c>
      <c r="F86" s="41">
        <f t="shared" si="3"/>
        <v>0</v>
      </c>
      <c r="G86" s="729"/>
      <c r="H86" s="722"/>
      <c r="I86" s="42">
        <f t="shared" si="4"/>
        <v>0</v>
      </c>
      <c r="J86" s="43">
        <f t="shared" ca="1" si="5"/>
        <v>0</v>
      </c>
      <c r="K86" s="37"/>
      <c r="L86" s="37"/>
      <c r="M86" s="37"/>
      <c r="N86" s="37"/>
      <c r="O86" s="37"/>
      <c r="P86" s="37"/>
      <c r="Q86" s="37"/>
      <c r="R86" s="37"/>
      <c r="S86" s="37"/>
      <c r="T86" s="37"/>
      <c r="U86" s="37"/>
      <c r="V86" s="37"/>
      <c r="W86" s="37"/>
      <c r="X86" s="37"/>
      <c r="Y86" s="37"/>
      <c r="Z86" s="37"/>
      <c r="AA86" s="37"/>
      <c r="AB86" s="37"/>
      <c r="AC86" s="37"/>
      <c r="AD86" s="37"/>
      <c r="AE86" s="37"/>
      <c r="AF86" s="37"/>
      <c r="AG86" s="37"/>
    </row>
    <row r="87" spans="1:33" ht="13.5" customHeight="1">
      <c r="A87" s="37"/>
      <c r="B87" s="37"/>
      <c r="C87" s="721"/>
      <c r="D87" s="717"/>
      <c r="E87" s="41">
        <f t="shared" si="2"/>
        <v>0</v>
      </c>
      <c r="F87" s="41">
        <f t="shared" si="3"/>
        <v>0</v>
      </c>
      <c r="G87" s="729"/>
      <c r="H87" s="722"/>
      <c r="I87" s="42">
        <f t="shared" si="4"/>
        <v>0</v>
      </c>
      <c r="J87" s="43">
        <f t="shared" ca="1" si="5"/>
        <v>0</v>
      </c>
      <c r="K87" s="37"/>
      <c r="L87" s="37"/>
      <c r="M87" s="37"/>
      <c r="N87" s="37"/>
      <c r="O87" s="37"/>
      <c r="P87" s="37"/>
      <c r="Q87" s="37"/>
      <c r="R87" s="37"/>
      <c r="S87" s="37"/>
      <c r="T87" s="37"/>
      <c r="U87" s="37"/>
      <c r="V87" s="37"/>
      <c r="W87" s="37"/>
      <c r="X87" s="37"/>
      <c r="Y87" s="37"/>
      <c r="Z87" s="37"/>
      <c r="AA87" s="37"/>
      <c r="AB87" s="37"/>
      <c r="AC87" s="37"/>
      <c r="AD87" s="37"/>
      <c r="AE87" s="37"/>
      <c r="AF87" s="37"/>
      <c r="AG87" s="37"/>
    </row>
    <row r="88" spans="1:33" ht="13.5" customHeight="1">
      <c r="A88" s="37"/>
      <c r="B88" s="37"/>
      <c r="C88" s="721"/>
      <c r="D88" s="717"/>
      <c r="E88" s="41">
        <f t="shared" si="2"/>
        <v>0</v>
      </c>
      <c r="F88" s="41">
        <f t="shared" si="3"/>
        <v>0</v>
      </c>
      <c r="G88" s="729"/>
      <c r="H88" s="722"/>
      <c r="I88" s="42">
        <f t="shared" si="4"/>
        <v>0</v>
      </c>
      <c r="J88" s="43">
        <f t="shared" ca="1" si="5"/>
        <v>0</v>
      </c>
      <c r="K88" s="37"/>
      <c r="L88" s="37"/>
      <c r="M88" s="37"/>
      <c r="N88" s="37"/>
      <c r="O88" s="37"/>
      <c r="P88" s="37"/>
      <c r="Q88" s="37"/>
      <c r="R88" s="37"/>
      <c r="S88" s="37"/>
      <c r="T88" s="37"/>
      <c r="U88" s="37"/>
      <c r="V88" s="37"/>
      <c r="W88" s="37"/>
      <c r="X88" s="37"/>
      <c r="Y88" s="37"/>
      <c r="Z88" s="37"/>
      <c r="AA88" s="37"/>
      <c r="AB88" s="37"/>
      <c r="AC88" s="37"/>
      <c r="AD88" s="37"/>
      <c r="AE88" s="37"/>
      <c r="AF88" s="37"/>
      <c r="AG88" s="37"/>
    </row>
    <row r="89" spans="1:33" ht="13.5" customHeight="1">
      <c r="A89" s="37"/>
      <c r="B89" s="37"/>
      <c r="C89" s="721"/>
      <c r="D89" s="717"/>
      <c r="E89" s="41">
        <f t="shared" si="2"/>
        <v>0</v>
      </c>
      <c r="F89" s="41">
        <f t="shared" si="3"/>
        <v>0</v>
      </c>
      <c r="G89" s="729"/>
      <c r="H89" s="722"/>
      <c r="I89" s="42">
        <f t="shared" si="4"/>
        <v>0</v>
      </c>
      <c r="J89" s="43">
        <f t="shared" ca="1" si="5"/>
        <v>0</v>
      </c>
      <c r="K89" s="37"/>
      <c r="L89" s="37"/>
      <c r="M89" s="37"/>
      <c r="N89" s="37"/>
      <c r="O89" s="37"/>
      <c r="P89" s="37"/>
      <c r="Q89" s="37"/>
      <c r="R89" s="37"/>
      <c r="S89" s="37"/>
      <c r="T89" s="37"/>
      <c r="U89" s="37"/>
      <c r="V89" s="37"/>
      <c r="W89" s="37"/>
      <c r="X89" s="37"/>
      <c r="Y89" s="37"/>
      <c r="Z89" s="37"/>
      <c r="AA89" s="37"/>
      <c r="AB89" s="37"/>
      <c r="AC89" s="37"/>
      <c r="AD89" s="37"/>
      <c r="AE89" s="37"/>
      <c r="AF89" s="37"/>
      <c r="AG89" s="37"/>
    </row>
    <row r="90" spans="1:33" ht="13.5" customHeight="1">
      <c r="A90" s="37"/>
      <c r="B90" s="37"/>
      <c r="C90" s="721"/>
      <c r="D90" s="717"/>
      <c r="E90" s="41">
        <f t="shared" si="2"/>
        <v>0</v>
      </c>
      <c r="F90" s="41">
        <f t="shared" si="3"/>
        <v>0</v>
      </c>
      <c r="G90" s="729"/>
      <c r="H90" s="722"/>
      <c r="I90" s="42">
        <f t="shared" si="4"/>
        <v>0</v>
      </c>
      <c r="J90" s="43">
        <f t="shared" ca="1" si="5"/>
        <v>0</v>
      </c>
      <c r="K90" s="37"/>
      <c r="L90" s="37"/>
      <c r="M90" s="37"/>
      <c r="N90" s="37"/>
      <c r="O90" s="37"/>
      <c r="P90" s="37"/>
      <c r="Q90" s="37"/>
      <c r="R90" s="37"/>
      <c r="S90" s="37"/>
      <c r="T90" s="37"/>
      <c r="U90" s="37"/>
      <c r="V90" s="37"/>
      <c r="W90" s="37"/>
      <c r="X90" s="37"/>
      <c r="Y90" s="37"/>
      <c r="Z90" s="37"/>
      <c r="AA90" s="37"/>
      <c r="AB90" s="37"/>
      <c r="AC90" s="37"/>
      <c r="AD90" s="37"/>
      <c r="AE90" s="37"/>
      <c r="AF90" s="37"/>
      <c r="AG90" s="37"/>
    </row>
    <row r="91" spans="1:33" ht="13.5" customHeight="1">
      <c r="A91" s="37"/>
      <c r="B91" s="37"/>
      <c r="C91" s="721"/>
      <c r="D91" s="717"/>
      <c r="E91" s="41">
        <f t="shared" si="2"/>
        <v>0</v>
      </c>
      <c r="F91" s="41">
        <f t="shared" si="3"/>
        <v>0</v>
      </c>
      <c r="G91" s="729"/>
      <c r="H91" s="722"/>
      <c r="I91" s="42">
        <f t="shared" si="4"/>
        <v>0</v>
      </c>
      <c r="J91" s="43">
        <f t="shared" ca="1" si="5"/>
        <v>0</v>
      </c>
      <c r="K91" s="37"/>
      <c r="L91" s="37"/>
      <c r="M91" s="37"/>
      <c r="N91" s="37"/>
      <c r="O91" s="37"/>
      <c r="P91" s="37"/>
      <c r="Q91" s="37"/>
      <c r="R91" s="37"/>
      <c r="S91" s="37"/>
      <c r="T91" s="37"/>
      <c r="U91" s="37"/>
      <c r="V91" s="37"/>
      <c r="W91" s="37"/>
      <c r="X91" s="37"/>
      <c r="Y91" s="37"/>
      <c r="Z91" s="37"/>
      <c r="AA91" s="37"/>
      <c r="AB91" s="37"/>
      <c r="AC91" s="37"/>
      <c r="AD91" s="37"/>
      <c r="AE91" s="37"/>
      <c r="AF91" s="37"/>
      <c r="AG91" s="37"/>
    </row>
    <row r="92" spans="1:33" ht="13.5" customHeight="1">
      <c r="A92" s="37"/>
      <c r="B92" s="37"/>
      <c r="C92" s="721"/>
      <c r="D92" s="717"/>
      <c r="E92" s="41">
        <f t="shared" si="2"/>
        <v>0</v>
      </c>
      <c r="F92" s="41">
        <f t="shared" si="3"/>
        <v>0</v>
      </c>
      <c r="G92" s="729"/>
      <c r="H92" s="722"/>
      <c r="I92" s="42">
        <f t="shared" si="4"/>
        <v>0</v>
      </c>
      <c r="J92" s="43">
        <f t="shared" ca="1" si="5"/>
        <v>0</v>
      </c>
      <c r="K92" s="37"/>
      <c r="L92" s="37"/>
      <c r="M92" s="37"/>
      <c r="N92" s="37"/>
      <c r="O92" s="37"/>
      <c r="P92" s="37"/>
      <c r="Q92" s="37"/>
      <c r="R92" s="37"/>
      <c r="S92" s="37"/>
      <c r="T92" s="37"/>
      <c r="U92" s="37"/>
      <c r="V92" s="37"/>
      <c r="W92" s="37"/>
      <c r="X92" s="37"/>
      <c r="Y92" s="37"/>
      <c r="Z92" s="37"/>
      <c r="AA92" s="37"/>
      <c r="AB92" s="37"/>
      <c r="AC92" s="37"/>
      <c r="AD92" s="37"/>
      <c r="AE92" s="37"/>
      <c r="AF92" s="37"/>
      <c r="AG92" s="37"/>
    </row>
    <row r="93" spans="1:33" ht="13.5" customHeight="1">
      <c r="A93" s="37"/>
      <c r="B93" s="37"/>
      <c r="C93" s="721"/>
      <c r="D93" s="717"/>
      <c r="E93" s="41">
        <f t="shared" si="2"/>
        <v>0</v>
      </c>
      <c r="F93" s="41">
        <f t="shared" si="3"/>
        <v>0</v>
      </c>
      <c r="G93" s="729"/>
      <c r="H93" s="722"/>
      <c r="I93" s="42">
        <f t="shared" si="4"/>
        <v>0</v>
      </c>
      <c r="J93" s="43">
        <f t="shared" ca="1" si="5"/>
        <v>0</v>
      </c>
      <c r="K93" s="37"/>
      <c r="L93" s="37"/>
      <c r="M93" s="37"/>
      <c r="N93" s="37"/>
      <c r="O93" s="37"/>
      <c r="P93" s="37"/>
      <c r="Q93" s="37"/>
      <c r="R93" s="37"/>
      <c r="S93" s="37"/>
      <c r="T93" s="37"/>
      <c r="U93" s="37"/>
      <c r="V93" s="37"/>
      <c r="W93" s="37"/>
      <c r="X93" s="37"/>
      <c r="Y93" s="37"/>
      <c r="Z93" s="37"/>
      <c r="AA93" s="37"/>
      <c r="AB93" s="37"/>
      <c r="AC93" s="37"/>
      <c r="AD93" s="37"/>
      <c r="AE93" s="37"/>
      <c r="AF93" s="37"/>
      <c r="AG93" s="37"/>
    </row>
    <row r="94" spans="1:33" ht="13.5" customHeight="1">
      <c r="A94" s="37"/>
      <c r="B94" s="37"/>
      <c r="C94" s="721"/>
      <c r="D94" s="717"/>
      <c r="E94" s="41">
        <f t="shared" si="2"/>
        <v>0</v>
      </c>
      <c r="F94" s="41">
        <f t="shared" si="3"/>
        <v>0</v>
      </c>
      <c r="G94" s="729"/>
      <c r="H94" s="722"/>
      <c r="I94" s="42">
        <f t="shared" si="4"/>
        <v>0</v>
      </c>
      <c r="J94" s="43">
        <f t="shared" ca="1" si="5"/>
        <v>0</v>
      </c>
      <c r="K94" s="37"/>
      <c r="L94" s="37"/>
      <c r="M94" s="37"/>
      <c r="N94" s="37"/>
      <c r="O94" s="37"/>
      <c r="P94" s="37"/>
      <c r="Q94" s="37"/>
      <c r="R94" s="37"/>
      <c r="S94" s="37"/>
      <c r="T94" s="37"/>
      <c r="U94" s="37"/>
      <c r="V94" s="37"/>
      <c r="W94" s="37"/>
      <c r="X94" s="37"/>
      <c r="Y94" s="37"/>
      <c r="Z94" s="37"/>
      <c r="AA94" s="37"/>
      <c r="AB94" s="37"/>
      <c r="AC94" s="37"/>
      <c r="AD94" s="37"/>
      <c r="AE94" s="37"/>
      <c r="AF94" s="37"/>
      <c r="AG94" s="37"/>
    </row>
    <row r="95" spans="1:33" ht="13.5" customHeight="1">
      <c r="A95" s="37"/>
      <c r="B95" s="37"/>
      <c r="C95" s="721"/>
      <c r="D95" s="717"/>
      <c r="E95" s="41">
        <f t="shared" si="2"/>
        <v>0</v>
      </c>
      <c r="F95" s="41">
        <f t="shared" si="3"/>
        <v>0</v>
      </c>
      <c r="G95" s="729"/>
      <c r="H95" s="722"/>
      <c r="I95" s="42">
        <f t="shared" si="4"/>
        <v>0</v>
      </c>
      <c r="J95" s="43">
        <f t="shared" ca="1" si="5"/>
        <v>0</v>
      </c>
      <c r="K95" s="37"/>
      <c r="L95" s="37"/>
      <c r="M95" s="37"/>
      <c r="N95" s="37"/>
      <c r="O95" s="37"/>
      <c r="P95" s="37"/>
      <c r="Q95" s="37"/>
      <c r="R95" s="37"/>
      <c r="S95" s="37"/>
      <c r="T95" s="37"/>
      <c r="U95" s="37"/>
      <c r="V95" s="37"/>
      <c r="W95" s="37"/>
      <c r="X95" s="37"/>
      <c r="Y95" s="37"/>
      <c r="Z95" s="37"/>
      <c r="AA95" s="37"/>
      <c r="AB95" s="37"/>
      <c r="AC95" s="37"/>
      <c r="AD95" s="37"/>
      <c r="AE95" s="37"/>
      <c r="AF95" s="37"/>
      <c r="AG95" s="37"/>
    </row>
    <row r="96" spans="1:33" ht="13.5" customHeight="1">
      <c r="A96" s="37"/>
      <c r="B96" s="37"/>
      <c r="C96" s="721"/>
      <c r="D96" s="717"/>
      <c r="E96" s="41">
        <f t="shared" si="2"/>
        <v>0</v>
      </c>
      <c r="F96" s="41">
        <f t="shared" si="3"/>
        <v>0</v>
      </c>
      <c r="G96" s="729"/>
      <c r="H96" s="722"/>
      <c r="I96" s="42">
        <f t="shared" si="4"/>
        <v>0</v>
      </c>
      <c r="J96" s="43">
        <f t="shared" ca="1" si="5"/>
        <v>0</v>
      </c>
      <c r="K96" s="37"/>
      <c r="L96" s="37"/>
      <c r="M96" s="37"/>
      <c r="N96" s="37"/>
      <c r="O96" s="37"/>
      <c r="P96" s="37"/>
      <c r="Q96" s="37"/>
      <c r="R96" s="37"/>
      <c r="S96" s="37"/>
      <c r="T96" s="37"/>
      <c r="U96" s="37"/>
      <c r="V96" s="37"/>
      <c r="W96" s="37"/>
      <c r="X96" s="37"/>
      <c r="Y96" s="37"/>
      <c r="Z96" s="37"/>
      <c r="AA96" s="37"/>
      <c r="AB96" s="37"/>
      <c r="AC96" s="37"/>
      <c r="AD96" s="37"/>
      <c r="AE96" s="37"/>
      <c r="AF96" s="37"/>
      <c r="AG96" s="37"/>
    </row>
    <row r="97" spans="1:33" ht="13.5" customHeight="1">
      <c r="A97" s="37"/>
      <c r="B97" s="37"/>
      <c r="C97" s="721"/>
      <c r="D97" s="717"/>
      <c r="E97" s="41">
        <f t="shared" si="2"/>
        <v>0</v>
      </c>
      <c r="F97" s="41">
        <f t="shared" si="3"/>
        <v>0</v>
      </c>
      <c r="G97" s="729"/>
      <c r="H97" s="722"/>
      <c r="I97" s="42">
        <f t="shared" si="4"/>
        <v>0</v>
      </c>
      <c r="J97" s="43">
        <f t="shared" ca="1" si="5"/>
        <v>0</v>
      </c>
      <c r="K97" s="37"/>
      <c r="L97" s="37"/>
      <c r="M97" s="37"/>
      <c r="N97" s="37"/>
      <c r="O97" s="37"/>
      <c r="P97" s="37"/>
      <c r="Q97" s="37"/>
      <c r="R97" s="37"/>
      <c r="S97" s="37"/>
      <c r="T97" s="37"/>
      <c r="U97" s="37"/>
      <c r="V97" s="37"/>
      <c r="W97" s="37"/>
      <c r="X97" s="37"/>
      <c r="Y97" s="37"/>
      <c r="Z97" s="37"/>
      <c r="AA97" s="37"/>
      <c r="AB97" s="37"/>
      <c r="AC97" s="37"/>
      <c r="AD97" s="37"/>
      <c r="AE97" s="37"/>
      <c r="AF97" s="37"/>
      <c r="AG97" s="37"/>
    </row>
    <row r="98" spans="1:33" ht="13.5" customHeight="1">
      <c r="A98" s="37"/>
      <c r="B98" s="37"/>
      <c r="C98" s="721"/>
      <c r="D98" s="717"/>
      <c r="E98" s="41">
        <f t="shared" si="2"/>
        <v>0</v>
      </c>
      <c r="F98" s="41">
        <f t="shared" si="3"/>
        <v>0</v>
      </c>
      <c r="G98" s="729"/>
      <c r="H98" s="722"/>
      <c r="I98" s="42">
        <f t="shared" si="4"/>
        <v>0</v>
      </c>
      <c r="J98" s="43">
        <f t="shared" ca="1" si="5"/>
        <v>0</v>
      </c>
      <c r="K98" s="37"/>
      <c r="L98" s="37"/>
      <c r="M98" s="37"/>
      <c r="N98" s="37"/>
      <c r="O98" s="37"/>
      <c r="P98" s="37"/>
      <c r="Q98" s="37"/>
      <c r="R98" s="37"/>
      <c r="S98" s="37"/>
      <c r="T98" s="37"/>
      <c r="U98" s="37"/>
      <c r="V98" s="37"/>
      <c r="W98" s="37"/>
      <c r="X98" s="37"/>
      <c r="Y98" s="37"/>
      <c r="Z98" s="37"/>
      <c r="AA98" s="37"/>
      <c r="AB98" s="37"/>
      <c r="AC98" s="37"/>
      <c r="AD98" s="37"/>
      <c r="AE98" s="37"/>
      <c r="AF98" s="37"/>
      <c r="AG98" s="37"/>
    </row>
    <row r="99" spans="1:33" ht="13.5" customHeight="1">
      <c r="A99" s="37"/>
      <c r="B99" s="37"/>
      <c r="C99" s="721"/>
      <c r="D99" s="717"/>
      <c r="E99" s="41">
        <f t="shared" si="2"/>
        <v>0</v>
      </c>
      <c r="F99" s="41">
        <f t="shared" si="3"/>
        <v>0</v>
      </c>
      <c r="G99" s="729"/>
      <c r="H99" s="722"/>
      <c r="I99" s="42">
        <f t="shared" si="4"/>
        <v>0</v>
      </c>
      <c r="J99" s="43">
        <f t="shared" ca="1" si="5"/>
        <v>0</v>
      </c>
      <c r="K99" s="37"/>
      <c r="L99" s="37"/>
      <c r="M99" s="37"/>
      <c r="N99" s="37"/>
      <c r="O99" s="37"/>
      <c r="P99" s="37"/>
      <c r="Q99" s="37"/>
      <c r="R99" s="37"/>
      <c r="S99" s="37"/>
      <c r="T99" s="37"/>
      <c r="U99" s="37"/>
      <c r="V99" s="37"/>
      <c r="W99" s="37"/>
      <c r="X99" s="37"/>
      <c r="Y99" s="37"/>
      <c r="Z99" s="37"/>
      <c r="AA99" s="37"/>
      <c r="AB99" s="37"/>
      <c r="AC99" s="37"/>
      <c r="AD99" s="37"/>
      <c r="AE99" s="37"/>
      <c r="AF99" s="37"/>
      <c r="AG99" s="37"/>
    </row>
    <row r="100" spans="1:33" ht="13.5" customHeight="1">
      <c r="A100" s="37"/>
      <c r="B100" s="37"/>
      <c r="C100" s="721"/>
      <c r="D100" s="717"/>
      <c r="E100" s="41">
        <f t="shared" si="2"/>
        <v>0</v>
      </c>
      <c r="F100" s="41">
        <f t="shared" si="3"/>
        <v>0</v>
      </c>
      <c r="G100" s="729"/>
      <c r="H100" s="722"/>
      <c r="I100" s="42">
        <f t="shared" si="4"/>
        <v>0</v>
      </c>
      <c r="J100" s="43">
        <f t="shared" ca="1" si="5"/>
        <v>0</v>
      </c>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row>
    <row r="101" spans="1:33" ht="13.5" customHeight="1">
      <c r="A101" s="37"/>
      <c r="B101" s="37"/>
      <c r="C101" s="721"/>
      <c r="D101" s="717"/>
      <c r="E101" s="41">
        <f t="shared" si="2"/>
        <v>0</v>
      </c>
      <c r="F101" s="41">
        <f t="shared" si="3"/>
        <v>0</v>
      </c>
      <c r="G101" s="729"/>
      <c r="H101" s="722"/>
      <c r="I101" s="42">
        <f t="shared" si="4"/>
        <v>0</v>
      </c>
      <c r="J101" s="43">
        <f t="shared" ca="1" si="5"/>
        <v>0</v>
      </c>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row>
    <row r="102" spans="1:33" ht="13.5" customHeight="1">
      <c r="A102" s="37"/>
      <c r="B102" s="37"/>
      <c r="C102" s="721"/>
      <c r="D102" s="717"/>
      <c r="E102" s="41">
        <f t="shared" si="2"/>
        <v>0</v>
      </c>
      <c r="F102" s="41">
        <f t="shared" si="3"/>
        <v>0</v>
      </c>
      <c r="G102" s="729"/>
      <c r="H102" s="722"/>
      <c r="I102" s="42">
        <f t="shared" si="4"/>
        <v>0</v>
      </c>
      <c r="J102" s="43">
        <f t="shared" ca="1" si="5"/>
        <v>0</v>
      </c>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row>
    <row r="103" spans="1:33" ht="13.5" customHeight="1">
      <c r="A103" s="37"/>
      <c r="B103" s="37"/>
      <c r="C103" s="721"/>
      <c r="D103" s="717"/>
      <c r="E103" s="41">
        <f t="shared" si="2"/>
        <v>0</v>
      </c>
      <c r="F103" s="41">
        <f t="shared" si="3"/>
        <v>0</v>
      </c>
      <c r="G103" s="729"/>
      <c r="H103" s="722"/>
      <c r="I103" s="42">
        <f t="shared" si="4"/>
        <v>0</v>
      </c>
      <c r="J103" s="43">
        <f t="shared" ca="1" si="5"/>
        <v>0</v>
      </c>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row>
    <row r="104" spans="1:33" ht="13.5" customHeight="1">
      <c r="A104" s="37"/>
      <c r="B104" s="37"/>
      <c r="C104" s="721"/>
      <c r="D104" s="717"/>
      <c r="E104" s="41">
        <f t="shared" si="2"/>
        <v>0</v>
      </c>
      <c r="F104" s="41">
        <f t="shared" si="3"/>
        <v>0</v>
      </c>
      <c r="G104" s="729"/>
      <c r="H104" s="722"/>
      <c r="I104" s="42">
        <f t="shared" si="4"/>
        <v>0</v>
      </c>
      <c r="J104" s="43">
        <f t="shared" ca="1" si="5"/>
        <v>0</v>
      </c>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row>
    <row r="105" spans="1:33" ht="13.5" customHeight="1">
      <c r="A105" s="37"/>
      <c r="B105" s="37"/>
      <c r="C105" s="721"/>
      <c r="D105" s="717"/>
      <c r="E105" s="41">
        <f t="shared" si="2"/>
        <v>0</v>
      </c>
      <c r="F105" s="41">
        <f t="shared" si="3"/>
        <v>0</v>
      </c>
      <c r="G105" s="729"/>
      <c r="H105" s="722"/>
      <c r="I105" s="42">
        <f t="shared" si="4"/>
        <v>0</v>
      </c>
      <c r="J105" s="43">
        <f t="shared" ca="1" si="5"/>
        <v>0</v>
      </c>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row>
    <row r="106" spans="1:33" ht="13.5" customHeight="1">
      <c r="A106" s="37"/>
      <c r="B106" s="37"/>
      <c r="C106" s="721"/>
      <c r="D106" s="717"/>
      <c r="E106" s="41">
        <f t="shared" si="2"/>
        <v>0</v>
      </c>
      <c r="F106" s="41">
        <f t="shared" si="3"/>
        <v>0</v>
      </c>
      <c r="G106" s="729"/>
      <c r="H106" s="722"/>
      <c r="I106" s="42">
        <f t="shared" si="4"/>
        <v>0</v>
      </c>
      <c r="J106" s="43">
        <f t="shared" ca="1" si="5"/>
        <v>0</v>
      </c>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row>
    <row r="107" spans="1:33" ht="13.5" customHeight="1">
      <c r="A107" s="37"/>
      <c r="B107" s="37"/>
      <c r="C107" s="721"/>
      <c r="D107" s="717"/>
      <c r="E107" s="41">
        <f t="shared" si="2"/>
        <v>0</v>
      </c>
      <c r="F107" s="41">
        <f t="shared" si="3"/>
        <v>0</v>
      </c>
      <c r="G107" s="729"/>
      <c r="H107" s="722"/>
      <c r="I107" s="42">
        <f t="shared" si="4"/>
        <v>0</v>
      </c>
      <c r="J107" s="43">
        <f t="shared" ca="1" si="5"/>
        <v>0</v>
      </c>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row>
    <row r="108" spans="1:33" ht="13.5" customHeight="1">
      <c r="A108" s="37"/>
      <c r="B108" s="37"/>
      <c r="C108" s="721"/>
      <c r="D108" s="717"/>
      <c r="E108" s="41">
        <f t="shared" si="2"/>
        <v>0</v>
      </c>
      <c r="F108" s="41">
        <f t="shared" si="3"/>
        <v>0</v>
      </c>
      <c r="G108" s="729"/>
      <c r="H108" s="722"/>
      <c r="I108" s="42">
        <f t="shared" si="4"/>
        <v>0</v>
      </c>
      <c r="J108" s="43">
        <f t="shared" ca="1" si="5"/>
        <v>0</v>
      </c>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row>
    <row r="109" spans="1:33" ht="13.5" customHeight="1">
      <c r="A109" s="37"/>
      <c r="B109" s="37"/>
      <c r="C109" s="721"/>
      <c r="D109" s="717"/>
      <c r="E109" s="41">
        <f t="shared" si="2"/>
        <v>0</v>
      </c>
      <c r="F109" s="41">
        <f t="shared" si="3"/>
        <v>0</v>
      </c>
      <c r="G109" s="729"/>
      <c r="H109" s="722"/>
      <c r="I109" s="42">
        <f t="shared" si="4"/>
        <v>0</v>
      </c>
      <c r="J109" s="43">
        <f t="shared" ca="1" si="5"/>
        <v>0</v>
      </c>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row>
    <row r="110" spans="1:33" ht="13.5" customHeight="1">
      <c r="A110" s="37"/>
      <c r="B110" s="37"/>
      <c r="C110" s="721"/>
      <c r="D110" s="717"/>
      <c r="E110" s="41">
        <f t="shared" si="2"/>
        <v>0</v>
      </c>
      <c r="F110" s="41">
        <f t="shared" si="3"/>
        <v>0</v>
      </c>
      <c r="G110" s="729"/>
      <c r="H110" s="722"/>
      <c r="I110" s="42">
        <f t="shared" si="4"/>
        <v>0</v>
      </c>
      <c r="J110" s="43">
        <f t="shared" ca="1" si="5"/>
        <v>0</v>
      </c>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row>
    <row r="111" spans="1:33" ht="13.5" customHeight="1">
      <c r="A111" s="37"/>
      <c r="B111" s="37"/>
      <c r="C111" s="724"/>
      <c r="D111" s="725"/>
      <c r="E111" s="51">
        <f t="shared" si="2"/>
        <v>0</v>
      </c>
      <c r="F111" s="51">
        <f t="shared" si="3"/>
        <v>0</v>
      </c>
      <c r="G111" s="730"/>
      <c r="H111" s="728"/>
      <c r="I111" s="52">
        <f t="shared" si="4"/>
        <v>0</v>
      </c>
      <c r="J111" s="53">
        <f t="shared" ca="1" si="5"/>
        <v>0</v>
      </c>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row>
    <row r="112" spans="1:33" ht="13.5" customHeight="1">
      <c r="A112" s="37"/>
      <c r="B112" s="37"/>
      <c r="C112" s="721"/>
      <c r="D112" s="717"/>
      <c r="E112" s="41"/>
      <c r="F112" s="41"/>
      <c r="G112" s="729"/>
      <c r="H112" s="722"/>
      <c r="I112" s="42"/>
      <c r="J112" s="43"/>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row>
    <row r="113" spans="1:33" ht="13.5" customHeight="1">
      <c r="A113" s="37"/>
      <c r="B113" s="37"/>
      <c r="C113" s="721"/>
      <c r="D113" s="717"/>
      <c r="E113" s="41"/>
      <c r="F113" s="41"/>
      <c r="G113" s="729"/>
      <c r="H113" s="722"/>
      <c r="I113" s="42"/>
      <c r="J113" s="43"/>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row>
    <row r="114" spans="1:33" ht="13.5" customHeight="1">
      <c r="A114" s="37"/>
      <c r="B114" s="37"/>
      <c r="C114" s="721"/>
      <c r="D114" s="717"/>
      <c r="E114" s="41"/>
      <c r="F114" s="41"/>
      <c r="G114" s="729"/>
      <c r="H114" s="722"/>
      <c r="I114" s="42"/>
      <c r="J114" s="43"/>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row>
    <row r="115" spans="1:33" ht="13.5" customHeight="1">
      <c r="A115" s="37"/>
      <c r="B115" s="37"/>
      <c r="C115" s="721"/>
      <c r="D115" s="717"/>
      <c r="E115" s="41"/>
      <c r="F115" s="41"/>
      <c r="G115" s="729"/>
      <c r="H115" s="722"/>
      <c r="I115" s="42"/>
      <c r="J115" s="43"/>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row>
    <row r="116" spans="1:33" ht="13.5" customHeight="1">
      <c r="A116" s="37"/>
      <c r="B116" s="37"/>
      <c r="C116" s="721"/>
      <c r="D116" s="717"/>
      <c r="E116" s="41"/>
      <c r="F116" s="41"/>
      <c r="G116" s="729"/>
      <c r="H116" s="722"/>
      <c r="I116" s="42"/>
      <c r="J116" s="43"/>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row>
    <row r="117" spans="1:33" ht="13.5" customHeight="1">
      <c r="A117" s="37"/>
      <c r="B117" s="37"/>
      <c r="C117" s="721"/>
      <c r="D117" s="717"/>
      <c r="E117" s="41"/>
      <c r="F117" s="41"/>
      <c r="G117" s="729"/>
      <c r="H117" s="722"/>
      <c r="I117" s="42"/>
      <c r="J117" s="43"/>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row>
    <row r="118" spans="1:33" ht="13.5" customHeight="1">
      <c r="A118" s="37"/>
      <c r="B118" s="37"/>
      <c r="C118" s="721"/>
      <c r="D118" s="717"/>
      <c r="E118" s="41"/>
      <c r="F118" s="41"/>
      <c r="G118" s="729"/>
      <c r="H118" s="722"/>
      <c r="I118" s="42"/>
      <c r="J118" s="43"/>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row>
    <row r="119" spans="1:33" ht="13.5" customHeight="1">
      <c r="A119" s="37"/>
      <c r="B119" s="37"/>
      <c r="C119" s="721"/>
      <c r="D119" s="717"/>
      <c r="E119" s="41"/>
      <c r="F119" s="41"/>
      <c r="G119" s="729"/>
      <c r="H119" s="722"/>
      <c r="I119" s="42"/>
      <c r="J119" s="43"/>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row>
    <row r="120" spans="1:33" ht="13.5" customHeight="1">
      <c r="A120" s="37"/>
      <c r="B120" s="37"/>
      <c r="C120" s="721"/>
      <c r="D120" s="717"/>
      <c r="E120" s="41"/>
      <c r="F120" s="41"/>
      <c r="G120" s="729"/>
      <c r="H120" s="722"/>
      <c r="I120" s="42"/>
      <c r="J120" s="43"/>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row>
    <row r="121" spans="1:33" ht="13.5" customHeight="1">
      <c r="A121" s="37"/>
      <c r="B121" s="37"/>
      <c r="C121" s="721"/>
      <c r="D121" s="717"/>
      <c r="E121" s="41"/>
      <c r="F121" s="41"/>
      <c r="G121" s="729"/>
      <c r="H121" s="722"/>
      <c r="I121" s="42"/>
      <c r="J121" s="43"/>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1:33" ht="13.5" customHeight="1">
      <c r="A122" s="37"/>
      <c r="B122" s="37"/>
      <c r="C122" s="721"/>
      <c r="D122" s="717"/>
      <c r="E122" s="41"/>
      <c r="F122" s="41"/>
      <c r="G122" s="729"/>
      <c r="H122" s="722"/>
      <c r="I122" s="42"/>
      <c r="J122" s="43"/>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row>
    <row r="123" spans="1:33" ht="13.5" customHeight="1">
      <c r="A123" s="37"/>
      <c r="B123" s="37"/>
      <c r="C123" s="721"/>
      <c r="D123" s="717"/>
      <c r="E123" s="41"/>
      <c r="F123" s="41"/>
      <c r="G123" s="729"/>
      <c r="H123" s="722"/>
      <c r="I123" s="42"/>
      <c r="J123" s="43"/>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row>
    <row r="124" spans="1:33" ht="13.5" customHeight="1">
      <c r="A124" s="37"/>
      <c r="B124" s="37"/>
      <c r="C124" s="721"/>
      <c r="D124" s="717"/>
      <c r="E124" s="41"/>
      <c r="F124" s="41"/>
      <c r="G124" s="729"/>
      <c r="H124" s="722"/>
      <c r="I124" s="42"/>
      <c r="J124" s="43"/>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row>
    <row r="125" spans="1:33" ht="13.5" customHeight="1">
      <c r="A125" s="37"/>
      <c r="B125" s="37"/>
      <c r="C125" s="721"/>
      <c r="D125" s="717"/>
      <c r="E125" s="41"/>
      <c r="F125" s="41"/>
      <c r="G125" s="729"/>
      <c r="H125" s="722"/>
      <c r="I125" s="42"/>
      <c r="J125" s="43"/>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row>
    <row r="126" spans="1:33" ht="13.5" customHeight="1">
      <c r="A126" s="37"/>
      <c r="B126" s="37"/>
      <c r="C126" s="721"/>
      <c r="D126" s="717"/>
      <c r="E126" s="41"/>
      <c r="F126" s="41"/>
      <c r="G126" s="729"/>
      <c r="H126" s="722"/>
      <c r="I126" s="42"/>
      <c r="J126" s="43"/>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row>
    <row r="127" spans="1:33" ht="13.5" customHeight="1">
      <c r="A127" s="37"/>
      <c r="B127" s="37"/>
      <c r="C127" s="721"/>
      <c r="D127" s="717"/>
      <c r="E127" s="41"/>
      <c r="F127" s="41"/>
      <c r="G127" s="721"/>
      <c r="H127" s="722"/>
      <c r="I127" s="42"/>
      <c r="J127" s="43"/>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row>
    <row r="128" spans="1:33" ht="13.5" customHeight="1">
      <c r="A128" s="37"/>
      <c r="B128" s="37"/>
      <c r="C128" s="721"/>
      <c r="D128" s="717"/>
      <c r="E128" s="41"/>
      <c r="F128" s="41"/>
      <c r="G128" s="721"/>
      <c r="H128" s="722"/>
      <c r="I128" s="42"/>
      <c r="J128" s="43"/>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row>
    <row r="129" spans="1:33" ht="13.5" customHeight="1">
      <c r="A129" s="37"/>
      <c r="B129" s="37"/>
      <c r="C129" s="721"/>
      <c r="D129" s="717"/>
      <c r="E129" s="41"/>
      <c r="F129" s="41"/>
      <c r="G129" s="721"/>
      <c r="H129" s="722"/>
      <c r="I129" s="42"/>
      <c r="J129" s="43"/>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row>
    <row r="130" spans="1:33" ht="13.5" customHeight="1">
      <c r="A130" s="37"/>
      <c r="B130" s="37"/>
      <c r="C130" s="721"/>
      <c r="D130" s="717"/>
      <c r="E130" s="41"/>
      <c r="F130" s="41"/>
      <c r="G130" s="721"/>
      <c r="H130" s="722"/>
      <c r="I130" s="42"/>
      <c r="J130" s="43"/>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row>
    <row r="131" spans="1:33" ht="13.5" customHeight="1">
      <c r="A131" s="37"/>
      <c r="B131" s="37"/>
      <c r="C131" s="721"/>
      <c r="D131" s="717"/>
      <c r="E131" s="41"/>
      <c r="F131" s="41"/>
      <c r="G131" s="721"/>
      <c r="H131" s="722"/>
      <c r="I131" s="42"/>
      <c r="J131" s="43"/>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row>
    <row r="132" spans="1:33" ht="13.5" customHeight="1">
      <c r="A132" s="37"/>
      <c r="B132" s="37"/>
      <c r="C132" s="721"/>
      <c r="D132" s="717"/>
      <c r="E132" s="41"/>
      <c r="F132" s="41"/>
      <c r="G132" s="721"/>
      <c r="H132" s="722"/>
      <c r="I132" s="42"/>
      <c r="J132" s="43"/>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row>
    <row r="133" spans="1:33" ht="13.5" customHeight="1">
      <c r="A133" s="37"/>
      <c r="B133" s="37"/>
      <c r="C133" s="721"/>
      <c r="D133" s="717"/>
      <c r="E133" s="41"/>
      <c r="F133" s="41"/>
      <c r="G133" s="721"/>
      <c r="H133" s="722"/>
      <c r="I133" s="42"/>
      <c r="J133" s="43"/>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row>
    <row r="134" spans="1:33" ht="13.5" customHeight="1">
      <c r="A134" s="37"/>
      <c r="B134" s="37"/>
      <c r="C134" s="721"/>
      <c r="D134" s="717"/>
      <c r="E134" s="41"/>
      <c r="F134" s="41"/>
      <c r="G134" s="721"/>
      <c r="H134" s="722"/>
      <c r="I134" s="42"/>
      <c r="J134" s="43"/>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row>
    <row r="135" spans="1:33" ht="13.5" customHeight="1">
      <c r="A135" s="37"/>
      <c r="B135" s="37"/>
      <c r="C135" s="724"/>
      <c r="D135" s="725"/>
      <c r="E135" s="51"/>
      <c r="F135" s="51"/>
      <c r="G135" s="724"/>
      <c r="H135" s="728"/>
      <c r="I135" s="52"/>
      <c r="J135" s="53"/>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row>
    <row r="136" spans="1:33" ht="13.5" customHeight="1">
      <c r="A136" s="37"/>
      <c r="B136" s="37"/>
      <c r="C136" s="721"/>
      <c r="D136" s="717"/>
      <c r="E136" s="41"/>
      <c r="F136" s="41"/>
      <c r="G136" s="721"/>
      <c r="H136" s="722"/>
      <c r="I136" s="42"/>
      <c r="J136" s="43"/>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row>
    <row r="137" spans="1:33" ht="13.5" customHeight="1">
      <c r="A137" s="37"/>
      <c r="B137" s="37"/>
      <c r="C137" s="721"/>
      <c r="D137" s="717"/>
      <c r="E137" s="41"/>
      <c r="F137" s="41"/>
      <c r="G137" s="721"/>
      <c r="H137" s="722"/>
      <c r="I137" s="42"/>
      <c r="J137" s="43"/>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row>
    <row r="138" spans="1:33" ht="13.5" customHeight="1">
      <c r="A138" s="37"/>
      <c r="B138" s="37"/>
      <c r="C138" s="721"/>
      <c r="D138" s="717"/>
      <c r="E138" s="41"/>
      <c r="F138" s="41"/>
      <c r="G138" s="721"/>
      <c r="H138" s="722"/>
      <c r="I138" s="42"/>
      <c r="J138" s="43"/>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row>
    <row r="139" spans="1:33" ht="13.5" customHeight="1">
      <c r="A139" s="37"/>
      <c r="B139" s="37"/>
      <c r="C139" s="721"/>
      <c r="D139" s="717"/>
      <c r="E139" s="41"/>
      <c r="F139" s="41"/>
      <c r="G139" s="721"/>
      <c r="H139" s="722"/>
      <c r="I139" s="42"/>
      <c r="J139" s="43"/>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row>
    <row r="140" spans="1:33" ht="13.5" customHeight="1">
      <c r="A140" s="37"/>
      <c r="B140" s="37"/>
      <c r="C140" s="721"/>
      <c r="D140" s="717"/>
      <c r="E140" s="41"/>
      <c r="F140" s="41"/>
      <c r="G140" s="721"/>
      <c r="H140" s="722"/>
      <c r="I140" s="42"/>
      <c r="J140" s="43"/>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row>
    <row r="141" spans="1:33" ht="13.5" customHeight="1">
      <c r="A141" s="37"/>
      <c r="B141" s="37"/>
      <c r="C141" s="721"/>
      <c r="D141" s="717"/>
      <c r="E141" s="41"/>
      <c r="F141" s="41"/>
      <c r="G141" s="721"/>
      <c r="H141" s="722"/>
      <c r="I141" s="42"/>
      <c r="J141" s="43"/>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1:33" ht="13.5" customHeight="1">
      <c r="A142" s="37"/>
      <c r="B142" s="37"/>
      <c r="C142" s="721"/>
      <c r="D142" s="717"/>
      <c r="E142" s="41"/>
      <c r="F142" s="41"/>
      <c r="G142" s="721"/>
      <c r="H142" s="722"/>
      <c r="I142" s="42"/>
      <c r="J142" s="43"/>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row>
    <row r="143" spans="1:33" ht="13.5" customHeight="1">
      <c r="A143" s="37"/>
      <c r="B143" s="37"/>
      <c r="C143" s="721"/>
      <c r="D143" s="717"/>
      <c r="E143" s="41"/>
      <c r="F143" s="41"/>
      <c r="G143" s="721"/>
      <c r="H143" s="722"/>
      <c r="I143" s="42"/>
      <c r="J143" s="43"/>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row>
    <row r="144" spans="1:33" ht="13.5" customHeight="1">
      <c r="A144" s="37"/>
      <c r="B144" s="37"/>
      <c r="C144" s="721"/>
      <c r="D144" s="717"/>
      <c r="E144" s="41"/>
      <c r="F144" s="41"/>
      <c r="G144" s="721"/>
      <c r="H144" s="722"/>
      <c r="I144" s="42"/>
      <c r="J144" s="43"/>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row>
    <row r="145" spans="1:33" ht="13.5" customHeight="1">
      <c r="A145" s="37"/>
      <c r="B145" s="37"/>
      <c r="C145" s="721"/>
      <c r="D145" s="717"/>
      <c r="E145" s="41"/>
      <c r="F145" s="41"/>
      <c r="G145" s="721"/>
      <c r="H145" s="722"/>
      <c r="I145" s="42"/>
      <c r="J145" s="43"/>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row>
    <row r="146" spans="1:33" ht="13.5" customHeight="1">
      <c r="A146" s="37"/>
      <c r="B146" s="37"/>
      <c r="C146" s="721"/>
      <c r="D146" s="717"/>
      <c r="E146" s="41"/>
      <c r="F146" s="41"/>
      <c r="G146" s="721"/>
      <c r="H146" s="722"/>
      <c r="I146" s="42"/>
      <c r="J146" s="43"/>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row>
    <row r="147" spans="1:33" ht="13.5" customHeight="1">
      <c r="A147" s="37"/>
      <c r="B147" s="37"/>
      <c r="C147" s="721"/>
      <c r="D147" s="717"/>
      <c r="E147" s="41"/>
      <c r="F147" s="41"/>
      <c r="G147" s="721"/>
      <c r="H147" s="722"/>
      <c r="I147" s="42"/>
      <c r="J147" s="43"/>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row>
    <row r="148" spans="1:33" ht="13.5" customHeight="1">
      <c r="A148" s="37"/>
      <c r="B148" s="37"/>
      <c r="C148" s="721"/>
      <c r="D148" s="717"/>
      <c r="E148" s="41"/>
      <c r="F148" s="41"/>
      <c r="G148" s="721"/>
      <c r="H148" s="722"/>
      <c r="I148" s="42"/>
      <c r="J148" s="43"/>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row>
    <row r="149" spans="1:33" ht="13.5" customHeight="1">
      <c r="A149" s="37"/>
      <c r="B149" s="37"/>
      <c r="C149" s="721"/>
      <c r="D149" s="717"/>
      <c r="E149" s="41"/>
      <c r="F149" s="41"/>
      <c r="G149" s="721"/>
      <c r="H149" s="722"/>
      <c r="I149" s="42"/>
      <c r="J149" s="43"/>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row>
    <row r="150" spans="1:33" ht="13.5" customHeight="1">
      <c r="A150" s="37"/>
      <c r="B150" s="37"/>
      <c r="C150" s="721"/>
      <c r="D150" s="717"/>
      <c r="E150" s="41"/>
      <c r="F150" s="41"/>
      <c r="G150" s="721"/>
      <c r="H150" s="722"/>
      <c r="I150" s="42"/>
      <c r="J150" s="43"/>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row>
    <row r="151" spans="1:33" ht="13.5" customHeight="1">
      <c r="A151" s="37"/>
      <c r="B151" s="37"/>
      <c r="C151" s="721"/>
      <c r="D151" s="717"/>
      <c r="E151" s="41"/>
      <c r="F151" s="41"/>
      <c r="G151" s="721"/>
      <c r="H151" s="722"/>
      <c r="I151" s="42"/>
      <c r="J151" s="43"/>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row>
    <row r="152" spans="1:33" ht="13.5" customHeight="1">
      <c r="A152" s="37"/>
      <c r="B152" s="37"/>
      <c r="C152" s="721"/>
      <c r="D152" s="717"/>
      <c r="E152" s="41"/>
      <c r="F152" s="41"/>
      <c r="G152" s="721"/>
      <c r="H152" s="722"/>
      <c r="I152" s="42"/>
      <c r="J152" s="43"/>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row>
    <row r="153" spans="1:33" ht="13.5" customHeight="1">
      <c r="A153" s="37"/>
      <c r="B153" s="37"/>
      <c r="C153" s="721"/>
      <c r="D153" s="717"/>
      <c r="E153" s="41"/>
      <c r="F153" s="41"/>
      <c r="G153" s="721"/>
      <c r="H153" s="722"/>
      <c r="I153" s="42"/>
      <c r="J153" s="43"/>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row>
    <row r="154" spans="1:33" ht="13.5" customHeight="1">
      <c r="A154" s="37"/>
      <c r="B154" s="37"/>
      <c r="C154" s="721"/>
      <c r="D154" s="717"/>
      <c r="E154" s="41"/>
      <c r="F154" s="41"/>
      <c r="G154" s="721"/>
      <c r="H154" s="722"/>
      <c r="I154" s="42"/>
      <c r="J154" s="43"/>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row>
    <row r="155" spans="1:33" ht="13.5" customHeight="1">
      <c r="A155" s="37"/>
      <c r="B155" s="37"/>
      <c r="C155" s="721"/>
      <c r="D155" s="717"/>
      <c r="E155" s="41"/>
      <c r="F155" s="41"/>
      <c r="G155" s="721"/>
      <c r="H155" s="722"/>
      <c r="I155" s="42"/>
      <c r="J155" s="43"/>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row>
    <row r="156" spans="1:33" ht="13.5" customHeight="1">
      <c r="A156" s="37"/>
      <c r="B156" s="37"/>
      <c r="C156" s="721"/>
      <c r="D156" s="717"/>
      <c r="E156" s="41"/>
      <c r="F156" s="41"/>
      <c r="G156" s="721"/>
      <c r="H156" s="722"/>
      <c r="I156" s="42"/>
      <c r="J156" s="43"/>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row>
    <row r="157" spans="1:33" ht="13.5" customHeight="1">
      <c r="A157" s="37"/>
      <c r="B157" s="37"/>
      <c r="C157" s="721"/>
      <c r="D157" s="717"/>
      <c r="E157" s="41"/>
      <c r="F157" s="41"/>
      <c r="G157" s="721"/>
      <c r="H157" s="722"/>
      <c r="I157" s="42"/>
      <c r="J157" s="43"/>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row>
    <row r="158" spans="1:33" ht="13.5" customHeight="1">
      <c r="A158" s="37"/>
      <c r="B158" s="37"/>
      <c r="C158" s="721"/>
      <c r="D158" s="717"/>
      <c r="E158" s="41"/>
      <c r="F158" s="41"/>
      <c r="G158" s="721"/>
      <c r="H158" s="722"/>
      <c r="I158" s="42"/>
      <c r="J158" s="43"/>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row>
    <row r="159" spans="1:33" ht="13.5" customHeight="1">
      <c r="A159" s="37"/>
      <c r="B159" s="37"/>
      <c r="C159" s="724"/>
      <c r="D159" s="725"/>
      <c r="E159" s="51"/>
      <c r="F159" s="51"/>
      <c r="G159" s="724"/>
      <c r="H159" s="728"/>
      <c r="I159" s="52"/>
      <c r="J159" s="53"/>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row>
    <row r="160" spans="1:33" ht="13.5" customHeight="1">
      <c r="A160" s="37"/>
      <c r="B160" s="37"/>
      <c r="C160" s="721"/>
      <c r="D160" s="717"/>
      <c r="E160" s="41"/>
      <c r="F160" s="41"/>
      <c r="G160" s="721"/>
      <c r="H160" s="722"/>
      <c r="I160" s="42"/>
      <c r="J160" s="43"/>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row>
    <row r="161" spans="1:33" ht="13.5" customHeight="1">
      <c r="A161" s="37"/>
      <c r="B161" s="37"/>
      <c r="C161" s="721"/>
      <c r="D161" s="717"/>
      <c r="E161" s="41"/>
      <c r="F161" s="41"/>
      <c r="G161" s="721"/>
      <c r="H161" s="722"/>
      <c r="I161" s="42"/>
      <c r="J161" s="43"/>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row>
    <row r="162" spans="1:33" ht="13.5" customHeight="1">
      <c r="A162" s="37"/>
      <c r="B162" s="37"/>
      <c r="C162" s="721"/>
      <c r="D162" s="717"/>
      <c r="E162" s="41"/>
      <c r="F162" s="41"/>
      <c r="G162" s="721"/>
      <c r="H162" s="722"/>
      <c r="I162" s="42"/>
      <c r="J162" s="43"/>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row>
    <row r="163" spans="1:33" ht="13.5" customHeight="1">
      <c r="A163" s="37"/>
      <c r="B163" s="37"/>
      <c r="C163" s="721"/>
      <c r="D163" s="717"/>
      <c r="E163" s="41"/>
      <c r="F163" s="41"/>
      <c r="G163" s="721"/>
      <c r="H163" s="722"/>
      <c r="I163" s="42"/>
      <c r="J163" s="43"/>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row>
    <row r="164" spans="1:33" ht="13.5" customHeight="1">
      <c r="A164" s="37"/>
      <c r="B164" s="37"/>
      <c r="C164" s="721"/>
      <c r="D164" s="717"/>
      <c r="E164" s="41"/>
      <c r="F164" s="41"/>
      <c r="G164" s="721"/>
      <c r="H164" s="722"/>
      <c r="I164" s="42"/>
      <c r="J164" s="43"/>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row>
    <row r="165" spans="1:33" ht="13.5" customHeight="1">
      <c r="A165" s="37"/>
      <c r="B165" s="37"/>
      <c r="C165" s="721"/>
      <c r="D165" s="717"/>
      <c r="E165" s="41"/>
      <c r="F165" s="41"/>
      <c r="G165" s="721"/>
      <c r="H165" s="722"/>
      <c r="I165" s="42"/>
      <c r="J165" s="43"/>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row>
    <row r="166" spans="1:33" ht="13.5" customHeight="1">
      <c r="A166" s="37"/>
      <c r="B166" s="37"/>
      <c r="C166" s="721"/>
      <c r="D166" s="717"/>
      <c r="E166" s="41"/>
      <c r="F166" s="41"/>
      <c r="G166" s="721"/>
      <c r="H166" s="722"/>
      <c r="I166" s="42"/>
      <c r="J166" s="43"/>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row>
    <row r="167" spans="1:33" ht="13.5" customHeight="1">
      <c r="A167" s="37"/>
      <c r="B167" s="37"/>
      <c r="C167" s="721"/>
      <c r="D167" s="717"/>
      <c r="E167" s="41"/>
      <c r="F167" s="41"/>
      <c r="G167" s="721"/>
      <c r="H167" s="722"/>
      <c r="I167" s="42"/>
      <c r="J167" s="43"/>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row>
    <row r="168" spans="1:33" ht="13.5" customHeight="1">
      <c r="A168" s="37"/>
      <c r="B168" s="37"/>
      <c r="C168" s="721"/>
      <c r="D168" s="717"/>
      <c r="E168" s="41"/>
      <c r="F168" s="41"/>
      <c r="G168" s="721"/>
      <c r="H168" s="722"/>
      <c r="I168" s="42"/>
      <c r="J168" s="43"/>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row>
    <row r="169" spans="1:33" ht="13.5" customHeight="1">
      <c r="A169" s="37"/>
      <c r="B169" s="37"/>
      <c r="C169" s="721"/>
      <c r="D169" s="717"/>
      <c r="E169" s="41"/>
      <c r="F169" s="41"/>
      <c r="G169" s="721"/>
      <c r="H169" s="722"/>
      <c r="I169" s="42"/>
      <c r="J169" s="43"/>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row>
    <row r="170" spans="1:33" ht="13.5" customHeight="1">
      <c r="A170" s="37"/>
      <c r="B170" s="37"/>
      <c r="C170" s="721"/>
      <c r="D170" s="717"/>
      <c r="E170" s="41"/>
      <c r="F170" s="41"/>
      <c r="G170" s="721"/>
      <c r="H170" s="722"/>
      <c r="I170" s="42"/>
      <c r="J170" s="43"/>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row>
    <row r="171" spans="1:33" ht="13.5" customHeight="1">
      <c r="A171" s="37"/>
      <c r="B171" s="37"/>
      <c r="C171" s="721"/>
      <c r="D171" s="717"/>
      <c r="E171" s="41"/>
      <c r="F171" s="41"/>
      <c r="G171" s="721"/>
      <c r="H171" s="722"/>
      <c r="I171" s="42"/>
      <c r="J171" s="43"/>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row>
    <row r="172" spans="1:33" ht="13.5" customHeight="1">
      <c r="A172" s="37"/>
      <c r="B172" s="37"/>
      <c r="C172" s="721"/>
      <c r="D172" s="717"/>
      <c r="E172" s="41"/>
      <c r="F172" s="41"/>
      <c r="G172" s="721"/>
      <c r="H172" s="722"/>
      <c r="I172" s="42"/>
      <c r="J172" s="43"/>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row>
    <row r="173" spans="1:33" ht="13.5" customHeight="1">
      <c r="A173" s="37"/>
      <c r="B173" s="37"/>
      <c r="C173" s="721"/>
      <c r="D173" s="717"/>
      <c r="E173" s="41"/>
      <c r="F173" s="41"/>
      <c r="G173" s="721"/>
      <c r="H173" s="722"/>
      <c r="I173" s="42"/>
      <c r="J173" s="43"/>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row>
    <row r="174" spans="1:33" ht="13.5" customHeight="1">
      <c r="A174" s="37"/>
      <c r="B174" s="37"/>
      <c r="C174" s="721"/>
      <c r="D174" s="717"/>
      <c r="E174" s="41"/>
      <c r="F174" s="41"/>
      <c r="G174" s="721"/>
      <c r="H174" s="722"/>
      <c r="I174" s="42"/>
      <c r="J174" s="43"/>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row>
    <row r="175" spans="1:33" ht="13.5" customHeight="1">
      <c r="A175" s="37"/>
      <c r="B175" s="37"/>
      <c r="C175" s="721"/>
      <c r="D175" s="717"/>
      <c r="E175" s="41"/>
      <c r="F175" s="41"/>
      <c r="G175" s="721"/>
      <c r="H175" s="722"/>
      <c r="I175" s="42"/>
      <c r="J175" s="43"/>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row>
    <row r="176" spans="1:33" ht="13.5" customHeight="1">
      <c r="A176" s="37"/>
      <c r="B176" s="37"/>
      <c r="C176" s="721"/>
      <c r="D176" s="717"/>
      <c r="E176" s="41"/>
      <c r="F176" s="41"/>
      <c r="G176" s="721"/>
      <c r="H176" s="722"/>
      <c r="I176" s="42"/>
      <c r="J176" s="43"/>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row>
    <row r="177" spans="1:33" ht="13.5" customHeight="1">
      <c r="A177" s="37"/>
      <c r="B177" s="37"/>
      <c r="C177" s="721"/>
      <c r="D177" s="717"/>
      <c r="E177" s="41"/>
      <c r="F177" s="41"/>
      <c r="G177" s="721"/>
      <c r="H177" s="722"/>
      <c r="I177" s="42"/>
      <c r="J177" s="43"/>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row>
    <row r="178" spans="1:33" ht="13.5" customHeight="1">
      <c r="A178" s="37"/>
      <c r="B178" s="37"/>
      <c r="C178" s="721"/>
      <c r="D178" s="717"/>
      <c r="E178" s="41"/>
      <c r="F178" s="41"/>
      <c r="G178" s="721"/>
      <c r="H178" s="722"/>
      <c r="I178" s="42"/>
      <c r="J178" s="43"/>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row>
    <row r="179" spans="1:33" ht="13.5" customHeight="1">
      <c r="A179" s="37"/>
      <c r="B179" s="37"/>
      <c r="C179" s="721"/>
      <c r="D179" s="717"/>
      <c r="E179" s="41"/>
      <c r="F179" s="41"/>
      <c r="G179" s="721"/>
      <c r="H179" s="722"/>
      <c r="I179" s="42"/>
      <c r="J179" s="43"/>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row>
    <row r="180" spans="1:33" ht="13.5" customHeight="1">
      <c r="A180" s="37"/>
      <c r="B180" s="37"/>
      <c r="C180" s="721"/>
      <c r="D180" s="717"/>
      <c r="E180" s="41"/>
      <c r="F180" s="41"/>
      <c r="G180" s="721"/>
      <c r="H180" s="722"/>
      <c r="I180" s="42"/>
      <c r="J180" s="43"/>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row>
    <row r="181" spans="1:33" ht="13.5" customHeight="1">
      <c r="A181" s="37"/>
      <c r="B181" s="37"/>
      <c r="C181" s="721"/>
      <c r="D181" s="717"/>
      <c r="E181" s="41"/>
      <c r="F181" s="41"/>
      <c r="G181" s="721"/>
      <c r="H181" s="722"/>
      <c r="I181" s="42"/>
      <c r="J181" s="43"/>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row>
    <row r="182" spans="1:33" ht="13.5" customHeight="1">
      <c r="A182" s="37"/>
      <c r="B182" s="37"/>
      <c r="C182" s="721"/>
      <c r="D182" s="717"/>
      <c r="E182" s="41"/>
      <c r="F182" s="41"/>
      <c r="G182" s="721"/>
      <c r="H182" s="722"/>
      <c r="I182" s="42"/>
      <c r="J182" s="43"/>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row>
    <row r="183" spans="1:33" ht="13.5" customHeight="1">
      <c r="A183" s="37"/>
      <c r="B183" s="37"/>
      <c r="C183" s="724"/>
      <c r="D183" s="725"/>
      <c r="E183" s="51"/>
      <c r="F183" s="51"/>
      <c r="G183" s="724"/>
      <c r="H183" s="728"/>
      <c r="I183" s="52"/>
      <c r="J183" s="53"/>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row>
    <row r="184" spans="1:33" ht="13.5" customHeight="1">
      <c r="A184" s="37"/>
      <c r="B184" s="37"/>
      <c r="C184" s="721"/>
      <c r="D184" s="717"/>
      <c r="E184" s="41"/>
      <c r="F184" s="41"/>
      <c r="G184" s="721"/>
      <c r="H184" s="722"/>
      <c r="I184" s="42"/>
      <c r="J184" s="43"/>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row>
    <row r="185" spans="1:33" ht="13.5" customHeight="1">
      <c r="A185" s="37"/>
      <c r="B185" s="37"/>
      <c r="C185" s="721"/>
      <c r="D185" s="717"/>
      <c r="E185" s="41"/>
      <c r="F185" s="41"/>
      <c r="G185" s="721"/>
      <c r="H185" s="722"/>
      <c r="I185" s="42"/>
      <c r="J185" s="43"/>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row>
    <row r="186" spans="1:33" ht="13.5" customHeight="1">
      <c r="A186" s="37"/>
      <c r="B186" s="37"/>
      <c r="C186" s="721"/>
      <c r="D186" s="717"/>
      <c r="E186" s="41"/>
      <c r="F186" s="41"/>
      <c r="G186" s="721"/>
      <c r="H186" s="722"/>
      <c r="I186" s="42"/>
      <c r="J186" s="43"/>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row>
    <row r="187" spans="1:33" ht="13.5" customHeight="1">
      <c r="A187" s="37"/>
      <c r="B187" s="37"/>
      <c r="C187" s="721"/>
      <c r="D187" s="717"/>
      <c r="E187" s="41"/>
      <c r="F187" s="41"/>
      <c r="G187" s="721"/>
      <c r="H187" s="722"/>
      <c r="I187" s="42"/>
      <c r="J187" s="43"/>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row>
    <row r="188" spans="1:33" ht="13.5" customHeight="1">
      <c r="A188" s="37"/>
      <c r="B188" s="37"/>
      <c r="C188" s="721"/>
      <c r="D188" s="717"/>
      <c r="E188" s="41"/>
      <c r="F188" s="41"/>
      <c r="G188" s="721"/>
      <c r="H188" s="722"/>
      <c r="I188" s="42"/>
      <c r="J188" s="43"/>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row>
    <row r="189" spans="1:33" ht="13.5" customHeight="1">
      <c r="A189" s="37"/>
      <c r="B189" s="37"/>
      <c r="C189" s="721"/>
      <c r="D189" s="717"/>
      <c r="E189" s="41"/>
      <c r="F189" s="41"/>
      <c r="G189" s="721"/>
      <c r="H189" s="722"/>
      <c r="I189" s="42"/>
      <c r="J189" s="43"/>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row>
    <row r="190" spans="1:33" ht="13.5" customHeight="1">
      <c r="A190" s="37"/>
      <c r="B190" s="37"/>
      <c r="C190" s="721"/>
      <c r="D190" s="717"/>
      <c r="E190" s="41"/>
      <c r="F190" s="41"/>
      <c r="G190" s="721"/>
      <c r="H190" s="722"/>
      <c r="I190" s="42"/>
      <c r="J190" s="43"/>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row>
    <row r="191" spans="1:33" ht="13.5" customHeight="1">
      <c r="A191" s="37"/>
      <c r="B191" s="37"/>
      <c r="C191" s="721"/>
      <c r="D191" s="717"/>
      <c r="E191" s="41"/>
      <c r="F191" s="41"/>
      <c r="G191" s="721"/>
      <c r="H191" s="722"/>
      <c r="I191" s="42"/>
      <c r="J191" s="43"/>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row>
    <row r="192" spans="1:33" ht="13.5" customHeight="1">
      <c r="A192" s="37"/>
      <c r="B192" s="37"/>
      <c r="C192" s="721"/>
      <c r="D192" s="717"/>
      <c r="E192" s="41"/>
      <c r="F192" s="41"/>
      <c r="G192" s="721"/>
      <c r="H192" s="722"/>
      <c r="I192" s="42"/>
      <c r="J192" s="43"/>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row>
    <row r="193" spans="1:33" ht="13.5" customHeight="1">
      <c r="A193" s="37"/>
      <c r="B193" s="37"/>
      <c r="C193" s="721"/>
      <c r="D193" s="717"/>
      <c r="E193" s="41"/>
      <c r="F193" s="41"/>
      <c r="G193" s="721"/>
      <c r="H193" s="722"/>
      <c r="I193" s="42"/>
      <c r="J193" s="43"/>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row>
    <row r="194" spans="1:33" ht="13.5" customHeight="1">
      <c r="A194" s="37"/>
      <c r="B194" s="37"/>
      <c r="C194" s="721"/>
      <c r="D194" s="717"/>
      <c r="E194" s="41"/>
      <c r="F194" s="41"/>
      <c r="G194" s="721"/>
      <c r="H194" s="722"/>
      <c r="I194" s="42"/>
      <c r="J194" s="43"/>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row>
    <row r="195" spans="1:33" ht="13.5" customHeight="1">
      <c r="A195" s="37"/>
      <c r="B195" s="37"/>
      <c r="C195" s="721"/>
      <c r="D195" s="717"/>
      <c r="E195" s="41"/>
      <c r="F195" s="41"/>
      <c r="G195" s="721"/>
      <c r="H195" s="722"/>
      <c r="I195" s="42"/>
      <c r="J195" s="43"/>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row>
    <row r="196" spans="1:33" ht="13.5" customHeight="1">
      <c r="A196" s="37"/>
      <c r="B196" s="37"/>
      <c r="C196" s="721"/>
      <c r="D196" s="717"/>
      <c r="E196" s="41"/>
      <c r="F196" s="41"/>
      <c r="G196" s="721"/>
      <c r="H196" s="722"/>
      <c r="I196" s="42"/>
      <c r="J196" s="43"/>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row>
    <row r="197" spans="1:33" ht="13.5" customHeight="1">
      <c r="A197" s="37"/>
      <c r="B197" s="37"/>
      <c r="C197" s="721"/>
      <c r="D197" s="717"/>
      <c r="E197" s="41"/>
      <c r="F197" s="41"/>
      <c r="G197" s="721"/>
      <c r="H197" s="722"/>
      <c r="I197" s="42"/>
      <c r="J197" s="43"/>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row>
    <row r="198" spans="1:33" ht="13.5" customHeight="1">
      <c r="A198" s="37"/>
      <c r="B198" s="37"/>
      <c r="C198" s="721"/>
      <c r="D198" s="717"/>
      <c r="E198" s="41"/>
      <c r="F198" s="41"/>
      <c r="G198" s="721"/>
      <c r="H198" s="722"/>
      <c r="I198" s="42"/>
      <c r="J198" s="43"/>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row>
    <row r="199" spans="1:33" ht="13.5" customHeight="1">
      <c r="A199" s="37"/>
      <c r="B199" s="37"/>
      <c r="C199" s="721"/>
      <c r="D199" s="717"/>
      <c r="E199" s="41"/>
      <c r="F199" s="41"/>
      <c r="G199" s="721"/>
      <c r="H199" s="722"/>
      <c r="I199" s="42"/>
      <c r="J199" s="43"/>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row>
    <row r="200" spans="1:33" ht="13.5" customHeight="1">
      <c r="A200" s="37"/>
      <c r="B200" s="37"/>
      <c r="C200" s="724"/>
      <c r="D200" s="725"/>
      <c r="E200" s="51"/>
      <c r="F200" s="51"/>
      <c r="G200" s="724"/>
      <c r="H200" s="728"/>
      <c r="I200" s="52"/>
      <c r="J200" s="53"/>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row>
    <row r="201" spans="1:33" ht="13.5" customHeight="1">
      <c r="A201" s="37"/>
      <c r="B201" s="37"/>
      <c r="C201" s="37"/>
      <c r="D201" s="38"/>
      <c r="E201" s="38"/>
      <c r="F201" s="38"/>
      <c r="G201" s="37"/>
      <c r="H201" s="28"/>
      <c r="I201" s="54"/>
      <c r="J201" s="55"/>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row>
    <row r="202" spans="1:33" ht="13.5" customHeight="1">
      <c r="A202" s="37"/>
      <c r="B202" s="37"/>
      <c r="C202" s="37"/>
      <c r="D202" s="38"/>
      <c r="E202" s="38"/>
      <c r="F202" s="38"/>
      <c r="G202" s="37"/>
      <c r="H202" s="28"/>
      <c r="I202" s="54"/>
      <c r="J202" s="55"/>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row>
    <row r="203" spans="1:33" ht="13.5" customHeight="1">
      <c r="A203" s="37"/>
      <c r="B203" s="37"/>
      <c r="C203" s="37"/>
      <c r="D203" s="38"/>
      <c r="E203" s="38"/>
      <c r="F203" s="38"/>
      <c r="G203" s="37"/>
      <c r="H203" s="28"/>
      <c r="I203" s="54"/>
      <c r="J203" s="55"/>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row>
    <row r="204" spans="1:33" ht="13.5" customHeight="1">
      <c r="A204" s="37"/>
      <c r="B204" s="37"/>
      <c r="C204" s="37"/>
      <c r="D204" s="38"/>
      <c r="E204" s="38"/>
      <c r="F204" s="38"/>
      <c r="G204" s="37"/>
      <c r="H204" s="28"/>
      <c r="I204" s="54"/>
      <c r="J204" s="55"/>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row>
    <row r="205" spans="1:33" ht="13.5" customHeight="1">
      <c r="A205" s="37"/>
      <c r="B205" s="37"/>
      <c r="C205" s="37"/>
      <c r="D205" s="38"/>
      <c r="E205" s="38"/>
      <c r="F205" s="38"/>
      <c r="G205" s="37"/>
      <c r="H205" s="28"/>
      <c r="I205" s="54"/>
      <c r="J205" s="55"/>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row>
    <row r="206" spans="1:33" ht="13.5" customHeight="1">
      <c r="A206" s="37"/>
      <c r="B206" s="37"/>
      <c r="C206" s="37"/>
      <c r="D206" s="38"/>
      <c r="E206" s="38"/>
      <c r="F206" s="38"/>
      <c r="G206" s="37"/>
      <c r="H206" s="28"/>
      <c r="I206" s="54"/>
      <c r="J206" s="55"/>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row>
    <row r="207" spans="1:33" ht="13.5" customHeight="1">
      <c r="A207" s="37"/>
      <c r="B207" s="37"/>
      <c r="C207" s="37"/>
      <c r="D207" s="38"/>
      <c r="E207" s="38"/>
      <c r="F207" s="38"/>
      <c r="G207" s="37"/>
      <c r="H207" s="28"/>
      <c r="I207" s="54"/>
      <c r="J207" s="55"/>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row>
    <row r="208" spans="1:33" ht="13.5" customHeight="1">
      <c r="A208" s="37"/>
      <c r="B208" s="37"/>
      <c r="C208" s="37"/>
      <c r="D208" s="38"/>
      <c r="E208" s="37"/>
      <c r="F208" s="37"/>
      <c r="G208" s="37"/>
      <c r="H208" s="28"/>
      <c r="I208" s="28"/>
      <c r="J208" s="28"/>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row>
    <row r="209" spans="1:33" ht="13.5" customHeight="1">
      <c r="A209" s="37"/>
      <c r="B209" s="37"/>
      <c r="C209" s="37"/>
      <c r="D209" s="38"/>
      <c r="E209" s="37"/>
      <c r="F209" s="37"/>
      <c r="G209" s="37"/>
      <c r="H209" s="28"/>
      <c r="I209" s="28"/>
      <c r="J209" s="28"/>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row>
    <row r="210" spans="1:33" ht="13.5" customHeight="1">
      <c r="A210" s="37"/>
      <c r="B210" s="37"/>
      <c r="C210" s="37"/>
      <c r="D210" s="38"/>
      <c r="E210" s="37"/>
      <c r="F210" s="37"/>
      <c r="G210" s="37"/>
      <c r="H210" s="28"/>
      <c r="I210" s="28"/>
      <c r="J210" s="28"/>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row>
    <row r="211" spans="1:33" ht="13.5" customHeight="1">
      <c r="A211" s="37"/>
      <c r="B211" s="37"/>
      <c r="C211" s="37"/>
      <c r="D211" s="38"/>
      <c r="E211" s="37"/>
      <c r="F211" s="37"/>
      <c r="G211" s="37"/>
      <c r="H211" s="28"/>
      <c r="I211" s="28"/>
      <c r="J211" s="28"/>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row>
    <row r="212" spans="1:33" ht="13.5" customHeight="1">
      <c r="A212" s="37"/>
      <c r="B212" s="37"/>
      <c r="C212" s="37"/>
      <c r="D212" s="38"/>
      <c r="E212" s="37"/>
      <c r="F212" s="37"/>
      <c r="G212" s="37"/>
      <c r="H212" s="28"/>
      <c r="I212" s="28"/>
      <c r="J212" s="28"/>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row>
    <row r="213" spans="1:33" ht="13.5" customHeight="1">
      <c r="A213" s="37"/>
      <c r="B213" s="37"/>
      <c r="C213" s="37"/>
      <c r="D213" s="38"/>
      <c r="E213" s="37"/>
      <c r="F213" s="37"/>
      <c r="G213" s="37"/>
      <c r="H213" s="28"/>
      <c r="I213" s="28"/>
      <c r="J213" s="28"/>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row>
    <row r="214" spans="1:33" ht="13.5" customHeight="1">
      <c r="A214" s="37"/>
      <c r="B214" s="37"/>
      <c r="C214" s="37"/>
      <c r="D214" s="38"/>
      <c r="E214" s="37"/>
      <c r="F214" s="37"/>
      <c r="G214" s="37"/>
      <c r="H214" s="28"/>
      <c r="I214" s="28"/>
      <c r="J214" s="28"/>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row>
    <row r="215" spans="1:33" ht="13.5" customHeight="1">
      <c r="A215" s="37"/>
      <c r="B215" s="37"/>
      <c r="C215" s="37"/>
      <c r="D215" s="38"/>
      <c r="E215" s="37"/>
      <c r="F215" s="37"/>
      <c r="G215" s="37"/>
      <c r="H215" s="28"/>
      <c r="I215" s="28"/>
      <c r="J215" s="28"/>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row>
    <row r="216" spans="1:33" ht="13.5" customHeight="1">
      <c r="A216" s="37"/>
      <c r="B216" s="37"/>
      <c r="C216" s="37"/>
      <c r="D216" s="38"/>
      <c r="E216" s="37"/>
      <c r="F216" s="37"/>
      <c r="G216" s="37"/>
      <c r="H216" s="28"/>
      <c r="I216" s="28"/>
      <c r="J216" s="28"/>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row>
    <row r="217" spans="1:33" ht="13.5" customHeight="1">
      <c r="A217" s="37"/>
      <c r="B217" s="37"/>
      <c r="C217" s="37"/>
      <c r="D217" s="38"/>
      <c r="E217" s="37"/>
      <c r="F217" s="37"/>
      <c r="G217" s="37"/>
      <c r="H217" s="28"/>
      <c r="I217" s="28"/>
      <c r="J217" s="28"/>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row>
    <row r="218" spans="1:33" ht="13.5" customHeight="1">
      <c r="A218" s="37"/>
      <c r="B218" s="37"/>
      <c r="C218" s="37"/>
      <c r="D218" s="38"/>
      <c r="E218" s="37"/>
      <c r="F218" s="37"/>
      <c r="G218" s="37"/>
      <c r="H218" s="28"/>
      <c r="I218" s="28"/>
      <c r="J218" s="28"/>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1:33" ht="13.5" customHeight="1">
      <c r="A219" s="37"/>
      <c r="B219" s="37"/>
      <c r="C219" s="37"/>
      <c r="D219" s="38"/>
      <c r="E219" s="37"/>
      <c r="F219" s="37"/>
      <c r="G219" s="37"/>
      <c r="H219" s="28"/>
      <c r="I219" s="28"/>
      <c r="J219" s="28"/>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1:33" ht="13.5" customHeight="1">
      <c r="A220" s="37"/>
      <c r="B220" s="37"/>
      <c r="C220" s="37"/>
      <c r="D220" s="38"/>
      <c r="E220" s="37"/>
      <c r="F220" s="37"/>
      <c r="G220" s="37"/>
      <c r="H220" s="28"/>
      <c r="I220" s="28"/>
      <c r="J220" s="28"/>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row>
    <row r="221" spans="1:33" ht="13.5" customHeight="1">
      <c r="A221" s="37"/>
      <c r="B221" s="37"/>
      <c r="C221" s="37"/>
      <c r="D221" s="38"/>
      <c r="E221" s="37"/>
      <c r="F221" s="37"/>
      <c r="G221" s="37"/>
      <c r="H221" s="28"/>
      <c r="I221" s="28"/>
      <c r="J221" s="28"/>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row>
    <row r="222" spans="1:33" ht="13.5" customHeight="1">
      <c r="A222" s="37"/>
      <c r="B222" s="37"/>
      <c r="C222" s="37"/>
      <c r="D222" s="38"/>
      <c r="E222" s="37"/>
      <c r="F222" s="37"/>
      <c r="G222" s="37"/>
      <c r="H222" s="28"/>
      <c r="I222" s="28"/>
      <c r="J222" s="28"/>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row>
    <row r="223" spans="1:33" ht="13.5" customHeight="1">
      <c r="A223" s="37"/>
      <c r="B223" s="37"/>
      <c r="C223" s="37"/>
      <c r="D223" s="38"/>
      <c r="E223" s="37"/>
      <c r="F223" s="37"/>
      <c r="G223" s="37"/>
      <c r="H223" s="28"/>
      <c r="I223" s="28"/>
      <c r="J223" s="28"/>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row>
    <row r="224" spans="1:33" ht="13.5" customHeight="1">
      <c r="A224" s="37"/>
      <c r="B224" s="37"/>
      <c r="C224" s="37"/>
      <c r="D224" s="38"/>
      <c r="E224" s="37"/>
      <c r="F224" s="37"/>
      <c r="G224" s="37"/>
      <c r="H224" s="28"/>
      <c r="I224" s="28"/>
      <c r="J224" s="28"/>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row>
    <row r="225" spans="1:33" ht="13.5" customHeight="1">
      <c r="A225" s="37"/>
      <c r="B225" s="37"/>
      <c r="C225" s="37"/>
      <c r="D225" s="38"/>
      <c r="E225" s="37"/>
      <c r="F225" s="37"/>
      <c r="G225" s="37"/>
      <c r="H225" s="28"/>
      <c r="I225" s="28"/>
      <c r="J225" s="28"/>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row>
    <row r="226" spans="1:33" ht="13.5" customHeight="1">
      <c r="A226" s="37"/>
      <c r="B226" s="37"/>
      <c r="C226" s="37"/>
      <c r="D226" s="38"/>
      <c r="E226" s="37"/>
      <c r="F226" s="37"/>
      <c r="G226" s="37"/>
      <c r="H226" s="28"/>
      <c r="I226" s="28"/>
      <c r="J226" s="28"/>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row>
    <row r="227" spans="1:33" ht="13.5" customHeight="1">
      <c r="A227" s="37"/>
      <c r="B227" s="37"/>
      <c r="C227" s="37"/>
      <c r="D227" s="38"/>
      <c r="E227" s="37"/>
      <c r="F227" s="37"/>
      <c r="G227" s="37"/>
      <c r="H227" s="28"/>
      <c r="I227" s="28"/>
      <c r="J227" s="28"/>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row>
    <row r="228" spans="1:33" ht="13.5" customHeight="1">
      <c r="A228" s="37"/>
      <c r="B228" s="37"/>
      <c r="C228" s="37"/>
      <c r="D228" s="38"/>
      <c r="E228" s="37"/>
      <c r="F228" s="37"/>
      <c r="G228" s="37"/>
      <c r="H228" s="28"/>
      <c r="I228" s="28"/>
      <c r="J228" s="28"/>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row>
    <row r="229" spans="1:33" ht="13.5" customHeight="1">
      <c r="A229" s="37"/>
      <c r="B229" s="37"/>
      <c r="C229" s="37"/>
      <c r="D229" s="38"/>
      <c r="E229" s="37"/>
      <c r="F229" s="37"/>
      <c r="G229" s="37"/>
      <c r="H229" s="28"/>
      <c r="I229" s="28"/>
      <c r="J229" s="28"/>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row>
    <row r="230" spans="1:33" ht="13.5" customHeight="1">
      <c r="A230" s="37"/>
      <c r="B230" s="37"/>
      <c r="C230" s="37"/>
      <c r="D230" s="38"/>
      <c r="E230" s="37"/>
      <c r="F230" s="37"/>
      <c r="G230" s="37"/>
      <c r="H230" s="28"/>
      <c r="I230" s="28"/>
      <c r="J230" s="28"/>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row>
    <row r="231" spans="1:33" ht="13.5" customHeight="1">
      <c r="A231" s="37"/>
      <c r="B231" s="37"/>
      <c r="C231" s="37"/>
      <c r="D231" s="38"/>
      <c r="E231" s="37"/>
      <c r="F231" s="37"/>
      <c r="G231" s="37"/>
      <c r="H231" s="28"/>
      <c r="I231" s="28"/>
      <c r="J231" s="28"/>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row>
    <row r="232" spans="1:33" ht="13.5" customHeight="1">
      <c r="A232" s="37"/>
      <c r="B232" s="37"/>
      <c r="C232" s="37"/>
      <c r="D232" s="38"/>
      <c r="E232" s="37"/>
      <c r="F232" s="37"/>
      <c r="G232" s="37"/>
      <c r="H232" s="28"/>
      <c r="I232" s="28"/>
      <c r="J232" s="28"/>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row>
    <row r="233" spans="1:33" ht="13.5" customHeight="1">
      <c r="A233" s="37"/>
      <c r="B233" s="37"/>
      <c r="C233" s="37"/>
      <c r="D233" s="38"/>
      <c r="E233" s="37"/>
      <c r="F233" s="37"/>
      <c r="G233" s="37"/>
      <c r="H233" s="28"/>
      <c r="I233" s="28"/>
      <c r="J233" s="28"/>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row>
    <row r="234" spans="1:33" ht="13.5" customHeight="1">
      <c r="A234" s="37"/>
      <c r="B234" s="37"/>
      <c r="C234" s="37"/>
      <c r="D234" s="38"/>
      <c r="E234" s="37"/>
      <c r="F234" s="37"/>
      <c r="G234" s="37"/>
      <c r="H234" s="28"/>
      <c r="I234" s="28"/>
      <c r="J234" s="28"/>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row>
    <row r="235" spans="1:33" ht="13.5" customHeight="1">
      <c r="A235" s="37"/>
      <c r="B235" s="37"/>
      <c r="C235" s="37"/>
      <c r="D235" s="38"/>
      <c r="E235" s="37"/>
      <c r="F235" s="37"/>
      <c r="G235" s="37"/>
      <c r="H235" s="28"/>
      <c r="I235" s="28"/>
      <c r="J235" s="28"/>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row>
    <row r="236" spans="1:33" ht="13.5" customHeight="1">
      <c r="A236" s="37"/>
      <c r="B236" s="37"/>
      <c r="C236" s="37"/>
      <c r="D236" s="38"/>
      <c r="E236" s="37"/>
      <c r="F236" s="37"/>
      <c r="G236" s="37"/>
      <c r="H236" s="28"/>
      <c r="I236" s="28"/>
      <c r="J236" s="28"/>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row>
    <row r="237" spans="1:33" ht="13.5" customHeight="1">
      <c r="A237" s="37"/>
      <c r="B237" s="37"/>
      <c r="C237" s="37"/>
      <c r="D237" s="38"/>
      <c r="E237" s="37"/>
      <c r="F237" s="37"/>
      <c r="G237" s="37"/>
      <c r="H237" s="28"/>
      <c r="I237" s="28"/>
      <c r="J237" s="28"/>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row>
    <row r="238" spans="1:33" ht="13.5" customHeight="1">
      <c r="A238" s="37"/>
      <c r="B238" s="37"/>
      <c r="C238" s="37"/>
      <c r="D238" s="38"/>
      <c r="E238" s="37"/>
      <c r="F238" s="37"/>
      <c r="G238" s="37"/>
      <c r="H238" s="28"/>
      <c r="I238" s="28"/>
      <c r="J238" s="28"/>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row>
    <row r="239" spans="1:33" ht="13.5" customHeight="1">
      <c r="A239" s="37"/>
      <c r="B239" s="37"/>
      <c r="C239" s="37"/>
      <c r="D239" s="38"/>
      <c r="E239" s="37"/>
      <c r="F239" s="37"/>
      <c r="G239" s="37"/>
      <c r="H239" s="28"/>
      <c r="I239" s="28"/>
      <c r="J239" s="28"/>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row>
    <row r="240" spans="1:33" ht="13.5" customHeight="1">
      <c r="A240" s="37"/>
      <c r="B240" s="37"/>
      <c r="C240" s="37"/>
      <c r="D240" s="38"/>
      <c r="E240" s="37"/>
      <c r="F240" s="37"/>
      <c r="G240" s="37"/>
      <c r="H240" s="28"/>
      <c r="I240" s="28"/>
      <c r="J240" s="28"/>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row>
    <row r="241" spans="1:33" ht="13.5" customHeight="1">
      <c r="A241" s="37"/>
      <c r="B241" s="37"/>
      <c r="C241" s="37"/>
      <c r="D241" s="38"/>
      <c r="E241" s="37"/>
      <c r="F241" s="37"/>
      <c r="G241" s="37"/>
      <c r="H241" s="28"/>
      <c r="I241" s="28"/>
      <c r="J241" s="28"/>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row>
    <row r="242" spans="1:33" ht="13.5" customHeight="1">
      <c r="A242" s="37"/>
      <c r="B242" s="37"/>
      <c r="C242" s="37"/>
      <c r="D242" s="38"/>
      <c r="E242" s="37"/>
      <c r="F242" s="37"/>
      <c r="G242" s="37"/>
      <c r="H242" s="28"/>
      <c r="I242" s="28"/>
      <c r="J242" s="28"/>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row>
    <row r="243" spans="1:33" ht="13.5" customHeight="1">
      <c r="A243" s="37"/>
      <c r="B243" s="37"/>
      <c r="C243" s="37"/>
      <c r="D243" s="38"/>
      <c r="E243" s="37"/>
      <c r="F243" s="37"/>
      <c r="G243" s="37"/>
      <c r="H243" s="28"/>
      <c r="I243" s="28"/>
      <c r="J243" s="28"/>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row>
    <row r="244" spans="1:33" ht="13.5" customHeight="1">
      <c r="A244" s="37"/>
      <c r="B244" s="37"/>
      <c r="C244" s="37"/>
      <c r="D244" s="38"/>
      <c r="E244" s="37"/>
      <c r="F244" s="37"/>
      <c r="G244" s="37"/>
      <c r="H244" s="28"/>
      <c r="I244" s="28"/>
      <c r="J244" s="28"/>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row>
    <row r="245" spans="1:33" ht="13.5" customHeight="1">
      <c r="A245" s="37"/>
      <c r="B245" s="37"/>
      <c r="C245" s="37"/>
      <c r="D245" s="38"/>
      <c r="E245" s="37"/>
      <c r="F245" s="37"/>
      <c r="G245" s="37"/>
      <c r="H245" s="28"/>
      <c r="I245" s="28"/>
      <c r="J245" s="28"/>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row>
    <row r="246" spans="1:33" ht="13.5" customHeight="1">
      <c r="A246" s="37"/>
      <c r="B246" s="37"/>
      <c r="C246" s="37"/>
      <c r="D246" s="38"/>
      <c r="E246" s="37"/>
      <c r="F246" s="37"/>
      <c r="G246" s="37"/>
      <c r="H246" s="28"/>
      <c r="I246" s="28"/>
      <c r="J246" s="28"/>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row>
    <row r="247" spans="1:33" ht="13.5" customHeight="1">
      <c r="A247" s="37"/>
      <c r="B247" s="37"/>
      <c r="C247" s="37"/>
      <c r="D247" s="38"/>
      <c r="E247" s="37"/>
      <c r="F247" s="37"/>
      <c r="G247" s="37"/>
      <c r="H247" s="28"/>
      <c r="I247" s="28"/>
      <c r="J247" s="28"/>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row>
    <row r="248" spans="1:33" ht="13.5" customHeight="1">
      <c r="A248" s="37"/>
      <c r="B248" s="37"/>
      <c r="C248" s="37"/>
      <c r="D248" s="38"/>
      <c r="E248" s="37"/>
      <c r="F248" s="37"/>
      <c r="G248" s="37"/>
      <c r="H248" s="28"/>
      <c r="I248" s="28"/>
      <c r="J248" s="28"/>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row>
    <row r="249" spans="1:33" ht="13.5" customHeight="1">
      <c r="A249" s="37"/>
      <c r="B249" s="37"/>
      <c r="C249" s="37"/>
      <c r="D249" s="38"/>
      <c r="E249" s="37"/>
      <c r="F249" s="37"/>
      <c r="G249" s="37"/>
      <c r="H249" s="28"/>
      <c r="I249" s="28"/>
      <c r="J249" s="28"/>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row>
    <row r="250" spans="1:33" ht="13.5" customHeight="1">
      <c r="A250" s="37"/>
      <c r="B250" s="37"/>
      <c r="C250" s="37"/>
      <c r="D250" s="38"/>
      <c r="E250" s="37"/>
      <c r="F250" s="37"/>
      <c r="G250" s="37"/>
      <c r="H250" s="28"/>
      <c r="I250" s="28"/>
      <c r="J250" s="28"/>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row>
    <row r="251" spans="1:33" ht="13.5" customHeight="1">
      <c r="A251" s="37"/>
      <c r="B251" s="37"/>
      <c r="C251" s="37"/>
      <c r="D251" s="38"/>
      <c r="E251" s="37"/>
      <c r="F251" s="37"/>
      <c r="G251" s="37"/>
      <c r="H251" s="28"/>
      <c r="I251" s="28"/>
      <c r="J251" s="28"/>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row>
    <row r="252" spans="1:33" ht="13.5" customHeight="1">
      <c r="A252" s="37"/>
      <c r="B252" s="37"/>
      <c r="C252" s="37"/>
      <c r="D252" s="38"/>
      <c r="E252" s="37"/>
      <c r="F252" s="37"/>
      <c r="G252" s="37"/>
      <c r="H252" s="28"/>
      <c r="I252" s="28"/>
      <c r="J252" s="28"/>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row>
    <row r="253" spans="1:33" ht="13.5" customHeight="1">
      <c r="A253" s="37"/>
      <c r="B253" s="37"/>
      <c r="C253" s="37"/>
      <c r="D253" s="38"/>
      <c r="E253" s="37"/>
      <c r="F253" s="37"/>
      <c r="G253" s="37"/>
      <c r="H253" s="28"/>
      <c r="I253" s="28"/>
      <c r="J253" s="28"/>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row>
    <row r="254" spans="1:33" ht="13.5" customHeight="1">
      <c r="A254" s="37"/>
      <c r="B254" s="37"/>
      <c r="C254" s="37"/>
      <c r="D254" s="38"/>
      <c r="E254" s="37"/>
      <c r="F254" s="37"/>
      <c r="G254" s="37"/>
      <c r="H254" s="28"/>
      <c r="I254" s="28"/>
      <c r="J254" s="28"/>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row>
    <row r="255" spans="1:33" ht="13.5" customHeight="1">
      <c r="A255" s="37"/>
      <c r="B255" s="37"/>
      <c r="C255" s="37"/>
      <c r="D255" s="38"/>
      <c r="E255" s="37"/>
      <c r="F255" s="37"/>
      <c r="G255" s="37"/>
      <c r="H255" s="28"/>
      <c r="I255" s="28"/>
      <c r="J255" s="28"/>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row>
    <row r="256" spans="1:33" ht="13.5" customHeight="1">
      <c r="A256" s="37"/>
      <c r="B256" s="37"/>
      <c r="C256" s="37"/>
      <c r="D256" s="38"/>
      <c r="E256" s="37"/>
      <c r="F256" s="37"/>
      <c r="G256" s="37"/>
      <c r="H256" s="28"/>
      <c r="I256" s="28"/>
      <c r="J256" s="28"/>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row>
    <row r="257" spans="1:33" ht="13.5" customHeight="1">
      <c r="A257" s="37"/>
      <c r="B257" s="37"/>
      <c r="C257" s="37"/>
      <c r="D257" s="38"/>
      <c r="E257" s="37"/>
      <c r="F257" s="37"/>
      <c r="G257" s="37"/>
      <c r="H257" s="28"/>
      <c r="I257" s="28"/>
      <c r="J257" s="28"/>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row>
    <row r="258" spans="1:33" ht="13.5" customHeight="1">
      <c r="A258" s="37"/>
      <c r="B258" s="37"/>
      <c r="C258" s="37"/>
      <c r="D258" s="38"/>
      <c r="E258" s="37"/>
      <c r="F258" s="37"/>
      <c r="G258" s="37"/>
      <c r="H258" s="28"/>
      <c r="I258" s="28"/>
      <c r="J258" s="28"/>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row>
    <row r="259" spans="1:33" ht="13.5" customHeight="1">
      <c r="A259" s="37"/>
      <c r="B259" s="37"/>
      <c r="C259" s="37"/>
      <c r="D259" s="38"/>
      <c r="E259" s="37"/>
      <c r="F259" s="37"/>
      <c r="G259" s="37"/>
      <c r="H259" s="28"/>
      <c r="I259" s="28"/>
      <c r="J259" s="28"/>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row>
    <row r="260" spans="1:33" ht="13.5" customHeight="1">
      <c r="A260" s="37"/>
      <c r="B260" s="37"/>
      <c r="C260" s="37"/>
      <c r="D260" s="38"/>
      <c r="E260" s="37"/>
      <c r="F260" s="37"/>
      <c r="G260" s="37"/>
      <c r="H260" s="28"/>
      <c r="I260" s="28"/>
      <c r="J260" s="28"/>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row>
    <row r="261" spans="1:33" ht="13.5" customHeight="1">
      <c r="A261" s="37"/>
      <c r="B261" s="37"/>
      <c r="C261" s="37"/>
      <c r="D261" s="38"/>
      <c r="E261" s="37"/>
      <c r="F261" s="37"/>
      <c r="G261" s="37"/>
      <c r="H261" s="28"/>
      <c r="I261" s="28"/>
      <c r="J261" s="28"/>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row>
    <row r="262" spans="1:33" ht="13.5" customHeight="1">
      <c r="A262" s="37"/>
      <c r="B262" s="37"/>
      <c r="C262" s="37"/>
      <c r="D262" s="38"/>
      <c r="E262" s="37"/>
      <c r="F262" s="37"/>
      <c r="G262" s="37"/>
      <c r="H262" s="28"/>
      <c r="I262" s="28"/>
      <c r="J262" s="28"/>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row>
    <row r="263" spans="1:33" ht="13.5" customHeight="1">
      <c r="A263" s="37"/>
      <c r="B263" s="37"/>
      <c r="C263" s="37"/>
      <c r="D263" s="38"/>
      <c r="E263" s="37"/>
      <c r="F263" s="37"/>
      <c r="G263" s="37"/>
      <c r="H263" s="28"/>
      <c r="I263" s="28"/>
      <c r="J263" s="28"/>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row>
    <row r="264" spans="1:33" ht="13.5" customHeight="1">
      <c r="A264" s="37"/>
      <c r="B264" s="37"/>
      <c r="C264" s="37"/>
      <c r="D264" s="38"/>
      <c r="E264" s="37"/>
      <c r="F264" s="37"/>
      <c r="G264" s="37"/>
      <c r="H264" s="28"/>
      <c r="I264" s="28"/>
      <c r="J264" s="28"/>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row>
    <row r="265" spans="1:33" ht="13.5" customHeight="1">
      <c r="A265" s="37"/>
      <c r="B265" s="37"/>
      <c r="C265" s="37"/>
      <c r="D265" s="38"/>
      <c r="E265" s="37"/>
      <c r="F265" s="37"/>
      <c r="G265" s="37"/>
      <c r="H265" s="28"/>
      <c r="I265" s="28"/>
      <c r="J265" s="28"/>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row>
    <row r="266" spans="1:33" ht="13.5" customHeight="1">
      <c r="A266" s="37"/>
      <c r="B266" s="37"/>
      <c r="C266" s="37"/>
      <c r="D266" s="38"/>
      <c r="E266" s="37"/>
      <c r="F266" s="37"/>
      <c r="G266" s="37"/>
      <c r="H266" s="28"/>
      <c r="I266" s="28"/>
      <c r="J266" s="28"/>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row>
    <row r="267" spans="1:33" ht="13.5" customHeight="1">
      <c r="A267" s="37"/>
      <c r="B267" s="37"/>
      <c r="C267" s="37"/>
      <c r="D267" s="38"/>
      <c r="E267" s="37"/>
      <c r="F267" s="37"/>
      <c r="G267" s="37"/>
      <c r="H267" s="28"/>
      <c r="I267" s="28"/>
      <c r="J267" s="28"/>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row>
    <row r="268" spans="1:33" ht="13.5" customHeight="1">
      <c r="A268" s="37"/>
      <c r="B268" s="37"/>
      <c r="C268" s="37"/>
      <c r="D268" s="38"/>
      <c r="E268" s="37"/>
      <c r="F268" s="37"/>
      <c r="G268" s="37"/>
      <c r="H268" s="28"/>
      <c r="I268" s="28"/>
      <c r="J268" s="28"/>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row>
    <row r="269" spans="1:33" ht="13.5" customHeight="1">
      <c r="A269" s="37"/>
      <c r="B269" s="37"/>
      <c r="C269" s="37"/>
      <c r="D269" s="38"/>
      <c r="E269" s="37"/>
      <c r="F269" s="37"/>
      <c r="G269" s="37"/>
      <c r="H269" s="28"/>
      <c r="I269" s="28"/>
      <c r="J269" s="28"/>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row>
    <row r="270" spans="1:33" ht="13.5" customHeight="1">
      <c r="A270" s="37"/>
      <c r="B270" s="37"/>
      <c r="C270" s="37"/>
      <c r="D270" s="38"/>
      <c r="E270" s="37"/>
      <c r="F270" s="37"/>
      <c r="G270" s="37"/>
      <c r="H270" s="28"/>
      <c r="I270" s="28"/>
      <c r="J270" s="28"/>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row>
    <row r="271" spans="1:33" ht="13.5" customHeight="1">
      <c r="A271" s="37"/>
      <c r="B271" s="37"/>
      <c r="C271" s="37"/>
      <c r="D271" s="38"/>
      <c r="E271" s="37"/>
      <c r="F271" s="37"/>
      <c r="G271" s="37"/>
      <c r="H271" s="28"/>
      <c r="I271" s="28"/>
      <c r="J271" s="28"/>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row>
    <row r="272" spans="1:33" ht="13.5" customHeight="1">
      <c r="A272" s="37"/>
      <c r="B272" s="37"/>
      <c r="C272" s="37"/>
      <c r="D272" s="38"/>
      <c r="E272" s="37"/>
      <c r="F272" s="37"/>
      <c r="G272" s="37"/>
      <c r="H272" s="28"/>
      <c r="I272" s="28"/>
      <c r="J272" s="28"/>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row>
    <row r="273" spans="1:33" ht="13.5" customHeight="1">
      <c r="A273" s="37"/>
      <c r="B273" s="37"/>
      <c r="C273" s="37"/>
      <c r="D273" s="38"/>
      <c r="E273" s="37"/>
      <c r="F273" s="37"/>
      <c r="G273" s="37"/>
      <c r="H273" s="28"/>
      <c r="I273" s="28"/>
      <c r="J273" s="28"/>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row>
    <row r="274" spans="1:33" ht="13.5" customHeight="1">
      <c r="A274" s="37"/>
      <c r="B274" s="37"/>
      <c r="C274" s="37"/>
      <c r="D274" s="38"/>
      <c r="E274" s="37"/>
      <c r="F274" s="37"/>
      <c r="G274" s="37"/>
      <c r="H274" s="28"/>
      <c r="I274" s="28"/>
      <c r="J274" s="28"/>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row>
    <row r="275" spans="1:33" ht="13.5" customHeight="1">
      <c r="A275" s="37"/>
      <c r="B275" s="37"/>
      <c r="C275" s="37"/>
      <c r="D275" s="38"/>
      <c r="E275" s="37"/>
      <c r="F275" s="37"/>
      <c r="G275" s="37"/>
      <c r="H275" s="28"/>
      <c r="I275" s="28"/>
      <c r="J275" s="28"/>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row>
    <row r="276" spans="1:33" ht="13.5" customHeight="1">
      <c r="A276" s="37"/>
      <c r="B276" s="37"/>
      <c r="C276" s="37"/>
      <c r="D276" s="38"/>
      <c r="E276" s="37"/>
      <c r="F276" s="37"/>
      <c r="G276" s="37"/>
      <c r="H276" s="28"/>
      <c r="I276" s="28"/>
      <c r="J276" s="28"/>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row>
    <row r="277" spans="1:33" ht="13.5" customHeight="1">
      <c r="A277" s="37"/>
      <c r="B277" s="37"/>
      <c r="C277" s="37"/>
      <c r="D277" s="38"/>
      <c r="E277" s="37"/>
      <c r="F277" s="37"/>
      <c r="G277" s="37"/>
      <c r="H277" s="28"/>
      <c r="I277" s="28"/>
      <c r="J277" s="28"/>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row>
    <row r="278" spans="1:33" ht="13.5" customHeight="1">
      <c r="A278" s="37"/>
      <c r="B278" s="37"/>
      <c r="C278" s="37"/>
      <c r="D278" s="38"/>
      <c r="E278" s="37"/>
      <c r="F278" s="37"/>
      <c r="G278" s="37"/>
      <c r="H278" s="28"/>
      <c r="I278" s="28"/>
      <c r="J278" s="28"/>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row>
    <row r="279" spans="1:33" ht="13.5" customHeight="1">
      <c r="A279" s="37"/>
      <c r="B279" s="37"/>
      <c r="C279" s="37"/>
      <c r="D279" s="38"/>
      <c r="E279" s="37"/>
      <c r="F279" s="37"/>
      <c r="G279" s="37"/>
      <c r="H279" s="28"/>
      <c r="I279" s="28"/>
      <c r="J279" s="28"/>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row>
    <row r="280" spans="1:33" ht="13.5" customHeight="1">
      <c r="A280" s="37"/>
      <c r="B280" s="37"/>
      <c r="C280" s="37"/>
      <c r="D280" s="38"/>
      <c r="E280" s="37"/>
      <c r="F280" s="37"/>
      <c r="G280" s="37"/>
      <c r="H280" s="28"/>
      <c r="I280" s="28"/>
      <c r="J280" s="28"/>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row>
    <row r="281" spans="1:33" ht="13.5" customHeight="1">
      <c r="A281" s="37"/>
      <c r="B281" s="37"/>
      <c r="C281" s="37"/>
      <c r="D281" s="38"/>
      <c r="E281" s="37"/>
      <c r="F281" s="37"/>
      <c r="G281" s="37"/>
      <c r="H281" s="28"/>
      <c r="I281" s="28"/>
      <c r="J281" s="28"/>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row>
    <row r="282" spans="1:33" ht="13.5" customHeight="1">
      <c r="A282" s="37"/>
      <c r="B282" s="37"/>
      <c r="C282" s="37"/>
      <c r="D282" s="38"/>
      <c r="E282" s="37"/>
      <c r="F282" s="37"/>
      <c r="G282" s="37"/>
      <c r="H282" s="28"/>
      <c r="I282" s="28"/>
      <c r="J282" s="28"/>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row>
    <row r="283" spans="1:33" ht="13.5" customHeight="1">
      <c r="A283" s="37"/>
      <c r="B283" s="37"/>
      <c r="C283" s="37"/>
      <c r="D283" s="38"/>
      <c r="E283" s="37"/>
      <c r="F283" s="37"/>
      <c r="G283" s="37"/>
      <c r="H283" s="28"/>
      <c r="I283" s="28"/>
      <c r="J283" s="28"/>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row>
    <row r="284" spans="1:33" ht="13.5" customHeight="1">
      <c r="A284" s="37"/>
      <c r="B284" s="37"/>
      <c r="C284" s="37"/>
      <c r="D284" s="38"/>
      <c r="E284" s="37"/>
      <c r="F284" s="37"/>
      <c r="G284" s="37"/>
      <c r="H284" s="28"/>
      <c r="I284" s="28"/>
      <c r="J284" s="28"/>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row>
    <row r="285" spans="1:33" ht="13.5" customHeight="1">
      <c r="A285" s="37"/>
      <c r="B285" s="37"/>
      <c r="C285" s="37"/>
      <c r="D285" s="38"/>
      <c r="E285" s="37"/>
      <c r="F285" s="37"/>
      <c r="G285" s="37"/>
      <c r="H285" s="28"/>
      <c r="I285" s="28"/>
      <c r="J285" s="28"/>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row>
    <row r="286" spans="1:33" ht="13.5" customHeight="1">
      <c r="A286" s="37"/>
      <c r="B286" s="37"/>
      <c r="C286" s="37"/>
      <c r="D286" s="38"/>
      <c r="E286" s="37"/>
      <c r="F286" s="37"/>
      <c r="G286" s="37"/>
      <c r="H286" s="28"/>
      <c r="I286" s="28"/>
      <c r="J286" s="28"/>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row>
    <row r="287" spans="1:33" ht="13.5" customHeight="1">
      <c r="A287" s="37"/>
      <c r="B287" s="37"/>
      <c r="C287" s="37"/>
      <c r="D287" s="38"/>
      <c r="E287" s="37"/>
      <c r="F287" s="37"/>
      <c r="G287" s="37"/>
      <c r="H287" s="28"/>
      <c r="I287" s="28"/>
      <c r="J287" s="28"/>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row>
    <row r="288" spans="1:33" ht="13.5" customHeight="1">
      <c r="A288" s="37"/>
      <c r="B288" s="37"/>
      <c r="C288" s="37"/>
      <c r="D288" s="38"/>
      <c r="E288" s="37"/>
      <c r="F288" s="37"/>
      <c r="G288" s="37"/>
      <c r="H288" s="28"/>
      <c r="I288" s="28"/>
      <c r="J288" s="28"/>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row>
    <row r="289" spans="1:33" ht="13.5" customHeight="1">
      <c r="A289" s="37"/>
      <c r="B289" s="37"/>
      <c r="C289" s="37"/>
      <c r="D289" s="38"/>
      <c r="E289" s="37"/>
      <c r="F289" s="37"/>
      <c r="G289" s="37"/>
      <c r="H289" s="28"/>
      <c r="I289" s="28"/>
      <c r="J289" s="28"/>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row>
    <row r="290" spans="1:33" ht="13.5" customHeight="1">
      <c r="A290" s="37"/>
      <c r="B290" s="37"/>
      <c r="C290" s="37"/>
      <c r="D290" s="38"/>
      <c r="E290" s="37"/>
      <c r="F290" s="37"/>
      <c r="G290" s="37"/>
      <c r="H290" s="28"/>
      <c r="I290" s="28"/>
      <c r="J290" s="28"/>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row>
    <row r="291" spans="1:33" ht="13.5" customHeight="1">
      <c r="A291" s="37"/>
      <c r="B291" s="37"/>
      <c r="C291" s="37"/>
      <c r="D291" s="38"/>
      <c r="E291" s="37"/>
      <c r="F291" s="37"/>
      <c r="G291" s="37"/>
      <c r="H291" s="28"/>
      <c r="I291" s="28"/>
      <c r="J291" s="28"/>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row>
    <row r="292" spans="1:33" ht="13.5" customHeight="1">
      <c r="A292" s="37"/>
      <c r="B292" s="37"/>
      <c r="C292" s="37"/>
      <c r="D292" s="38"/>
      <c r="E292" s="37"/>
      <c r="F292" s="37"/>
      <c r="G292" s="37"/>
      <c r="H292" s="28"/>
      <c r="I292" s="28"/>
      <c r="J292" s="28"/>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row>
    <row r="293" spans="1:33" ht="13.5" customHeight="1">
      <c r="A293" s="37"/>
      <c r="B293" s="37"/>
      <c r="C293" s="37"/>
      <c r="D293" s="38"/>
      <c r="E293" s="37"/>
      <c r="F293" s="37"/>
      <c r="G293" s="37"/>
      <c r="H293" s="28"/>
      <c r="I293" s="28"/>
      <c r="J293" s="28"/>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row>
    <row r="294" spans="1:33" ht="13.5" customHeight="1">
      <c r="A294" s="37"/>
      <c r="B294" s="37"/>
      <c r="C294" s="37"/>
      <c r="D294" s="38"/>
      <c r="E294" s="37"/>
      <c r="F294" s="37"/>
      <c r="G294" s="37"/>
      <c r="H294" s="28"/>
      <c r="I294" s="28"/>
      <c r="J294" s="28"/>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row>
    <row r="295" spans="1:33" ht="13.5" customHeight="1">
      <c r="A295" s="37"/>
      <c r="B295" s="37"/>
      <c r="C295" s="37"/>
      <c r="D295" s="38"/>
      <c r="E295" s="37"/>
      <c r="F295" s="37"/>
      <c r="G295" s="37"/>
      <c r="H295" s="28"/>
      <c r="I295" s="28"/>
      <c r="J295" s="28"/>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row>
    <row r="296" spans="1:33" ht="13.5" customHeight="1">
      <c r="A296" s="37"/>
      <c r="B296" s="37"/>
      <c r="C296" s="37"/>
      <c r="D296" s="38"/>
      <c r="E296" s="37"/>
      <c r="F296" s="37"/>
      <c r="G296" s="37"/>
      <c r="H296" s="28"/>
      <c r="I296" s="28"/>
      <c r="J296" s="28"/>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row>
    <row r="297" spans="1:33" ht="13.5" customHeight="1">
      <c r="A297" s="37"/>
      <c r="B297" s="37"/>
      <c r="C297" s="37"/>
      <c r="D297" s="38"/>
      <c r="E297" s="37"/>
      <c r="F297" s="37"/>
      <c r="G297" s="37"/>
      <c r="H297" s="28"/>
      <c r="I297" s="28"/>
      <c r="J297" s="28"/>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row>
    <row r="298" spans="1:33" ht="13.5" customHeight="1">
      <c r="A298" s="37"/>
      <c r="B298" s="37"/>
      <c r="C298" s="37"/>
      <c r="D298" s="38"/>
      <c r="E298" s="37"/>
      <c r="F298" s="37"/>
      <c r="G298" s="37"/>
      <c r="H298" s="28"/>
      <c r="I298" s="28"/>
      <c r="J298" s="28"/>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row>
    <row r="299" spans="1:33" ht="13.5" customHeight="1">
      <c r="A299" s="37"/>
      <c r="B299" s="37"/>
      <c r="C299" s="37"/>
      <c r="D299" s="38"/>
      <c r="E299" s="37"/>
      <c r="F299" s="37"/>
      <c r="G299" s="37"/>
      <c r="H299" s="28"/>
      <c r="I299" s="28"/>
      <c r="J299" s="28"/>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row>
    <row r="300" spans="1:33" ht="13.5" customHeight="1">
      <c r="A300" s="37"/>
      <c r="B300" s="37"/>
      <c r="C300" s="37"/>
      <c r="D300" s="38"/>
      <c r="E300" s="37"/>
      <c r="F300" s="37"/>
      <c r="G300" s="37"/>
      <c r="H300" s="28"/>
      <c r="I300" s="28"/>
      <c r="J300" s="28"/>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row>
    <row r="301" spans="1:33" ht="13.5" customHeight="1">
      <c r="A301" s="37"/>
      <c r="B301" s="37"/>
      <c r="C301" s="37"/>
      <c r="D301" s="38"/>
      <c r="E301" s="37"/>
      <c r="F301" s="37"/>
      <c r="G301" s="37"/>
      <c r="H301" s="28"/>
      <c r="I301" s="28"/>
      <c r="J301" s="28"/>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row>
    <row r="302" spans="1:33" ht="13.5" customHeight="1">
      <c r="A302" s="37"/>
      <c r="B302" s="37"/>
      <c r="C302" s="37"/>
      <c r="D302" s="38"/>
      <c r="E302" s="37"/>
      <c r="F302" s="37"/>
      <c r="G302" s="37"/>
      <c r="H302" s="28"/>
      <c r="I302" s="28"/>
      <c r="J302" s="28"/>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row>
    <row r="303" spans="1:33" ht="13.5" customHeight="1">
      <c r="A303" s="37"/>
      <c r="B303" s="37"/>
      <c r="C303" s="37"/>
      <c r="D303" s="38"/>
      <c r="E303" s="37"/>
      <c r="F303" s="37"/>
      <c r="G303" s="37"/>
      <c r="H303" s="28"/>
      <c r="I303" s="28"/>
      <c r="J303" s="28"/>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row>
    <row r="304" spans="1:33" ht="13.5" customHeight="1">
      <c r="A304" s="37"/>
      <c r="B304" s="37"/>
      <c r="C304" s="37"/>
      <c r="D304" s="38"/>
      <c r="E304" s="37"/>
      <c r="F304" s="37"/>
      <c r="G304" s="37"/>
      <c r="H304" s="28"/>
      <c r="I304" s="28"/>
      <c r="J304" s="28"/>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row>
    <row r="305" spans="1:33" ht="13.5" customHeight="1">
      <c r="A305" s="37"/>
      <c r="B305" s="37"/>
      <c r="C305" s="37"/>
      <c r="D305" s="38"/>
      <c r="E305" s="37"/>
      <c r="F305" s="37"/>
      <c r="G305" s="37"/>
      <c r="H305" s="28"/>
      <c r="I305" s="28"/>
      <c r="J305" s="28"/>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row>
    <row r="306" spans="1:33" ht="13.5" customHeight="1">
      <c r="A306" s="37"/>
      <c r="B306" s="37"/>
      <c r="C306" s="37"/>
      <c r="D306" s="38"/>
      <c r="E306" s="37"/>
      <c r="F306" s="37"/>
      <c r="G306" s="37"/>
      <c r="H306" s="28"/>
      <c r="I306" s="28"/>
      <c r="J306" s="28"/>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row>
    <row r="307" spans="1:33" ht="13.5" customHeight="1">
      <c r="A307" s="37"/>
      <c r="B307" s="37"/>
      <c r="C307" s="37"/>
      <c r="D307" s="38"/>
      <c r="E307" s="37"/>
      <c r="F307" s="37"/>
      <c r="G307" s="37"/>
      <c r="H307" s="28"/>
      <c r="I307" s="28"/>
      <c r="J307" s="28"/>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row>
    <row r="308" spans="1:33" ht="13.5" customHeight="1">
      <c r="A308" s="37"/>
      <c r="B308" s="37"/>
      <c r="C308" s="37"/>
      <c r="D308" s="38"/>
      <c r="E308" s="37"/>
      <c r="F308" s="37"/>
      <c r="G308" s="37"/>
      <c r="H308" s="28"/>
      <c r="I308" s="28"/>
      <c r="J308" s="28"/>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row>
    <row r="309" spans="1:33" ht="13.5" customHeight="1">
      <c r="A309" s="37"/>
      <c r="B309" s="37"/>
      <c r="C309" s="37"/>
      <c r="D309" s="38"/>
      <c r="E309" s="37"/>
      <c r="F309" s="37"/>
      <c r="G309" s="37"/>
      <c r="H309" s="28"/>
      <c r="I309" s="28"/>
      <c r="J309" s="28"/>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row>
    <row r="310" spans="1:33" ht="13.5" customHeight="1">
      <c r="A310" s="37"/>
      <c r="B310" s="37"/>
      <c r="C310" s="37"/>
      <c r="D310" s="38"/>
      <c r="E310" s="37"/>
      <c r="F310" s="37"/>
      <c r="G310" s="37"/>
      <c r="H310" s="28"/>
      <c r="I310" s="28"/>
      <c r="J310" s="28"/>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row>
    <row r="311" spans="1:33" ht="13.5" customHeight="1">
      <c r="A311" s="37"/>
      <c r="B311" s="37"/>
      <c r="C311" s="37"/>
      <c r="D311" s="38"/>
      <c r="E311" s="37"/>
      <c r="F311" s="37"/>
      <c r="G311" s="37"/>
      <c r="H311" s="28"/>
      <c r="I311" s="28"/>
      <c r="J311" s="28"/>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row>
    <row r="312" spans="1:33" ht="13.5" customHeight="1">
      <c r="A312" s="37"/>
      <c r="B312" s="37"/>
      <c r="C312" s="37"/>
      <c r="D312" s="38"/>
      <c r="E312" s="37"/>
      <c r="F312" s="37"/>
      <c r="G312" s="37"/>
      <c r="H312" s="28"/>
      <c r="I312" s="28"/>
      <c r="J312" s="28"/>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row>
    <row r="313" spans="1:33" ht="13.5" customHeight="1">
      <c r="A313" s="37"/>
      <c r="B313" s="37"/>
      <c r="C313" s="37"/>
      <c r="D313" s="38"/>
      <c r="E313" s="37"/>
      <c r="F313" s="37"/>
      <c r="G313" s="37"/>
      <c r="H313" s="28"/>
      <c r="I313" s="28"/>
      <c r="J313" s="28"/>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row>
    <row r="314" spans="1:33" ht="13.5" customHeight="1">
      <c r="A314" s="37"/>
      <c r="B314" s="37"/>
      <c r="C314" s="37"/>
      <c r="D314" s="38"/>
      <c r="E314" s="37"/>
      <c r="F314" s="37"/>
      <c r="G314" s="37"/>
      <c r="H314" s="28"/>
      <c r="I314" s="28"/>
      <c r="J314" s="28"/>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row>
    <row r="315" spans="1:33" ht="13.5" customHeight="1">
      <c r="A315" s="37"/>
      <c r="B315" s="37"/>
      <c r="C315" s="37"/>
      <c r="D315" s="38"/>
      <c r="E315" s="37"/>
      <c r="F315" s="37"/>
      <c r="G315" s="37"/>
      <c r="H315" s="28"/>
      <c r="I315" s="28"/>
      <c r="J315" s="28"/>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row>
    <row r="316" spans="1:33" ht="13.5" customHeight="1">
      <c r="A316" s="37"/>
      <c r="B316" s="37"/>
      <c r="C316" s="37"/>
      <c r="D316" s="38"/>
      <c r="E316" s="37"/>
      <c r="F316" s="37"/>
      <c r="G316" s="37"/>
      <c r="H316" s="28"/>
      <c r="I316" s="28"/>
      <c r="J316" s="28"/>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row>
    <row r="317" spans="1:33" ht="13.5" customHeight="1">
      <c r="A317" s="37"/>
      <c r="B317" s="37"/>
      <c r="C317" s="37"/>
      <c r="D317" s="38"/>
      <c r="E317" s="37"/>
      <c r="F317" s="37"/>
      <c r="G317" s="37"/>
      <c r="H317" s="28"/>
      <c r="I317" s="28"/>
      <c r="J317" s="28"/>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row>
    <row r="318" spans="1:33" ht="13.5" customHeight="1">
      <c r="A318" s="37"/>
      <c r="B318" s="37"/>
      <c r="C318" s="37"/>
      <c r="D318" s="38"/>
      <c r="E318" s="37"/>
      <c r="F318" s="37"/>
      <c r="G318" s="37"/>
      <c r="H318" s="28"/>
      <c r="I318" s="28"/>
      <c r="J318" s="28"/>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row>
    <row r="319" spans="1:33" ht="13.5" customHeight="1">
      <c r="A319" s="37"/>
      <c r="B319" s="37"/>
      <c r="C319" s="37"/>
      <c r="D319" s="38"/>
      <c r="E319" s="37"/>
      <c r="F319" s="37"/>
      <c r="G319" s="37"/>
      <c r="H319" s="28"/>
      <c r="I319" s="28"/>
      <c r="J319" s="28"/>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row>
    <row r="320" spans="1:33" ht="13.5" customHeight="1">
      <c r="A320" s="37"/>
      <c r="B320" s="37"/>
      <c r="C320" s="37"/>
      <c r="D320" s="38"/>
      <c r="E320" s="37"/>
      <c r="F320" s="37"/>
      <c r="G320" s="37"/>
      <c r="H320" s="28"/>
      <c r="I320" s="28"/>
      <c r="J320" s="28"/>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row>
    <row r="321" spans="1:33" ht="13.5" customHeight="1">
      <c r="A321" s="37"/>
      <c r="B321" s="37"/>
      <c r="C321" s="37"/>
      <c r="D321" s="38"/>
      <c r="E321" s="37"/>
      <c r="F321" s="37"/>
      <c r="G321" s="37"/>
      <c r="H321" s="28"/>
      <c r="I321" s="28"/>
      <c r="J321" s="28"/>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row>
    <row r="322" spans="1:33" ht="13.5" customHeight="1">
      <c r="A322" s="37"/>
      <c r="B322" s="37"/>
      <c r="C322" s="37"/>
      <c r="D322" s="38"/>
      <c r="E322" s="37"/>
      <c r="F322" s="37"/>
      <c r="G322" s="37"/>
      <c r="H322" s="28"/>
      <c r="I322" s="28"/>
      <c r="J322" s="28"/>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row>
    <row r="323" spans="1:33" ht="13.5" customHeight="1">
      <c r="A323" s="37"/>
      <c r="B323" s="37"/>
      <c r="C323" s="37"/>
      <c r="D323" s="38"/>
      <c r="E323" s="37"/>
      <c r="F323" s="37"/>
      <c r="G323" s="37"/>
      <c r="H323" s="28"/>
      <c r="I323" s="28"/>
      <c r="J323" s="28"/>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row>
    <row r="324" spans="1:33" ht="13.5" customHeight="1">
      <c r="A324" s="37"/>
      <c r="B324" s="37"/>
      <c r="C324" s="37"/>
      <c r="D324" s="38"/>
      <c r="E324" s="37"/>
      <c r="F324" s="37"/>
      <c r="G324" s="37"/>
      <c r="H324" s="28"/>
      <c r="I324" s="28"/>
      <c r="J324" s="28"/>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row>
    <row r="325" spans="1:33" ht="13.5" customHeight="1">
      <c r="A325" s="37"/>
      <c r="B325" s="37"/>
      <c r="C325" s="37"/>
      <c r="D325" s="38"/>
      <c r="E325" s="37"/>
      <c r="F325" s="37"/>
      <c r="G325" s="37"/>
      <c r="H325" s="28"/>
      <c r="I325" s="28"/>
      <c r="J325" s="28"/>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row>
    <row r="326" spans="1:33" ht="13.5" customHeight="1">
      <c r="A326" s="37"/>
      <c r="B326" s="37"/>
      <c r="C326" s="37"/>
      <c r="D326" s="38"/>
      <c r="E326" s="37"/>
      <c r="F326" s="37"/>
      <c r="G326" s="37"/>
      <c r="H326" s="28"/>
      <c r="I326" s="28"/>
      <c r="J326" s="28"/>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row>
    <row r="327" spans="1:33" ht="13.5" customHeight="1">
      <c r="A327" s="37"/>
      <c r="B327" s="37"/>
      <c r="C327" s="37"/>
      <c r="D327" s="38"/>
      <c r="E327" s="37"/>
      <c r="F327" s="37"/>
      <c r="G327" s="37"/>
      <c r="H327" s="28"/>
      <c r="I327" s="28"/>
      <c r="J327" s="28"/>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row>
    <row r="328" spans="1:33" ht="13.5" customHeight="1">
      <c r="A328" s="37"/>
      <c r="B328" s="37"/>
      <c r="C328" s="37"/>
      <c r="D328" s="38"/>
      <c r="E328" s="37"/>
      <c r="F328" s="37"/>
      <c r="G328" s="37"/>
      <c r="H328" s="28"/>
      <c r="I328" s="28"/>
      <c r="J328" s="28"/>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row>
    <row r="329" spans="1:33" ht="13.5" customHeight="1">
      <c r="A329" s="37"/>
      <c r="B329" s="37"/>
      <c r="C329" s="37"/>
      <c r="D329" s="38"/>
      <c r="E329" s="37"/>
      <c r="F329" s="37"/>
      <c r="G329" s="37"/>
      <c r="H329" s="28"/>
      <c r="I329" s="28"/>
      <c r="J329" s="28"/>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row>
    <row r="330" spans="1:33" ht="13.5" customHeight="1">
      <c r="A330" s="37"/>
      <c r="B330" s="37"/>
      <c r="C330" s="37"/>
      <c r="D330" s="38"/>
      <c r="E330" s="37"/>
      <c r="F330" s="37"/>
      <c r="G330" s="37"/>
      <c r="H330" s="28"/>
      <c r="I330" s="28"/>
      <c r="J330" s="28"/>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row>
    <row r="331" spans="1:33" ht="13.5" customHeight="1">
      <c r="A331" s="37"/>
      <c r="B331" s="37"/>
      <c r="C331" s="37"/>
      <c r="D331" s="38"/>
      <c r="E331" s="37"/>
      <c r="F331" s="37"/>
      <c r="G331" s="37"/>
      <c r="H331" s="28"/>
      <c r="I331" s="28"/>
      <c r="J331" s="28"/>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row>
    <row r="332" spans="1:33" ht="13.5" customHeight="1">
      <c r="A332" s="37"/>
      <c r="B332" s="37"/>
      <c r="C332" s="37"/>
      <c r="D332" s="38"/>
      <c r="E332" s="37"/>
      <c r="F332" s="37"/>
      <c r="G332" s="37"/>
      <c r="H332" s="28"/>
      <c r="I332" s="28"/>
      <c r="J332" s="28"/>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row>
    <row r="333" spans="1:33" ht="13.5" customHeight="1">
      <c r="A333" s="37"/>
      <c r="B333" s="37"/>
      <c r="C333" s="37"/>
      <c r="D333" s="38"/>
      <c r="E333" s="37"/>
      <c r="F333" s="37"/>
      <c r="G333" s="37"/>
      <c r="H333" s="28"/>
      <c r="I333" s="28"/>
      <c r="J333" s="28"/>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row>
    <row r="334" spans="1:33" ht="13.5" customHeight="1">
      <c r="A334" s="37"/>
      <c r="B334" s="37"/>
      <c r="C334" s="37"/>
      <c r="D334" s="38"/>
      <c r="E334" s="37"/>
      <c r="F334" s="37"/>
      <c r="G334" s="37"/>
      <c r="H334" s="28"/>
      <c r="I334" s="28"/>
      <c r="J334" s="28"/>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row>
    <row r="335" spans="1:33" ht="13.5" customHeight="1">
      <c r="A335" s="37"/>
      <c r="B335" s="37"/>
      <c r="C335" s="37"/>
      <c r="D335" s="38"/>
      <c r="E335" s="37"/>
      <c r="F335" s="37"/>
      <c r="G335" s="37"/>
      <c r="H335" s="28"/>
      <c r="I335" s="28"/>
      <c r="J335" s="28"/>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row>
    <row r="336" spans="1:33" ht="13.5" customHeight="1">
      <c r="A336" s="37"/>
      <c r="B336" s="37"/>
      <c r="C336" s="37"/>
      <c r="D336" s="38"/>
      <c r="E336" s="37"/>
      <c r="F336" s="37"/>
      <c r="G336" s="37"/>
      <c r="H336" s="28"/>
      <c r="I336" s="28"/>
      <c r="J336" s="28"/>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row>
    <row r="337" spans="1:33" ht="13.5" customHeight="1">
      <c r="A337" s="37"/>
      <c r="B337" s="37"/>
      <c r="C337" s="37"/>
      <c r="D337" s="38"/>
      <c r="E337" s="37"/>
      <c r="F337" s="37"/>
      <c r="G337" s="37"/>
      <c r="H337" s="28"/>
      <c r="I337" s="28"/>
      <c r="J337" s="28"/>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row>
    <row r="338" spans="1:33" ht="13.5" customHeight="1">
      <c r="A338" s="37"/>
      <c r="B338" s="37"/>
      <c r="C338" s="37"/>
      <c r="D338" s="38"/>
      <c r="E338" s="37"/>
      <c r="F338" s="37"/>
      <c r="G338" s="37"/>
      <c r="H338" s="28"/>
      <c r="I338" s="28"/>
      <c r="J338" s="28"/>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row>
    <row r="339" spans="1:33" ht="13.5" customHeight="1">
      <c r="A339" s="37"/>
      <c r="B339" s="37"/>
      <c r="C339" s="37"/>
      <c r="D339" s="38"/>
      <c r="E339" s="37"/>
      <c r="F339" s="37"/>
      <c r="G339" s="37"/>
      <c r="H339" s="28"/>
      <c r="I339" s="28"/>
      <c r="J339" s="28"/>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row>
    <row r="340" spans="1:33" ht="13.5" customHeight="1">
      <c r="A340" s="37"/>
      <c r="B340" s="37"/>
      <c r="C340" s="37"/>
      <c r="D340" s="38"/>
      <c r="E340" s="37"/>
      <c r="F340" s="37"/>
      <c r="G340" s="37"/>
      <c r="H340" s="28"/>
      <c r="I340" s="28"/>
      <c r="J340" s="28"/>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row>
    <row r="341" spans="1:33" ht="13.5" customHeight="1">
      <c r="A341" s="37"/>
      <c r="B341" s="37"/>
      <c r="C341" s="37"/>
      <c r="D341" s="38"/>
      <c r="E341" s="37"/>
      <c r="F341" s="37"/>
      <c r="G341" s="37"/>
      <c r="H341" s="28"/>
      <c r="I341" s="28"/>
      <c r="J341" s="28"/>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row>
    <row r="342" spans="1:33" ht="13.5" customHeight="1">
      <c r="A342" s="37"/>
      <c r="B342" s="37"/>
      <c r="C342" s="37"/>
      <c r="D342" s="38"/>
      <c r="E342" s="37"/>
      <c r="F342" s="37"/>
      <c r="G342" s="37"/>
      <c r="H342" s="28"/>
      <c r="I342" s="28"/>
      <c r="J342" s="28"/>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row>
    <row r="343" spans="1:33" ht="13.5" customHeight="1">
      <c r="A343" s="37"/>
      <c r="B343" s="37"/>
      <c r="C343" s="37"/>
      <c r="D343" s="38"/>
      <c r="E343" s="37"/>
      <c r="F343" s="37"/>
      <c r="G343" s="37"/>
      <c r="H343" s="28"/>
      <c r="I343" s="28"/>
      <c r="J343" s="28"/>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row>
    <row r="344" spans="1:33" ht="13.5" customHeight="1">
      <c r="A344" s="37"/>
      <c r="B344" s="37"/>
      <c r="C344" s="37"/>
      <c r="D344" s="38"/>
      <c r="E344" s="37"/>
      <c r="F344" s="37"/>
      <c r="G344" s="37"/>
      <c r="H344" s="28"/>
      <c r="I344" s="28"/>
      <c r="J344" s="28"/>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row>
    <row r="345" spans="1:33" ht="13.5" customHeight="1">
      <c r="A345" s="37"/>
      <c r="B345" s="37"/>
      <c r="C345" s="37"/>
      <c r="D345" s="38"/>
      <c r="E345" s="37"/>
      <c r="F345" s="37"/>
      <c r="G345" s="37"/>
      <c r="H345" s="28"/>
      <c r="I345" s="28"/>
      <c r="J345" s="28"/>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row>
    <row r="346" spans="1:33" ht="13.5" customHeight="1">
      <c r="A346" s="37"/>
      <c r="B346" s="37"/>
      <c r="C346" s="37"/>
      <c r="D346" s="38"/>
      <c r="E346" s="37"/>
      <c r="F346" s="37"/>
      <c r="G346" s="37"/>
      <c r="H346" s="28"/>
      <c r="I346" s="28"/>
      <c r="J346" s="28"/>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row>
    <row r="347" spans="1:33" ht="13.5" customHeight="1">
      <c r="A347" s="37"/>
      <c r="B347" s="37"/>
      <c r="C347" s="37"/>
      <c r="D347" s="38"/>
      <c r="E347" s="37"/>
      <c r="F347" s="37"/>
      <c r="G347" s="37"/>
      <c r="H347" s="28"/>
      <c r="I347" s="28"/>
      <c r="J347" s="28"/>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row>
    <row r="348" spans="1:33" ht="13.5" customHeight="1">
      <c r="A348" s="37"/>
      <c r="B348" s="37"/>
      <c r="C348" s="37"/>
      <c r="D348" s="38"/>
      <c r="E348" s="37"/>
      <c r="F348" s="37"/>
      <c r="G348" s="37"/>
      <c r="H348" s="28"/>
      <c r="I348" s="28"/>
      <c r="J348" s="28"/>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row>
    <row r="349" spans="1:33" ht="13.5" customHeight="1">
      <c r="A349" s="37"/>
      <c r="B349" s="37"/>
      <c r="C349" s="37"/>
      <c r="D349" s="38"/>
      <c r="E349" s="37"/>
      <c r="F349" s="37"/>
      <c r="G349" s="37"/>
      <c r="H349" s="28"/>
      <c r="I349" s="28"/>
      <c r="J349" s="28"/>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row>
    <row r="350" spans="1:33" ht="13.5" customHeight="1">
      <c r="A350" s="37"/>
      <c r="B350" s="37"/>
      <c r="C350" s="37"/>
      <c r="D350" s="38"/>
      <c r="E350" s="37"/>
      <c r="F350" s="37"/>
      <c r="G350" s="37"/>
      <c r="H350" s="28"/>
      <c r="I350" s="28"/>
      <c r="J350" s="28"/>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row>
    <row r="351" spans="1:33" ht="13.5" customHeight="1">
      <c r="A351" s="37"/>
      <c r="B351" s="37"/>
      <c r="C351" s="37"/>
      <c r="D351" s="38"/>
      <c r="E351" s="37"/>
      <c r="F351" s="37"/>
      <c r="G351" s="37"/>
      <c r="H351" s="28"/>
      <c r="I351" s="28"/>
      <c r="J351" s="28"/>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row>
    <row r="352" spans="1:33" ht="13.5" customHeight="1">
      <c r="A352" s="37"/>
      <c r="B352" s="37"/>
      <c r="C352" s="37"/>
      <c r="D352" s="38"/>
      <c r="E352" s="37"/>
      <c r="F352" s="37"/>
      <c r="G352" s="37"/>
      <c r="H352" s="28"/>
      <c r="I352" s="28"/>
      <c r="J352" s="28"/>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row>
    <row r="353" spans="1:33" ht="13.5" customHeight="1">
      <c r="A353" s="37"/>
      <c r="B353" s="37"/>
      <c r="C353" s="37"/>
      <c r="D353" s="38"/>
      <c r="E353" s="37"/>
      <c r="F353" s="37"/>
      <c r="G353" s="37"/>
      <c r="H353" s="28"/>
      <c r="I353" s="28"/>
      <c r="J353" s="28"/>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row>
    <row r="354" spans="1:33" ht="13.5" customHeight="1">
      <c r="A354" s="37"/>
      <c r="B354" s="37"/>
      <c r="C354" s="37"/>
      <c r="D354" s="38"/>
      <c r="E354" s="37"/>
      <c r="F354" s="37"/>
      <c r="G354" s="37"/>
      <c r="H354" s="28"/>
      <c r="I354" s="28"/>
      <c r="J354" s="28"/>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row>
    <row r="355" spans="1:33" ht="13.5" customHeight="1">
      <c r="A355" s="37"/>
      <c r="B355" s="37"/>
      <c r="C355" s="37"/>
      <c r="D355" s="38"/>
      <c r="E355" s="37"/>
      <c r="F355" s="37"/>
      <c r="G355" s="37"/>
      <c r="H355" s="28"/>
      <c r="I355" s="28"/>
      <c r="J355" s="28"/>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row>
    <row r="356" spans="1:33" ht="13.5" customHeight="1">
      <c r="A356" s="37"/>
      <c r="B356" s="37"/>
      <c r="C356" s="37"/>
      <c r="D356" s="38"/>
      <c r="E356" s="37"/>
      <c r="F356" s="37"/>
      <c r="G356" s="37"/>
      <c r="H356" s="28"/>
      <c r="I356" s="28"/>
      <c r="J356" s="28"/>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row>
    <row r="357" spans="1:33" ht="13.5" customHeight="1">
      <c r="A357" s="37"/>
      <c r="B357" s="37"/>
      <c r="C357" s="37"/>
      <c r="D357" s="38"/>
      <c r="E357" s="37"/>
      <c r="F357" s="37"/>
      <c r="G357" s="37"/>
      <c r="H357" s="28"/>
      <c r="I357" s="28"/>
      <c r="J357" s="28"/>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row>
    <row r="358" spans="1:33" ht="13.5" customHeight="1">
      <c r="A358" s="37"/>
      <c r="B358" s="37"/>
      <c r="C358" s="37"/>
      <c r="D358" s="38"/>
      <c r="E358" s="37"/>
      <c r="F358" s="37"/>
      <c r="G358" s="37"/>
      <c r="H358" s="28"/>
      <c r="I358" s="28"/>
      <c r="J358" s="28"/>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row>
    <row r="359" spans="1:33" ht="13.5" customHeight="1">
      <c r="A359" s="37"/>
      <c r="B359" s="37"/>
      <c r="C359" s="37"/>
      <c r="D359" s="38"/>
      <c r="E359" s="37"/>
      <c r="F359" s="37"/>
      <c r="G359" s="37"/>
      <c r="H359" s="28"/>
      <c r="I359" s="28"/>
      <c r="J359" s="28"/>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row>
    <row r="360" spans="1:33" ht="13.5" customHeight="1">
      <c r="A360" s="37"/>
      <c r="B360" s="37"/>
      <c r="C360" s="37"/>
      <c r="D360" s="38"/>
      <c r="E360" s="37"/>
      <c r="F360" s="37"/>
      <c r="G360" s="37"/>
      <c r="H360" s="28"/>
      <c r="I360" s="28"/>
      <c r="J360" s="28"/>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row>
    <row r="361" spans="1:33" ht="13.5" customHeight="1">
      <c r="A361" s="37"/>
      <c r="B361" s="37"/>
      <c r="C361" s="37"/>
      <c r="D361" s="38"/>
      <c r="E361" s="37"/>
      <c r="F361" s="37"/>
      <c r="G361" s="37"/>
      <c r="H361" s="28"/>
      <c r="I361" s="28"/>
      <c r="J361" s="28"/>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row>
    <row r="362" spans="1:33" ht="13.5" customHeight="1">
      <c r="A362" s="37"/>
      <c r="B362" s="37"/>
      <c r="C362" s="37"/>
      <c r="D362" s="38"/>
      <c r="E362" s="37"/>
      <c r="F362" s="37"/>
      <c r="G362" s="37"/>
      <c r="H362" s="28"/>
      <c r="I362" s="28"/>
      <c r="J362" s="28"/>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row>
    <row r="363" spans="1:33" ht="13.5" customHeight="1">
      <c r="A363" s="37"/>
      <c r="B363" s="37"/>
      <c r="C363" s="37"/>
      <c r="D363" s="38"/>
      <c r="E363" s="37"/>
      <c r="F363" s="37"/>
      <c r="G363" s="37"/>
      <c r="H363" s="28"/>
      <c r="I363" s="28"/>
      <c r="J363" s="28"/>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row>
    <row r="364" spans="1:33" ht="13.5" customHeight="1">
      <c r="A364" s="37"/>
      <c r="B364" s="37"/>
      <c r="C364" s="37"/>
      <c r="D364" s="38"/>
      <c r="E364" s="37"/>
      <c r="F364" s="37"/>
      <c r="G364" s="37"/>
      <c r="H364" s="28"/>
      <c r="I364" s="28"/>
      <c r="J364" s="28"/>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row>
    <row r="365" spans="1:33" ht="13.5" customHeight="1">
      <c r="A365" s="37"/>
      <c r="B365" s="37"/>
      <c r="C365" s="37"/>
      <c r="D365" s="38"/>
      <c r="E365" s="37"/>
      <c r="F365" s="37"/>
      <c r="G365" s="37"/>
      <c r="H365" s="28"/>
      <c r="I365" s="28"/>
      <c r="J365" s="28"/>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row>
    <row r="366" spans="1:33" ht="13.5" customHeight="1">
      <c r="A366" s="37"/>
      <c r="B366" s="37"/>
      <c r="C366" s="37"/>
      <c r="D366" s="38"/>
      <c r="E366" s="37"/>
      <c r="F366" s="37"/>
      <c r="G366" s="37"/>
      <c r="H366" s="28"/>
      <c r="I366" s="28"/>
      <c r="J366" s="28"/>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row>
    <row r="367" spans="1:33" ht="13.5" customHeight="1">
      <c r="A367" s="37"/>
      <c r="B367" s="37"/>
      <c r="C367" s="37"/>
      <c r="D367" s="38"/>
      <c r="E367" s="37"/>
      <c r="F367" s="37"/>
      <c r="G367" s="37"/>
      <c r="H367" s="28"/>
      <c r="I367" s="28"/>
      <c r="J367" s="28"/>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row>
    <row r="368" spans="1:33" ht="13.5" customHeight="1">
      <c r="A368" s="37"/>
      <c r="B368" s="37"/>
      <c r="C368" s="37"/>
      <c r="D368" s="38"/>
      <c r="E368" s="37"/>
      <c r="F368" s="37"/>
      <c r="G368" s="37"/>
      <c r="H368" s="28"/>
      <c r="I368" s="28"/>
      <c r="J368" s="28"/>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row>
    <row r="369" spans="1:33" ht="13.5" customHeight="1">
      <c r="A369" s="37"/>
      <c r="B369" s="37"/>
      <c r="C369" s="37"/>
      <c r="D369" s="38"/>
      <c r="E369" s="37"/>
      <c r="F369" s="37"/>
      <c r="G369" s="37"/>
      <c r="H369" s="28"/>
      <c r="I369" s="28"/>
      <c r="J369" s="28"/>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row>
    <row r="370" spans="1:33" ht="13.5" customHeight="1">
      <c r="A370" s="37"/>
      <c r="B370" s="37"/>
      <c r="C370" s="37"/>
      <c r="D370" s="38"/>
      <c r="E370" s="37"/>
      <c r="F370" s="37"/>
      <c r="G370" s="37"/>
      <c r="H370" s="28"/>
      <c r="I370" s="28"/>
      <c r="J370" s="28"/>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row>
    <row r="371" spans="1:33" ht="13.5" customHeight="1">
      <c r="A371" s="37"/>
      <c r="B371" s="37"/>
      <c r="C371" s="37"/>
      <c r="D371" s="38"/>
      <c r="E371" s="37"/>
      <c r="F371" s="37"/>
      <c r="G371" s="37"/>
      <c r="H371" s="28"/>
      <c r="I371" s="28"/>
      <c r="J371" s="28"/>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row>
    <row r="372" spans="1:33" ht="13.5" customHeight="1">
      <c r="A372" s="37"/>
      <c r="B372" s="37"/>
      <c r="C372" s="37"/>
      <c r="D372" s="38"/>
      <c r="E372" s="37"/>
      <c r="F372" s="37"/>
      <c r="G372" s="37"/>
      <c r="H372" s="28"/>
      <c r="I372" s="28"/>
      <c r="J372" s="28"/>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row>
    <row r="373" spans="1:33" ht="13.5" customHeight="1">
      <c r="A373" s="37"/>
      <c r="B373" s="37"/>
      <c r="C373" s="37"/>
      <c r="D373" s="38"/>
      <c r="E373" s="37"/>
      <c r="F373" s="37"/>
      <c r="G373" s="37"/>
      <c r="H373" s="28"/>
      <c r="I373" s="28"/>
      <c r="J373" s="28"/>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row>
    <row r="374" spans="1:33" ht="13.5" customHeight="1">
      <c r="A374" s="37"/>
      <c r="B374" s="37"/>
      <c r="C374" s="37"/>
      <c r="D374" s="38"/>
      <c r="E374" s="37"/>
      <c r="F374" s="37"/>
      <c r="G374" s="37"/>
      <c r="H374" s="28"/>
      <c r="I374" s="28"/>
      <c r="J374" s="28"/>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row>
    <row r="375" spans="1:33" ht="13.5" customHeight="1">
      <c r="A375" s="37"/>
      <c r="B375" s="37"/>
      <c r="C375" s="37"/>
      <c r="D375" s="38"/>
      <c r="E375" s="37"/>
      <c r="F375" s="37"/>
      <c r="G375" s="37"/>
      <c r="H375" s="28"/>
      <c r="I375" s="28"/>
      <c r="J375" s="28"/>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row>
    <row r="376" spans="1:33" ht="13.5" customHeight="1">
      <c r="A376" s="37"/>
      <c r="B376" s="37"/>
      <c r="C376" s="37"/>
      <c r="D376" s="38"/>
      <c r="E376" s="37"/>
      <c r="F376" s="37"/>
      <c r="G376" s="37"/>
      <c r="H376" s="28"/>
      <c r="I376" s="28"/>
      <c r="J376" s="28"/>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row>
    <row r="377" spans="1:33" ht="13.5" customHeight="1">
      <c r="A377" s="37"/>
      <c r="B377" s="37"/>
      <c r="C377" s="37"/>
      <c r="D377" s="38"/>
      <c r="E377" s="37"/>
      <c r="F377" s="37"/>
      <c r="G377" s="37"/>
      <c r="H377" s="28"/>
      <c r="I377" s="28"/>
      <c r="J377" s="28"/>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row>
    <row r="378" spans="1:33" ht="13.5" customHeight="1">
      <c r="A378" s="37"/>
      <c r="B378" s="37"/>
      <c r="C378" s="37"/>
      <c r="D378" s="38"/>
      <c r="E378" s="37"/>
      <c r="F378" s="37"/>
      <c r="G378" s="37"/>
      <c r="H378" s="28"/>
      <c r="I378" s="28"/>
      <c r="J378" s="28"/>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row>
    <row r="379" spans="1:33" ht="13.5" customHeight="1">
      <c r="A379" s="37"/>
      <c r="B379" s="37"/>
      <c r="C379" s="37"/>
      <c r="D379" s="38"/>
      <c r="E379" s="37"/>
      <c r="F379" s="37"/>
      <c r="G379" s="37"/>
      <c r="H379" s="28"/>
      <c r="I379" s="28"/>
      <c r="J379" s="28"/>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row>
    <row r="380" spans="1:33" ht="13.5" customHeight="1">
      <c r="A380" s="37"/>
      <c r="B380" s="37"/>
      <c r="C380" s="37"/>
      <c r="D380" s="38"/>
      <c r="E380" s="37"/>
      <c r="F380" s="37"/>
      <c r="G380" s="37"/>
      <c r="H380" s="28"/>
      <c r="I380" s="28"/>
      <c r="J380" s="28"/>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row>
    <row r="381" spans="1:33" ht="13.5" customHeight="1">
      <c r="A381" s="37"/>
      <c r="B381" s="37"/>
      <c r="C381" s="37"/>
      <c r="D381" s="38"/>
      <c r="E381" s="37"/>
      <c r="F381" s="37"/>
      <c r="G381" s="37"/>
      <c r="H381" s="28"/>
      <c r="I381" s="28"/>
      <c r="J381" s="28"/>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row>
    <row r="382" spans="1:33" ht="13.5" customHeight="1">
      <c r="A382" s="37"/>
      <c r="B382" s="37"/>
      <c r="C382" s="37"/>
      <c r="D382" s="38"/>
      <c r="E382" s="37"/>
      <c r="F382" s="37"/>
      <c r="G382" s="37"/>
      <c r="H382" s="28"/>
      <c r="I382" s="28"/>
      <c r="J382" s="28"/>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row>
    <row r="383" spans="1:33" ht="13.5" customHeight="1">
      <c r="A383" s="37"/>
      <c r="B383" s="37"/>
      <c r="C383" s="37"/>
      <c r="D383" s="38"/>
      <c r="E383" s="37"/>
      <c r="F383" s="37"/>
      <c r="G383" s="37"/>
      <c r="H383" s="28"/>
      <c r="I383" s="28"/>
      <c r="J383" s="28"/>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row>
    <row r="384" spans="1:33" ht="13.5" customHeight="1">
      <c r="A384" s="37"/>
      <c r="B384" s="37"/>
      <c r="C384" s="37"/>
      <c r="D384" s="38"/>
      <c r="E384" s="37"/>
      <c r="F384" s="37"/>
      <c r="G384" s="37"/>
      <c r="H384" s="28"/>
      <c r="I384" s="28"/>
      <c r="J384" s="28"/>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row>
    <row r="385" spans="1:33" ht="13.5" customHeight="1">
      <c r="A385" s="37"/>
      <c r="B385" s="37"/>
      <c r="C385" s="37"/>
      <c r="D385" s="38"/>
      <c r="E385" s="37"/>
      <c r="F385" s="37"/>
      <c r="G385" s="37"/>
      <c r="H385" s="28"/>
      <c r="I385" s="28"/>
      <c r="J385" s="28"/>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row>
    <row r="386" spans="1:33" ht="13.5" customHeight="1">
      <c r="A386" s="37"/>
      <c r="B386" s="37"/>
      <c r="C386" s="37"/>
      <c r="D386" s="38"/>
      <c r="E386" s="37"/>
      <c r="F386" s="37"/>
      <c r="G386" s="37"/>
      <c r="H386" s="28"/>
      <c r="I386" s="28"/>
      <c r="J386" s="28"/>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row>
    <row r="387" spans="1:33" ht="13.5" customHeight="1">
      <c r="A387" s="37"/>
      <c r="B387" s="37"/>
      <c r="C387" s="37"/>
      <c r="D387" s="38"/>
      <c r="E387" s="37"/>
      <c r="F387" s="37"/>
      <c r="G387" s="37"/>
      <c r="H387" s="28"/>
      <c r="I387" s="28"/>
      <c r="J387" s="28"/>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row>
    <row r="388" spans="1:33" ht="13.5" customHeight="1">
      <c r="A388" s="37"/>
      <c r="B388" s="37"/>
      <c r="C388" s="37"/>
      <c r="D388" s="38"/>
      <c r="E388" s="37"/>
      <c r="F388" s="37"/>
      <c r="G388" s="37"/>
      <c r="H388" s="28"/>
      <c r="I388" s="28"/>
      <c r="J388" s="28"/>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row>
    <row r="389" spans="1:33" ht="13.5" customHeight="1">
      <c r="A389" s="37"/>
      <c r="B389" s="37"/>
      <c r="C389" s="37"/>
      <c r="D389" s="38"/>
      <c r="E389" s="37"/>
      <c r="F389" s="37"/>
      <c r="G389" s="37"/>
      <c r="H389" s="28"/>
      <c r="I389" s="28"/>
      <c r="J389" s="28"/>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row>
    <row r="390" spans="1:33" ht="13.5" customHeight="1">
      <c r="A390" s="37"/>
      <c r="B390" s="37"/>
      <c r="C390" s="37"/>
      <c r="D390" s="38"/>
      <c r="E390" s="37"/>
      <c r="F390" s="37"/>
      <c r="G390" s="37"/>
      <c r="H390" s="28"/>
      <c r="I390" s="28"/>
      <c r="J390" s="28"/>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row>
    <row r="391" spans="1:33" ht="13.5" customHeight="1">
      <c r="A391" s="37"/>
      <c r="B391" s="37"/>
      <c r="C391" s="37"/>
      <c r="D391" s="38"/>
      <c r="E391" s="37"/>
      <c r="F391" s="37"/>
      <c r="G391" s="37"/>
      <c r="H391" s="28"/>
      <c r="I391" s="28"/>
      <c r="J391" s="28"/>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row>
    <row r="392" spans="1:33" ht="13.5" customHeight="1">
      <c r="A392" s="37"/>
      <c r="B392" s="37"/>
      <c r="C392" s="37"/>
      <c r="D392" s="38"/>
      <c r="E392" s="37"/>
      <c r="F392" s="37"/>
      <c r="G392" s="37"/>
      <c r="H392" s="28"/>
      <c r="I392" s="28"/>
      <c r="J392" s="28"/>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row>
    <row r="393" spans="1:33" ht="13.5" customHeight="1">
      <c r="A393" s="37"/>
      <c r="B393" s="37"/>
      <c r="C393" s="37"/>
      <c r="D393" s="38"/>
      <c r="E393" s="37"/>
      <c r="F393" s="37"/>
      <c r="G393" s="37"/>
      <c r="H393" s="28"/>
      <c r="I393" s="28"/>
      <c r="J393" s="28"/>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row>
    <row r="394" spans="1:33" ht="13.5" customHeight="1">
      <c r="A394" s="37"/>
      <c r="B394" s="37"/>
      <c r="C394" s="37"/>
      <c r="D394" s="38"/>
      <c r="E394" s="37"/>
      <c r="F394" s="37"/>
      <c r="G394" s="37"/>
      <c r="H394" s="28"/>
      <c r="I394" s="28"/>
      <c r="J394" s="28"/>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row>
    <row r="395" spans="1:33" ht="13.5" customHeight="1">
      <c r="A395" s="37"/>
      <c r="B395" s="37"/>
      <c r="C395" s="37"/>
      <c r="D395" s="38"/>
      <c r="E395" s="37"/>
      <c r="F395" s="37"/>
      <c r="G395" s="37"/>
      <c r="H395" s="28"/>
      <c r="I395" s="28"/>
      <c r="J395" s="28"/>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row>
    <row r="396" spans="1:33" ht="13.5" customHeight="1">
      <c r="A396" s="37"/>
      <c r="B396" s="37"/>
      <c r="C396" s="37"/>
      <c r="D396" s="38"/>
      <c r="E396" s="37"/>
      <c r="F396" s="37"/>
      <c r="G396" s="37"/>
      <c r="H396" s="28"/>
      <c r="I396" s="28"/>
      <c r="J396" s="28"/>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row>
    <row r="397" spans="1:33" ht="13.5" customHeight="1">
      <c r="A397" s="37"/>
      <c r="B397" s="37"/>
      <c r="C397" s="37"/>
      <c r="D397" s="38"/>
      <c r="E397" s="37"/>
      <c r="F397" s="37"/>
      <c r="G397" s="37"/>
      <c r="H397" s="28"/>
      <c r="I397" s="28"/>
      <c r="J397" s="28"/>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row>
    <row r="398" spans="1:33" ht="13.5" customHeight="1">
      <c r="A398" s="37"/>
      <c r="B398" s="37"/>
      <c r="C398" s="37"/>
      <c r="D398" s="38"/>
      <c r="E398" s="37"/>
      <c r="F398" s="37"/>
      <c r="G398" s="37"/>
      <c r="H398" s="28"/>
      <c r="I398" s="28"/>
      <c r="J398" s="28"/>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row>
    <row r="399" spans="1:33" ht="13.5" customHeight="1">
      <c r="A399" s="37"/>
      <c r="B399" s="37"/>
      <c r="C399" s="37"/>
      <c r="D399" s="38"/>
      <c r="E399" s="37"/>
      <c r="F399" s="37"/>
      <c r="G399" s="37"/>
      <c r="H399" s="28"/>
      <c r="I399" s="28"/>
      <c r="J399" s="28"/>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row>
    <row r="400" spans="1:33" ht="13.5" customHeight="1">
      <c r="A400" s="37"/>
      <c r="B400" s="37"/>
      <c r="C400" s="37"/>
      <c r="D400" s="38"/>
      <c r="E400" s="37"/>
      <c r="F400" s="37"/>
      <c r="G400" s="37"/>
      <c r="H400" s="28"/>
      <c r="I400" s="28"/>
      <c r="J400" s="28"/>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row>
    <row r="401" spans="1:33" ht="13.5" customHeight="1">
      <c r="A401" s="37"/>
      <c r="B401" s="37"/>
      <c r="C401" s="37"/>
      <c r="D401" s="38"/>
      <c r="E401" s="37"/>
      <c r="F401" s="37"/>
      <c r="G401" s="37"/>
      <c r="H401" s="28"/>
      <c r="I401" s="28"/>
      <c r="J401" s="28"/>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row>
    <row r="402" spans="1:33" ht="13.5" customHeight="1">
      <c r="A402" s="37"/>
      <c r="B402" s="37"/>
      <c r="C402" s="37"/>
      <c r="D402" s="38"/>
      <c r="E402" s="37"/>
      <c r="F402" s="37"/>
      <c r="G402" s="37"/>
      <c r="H402" s="28"/>
      <c r="I402" s="28"/>
      <c r="J402" s="28"/>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row>
    <row r="403" spans="1:33" ht="13.5" customHeight="1">
      <c r="A403" s="37"/>
      <c r="B403" s="37"/>
      <c r="C403" s="37"/>
      <c r="D403" s="38"/>
      <c r="E403" s="37"/>
      <c r="F403" s="37"/>
      <c r="G403" s="37"/>
      <c r="H403" s="28"/>
      <c r="I403" s="28"/>
      <c r="J403" s="28"/>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row>
    <row r="404" spans="1:33" ht="13.5" customHeight="1">
      <c r="A404" s="37"/>
      <c r="B404" s="37"/>
      <c r="C404" s="37"/>
      <c r="D404" s="38"/>
      <c r="E404" s="37"/>
      <c r="F404" s="37"/>
      <c r="G404" s="37"/>
      <c r="H404" s="28"/>
      <c r="I404" s="28"/>
      <c r="J404" s="28"/>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row>
    <row r="405" spans="1:33" ht="13.5" customHeight="1">
      <c r="A405" s="37"/>
      <c r="B405" s="37"/>
      <c r="C405" s="37"/>
      <c r="D405" s="38"/>
      <c r="E405" s="37"/>
      <c r="F405" s="37"/>
      <c r="G405" s="37"/>
      <c r="H405" s="28"/>
      <c r="I405" s="28"/>
      <c r="J405" s="28"/>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row>
    <row r="406" spans="1:33" ht="13.5" customHeight="1">
      <c r="A406" s="37"/>
      <c r="B406" s="37"/>
      <c r="C406" s="37"/>
      <c r="D406" s="38"/>
      <c r="E406" s="37"/>
      <c r="F406" s="37"/>
      <c r="G406" s="37"/>
      <c r="H406" s="28"/>
      <c r="I406" s="28"/>
      <c r="J406" s="28"/>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row>
    <row r="407" spans="1:33" ht="13.5" customHeight="1">
      <c r="A407" s="37"/>
      <c r="B407" s="37"/>
      <c r="C407" s="37"/>
      <c r="D407" s="38"/>
      <c r="E407" s="37"/>
      <c r="F407" s="37"/>
      <c r="G407" s="37"/>
      <c r="H407" s="28"/>
      <c r="I407" s="28"/>
      <c r="J407" s="28"/>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row>
    <row r="408" spans="1:33" ht="13.5" customHeight="1">
      <c r="A408" s="37"/>
      <c r="B408" s="37"/>
      <c r="C408" s="37"/>
      <c r="D408" s="38"/>
      <c r="E408" s="37"/>
      <c r="F408" s="37"/>
      <c r="G408" s="37"/>
      <c r="H408" s="28"/>
      <c r="I408" s="28"/>
      <c r="J408" s="28"/>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row>
    <row r="409" spans="1:33" ht="13.5" customHeight="1">
      <c r="A409" s="37"/>
      <c r="B409" s="37"/>
      <c r="C409" s="37"/>
      <c r="D409" s="38"/>
      <c r="E409" s="37"/>
      <c r="F409" s="37"/>
      <c r="G409" s="37"/>
      <c r="H409" s="28"/>
      <c r="I409" s="28"/>
      <c r="J409" s="28"/>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row>
    <row r="410" spans="1:33" ht="13.5" customHeight="1">
      <c r="A410" s="37"/>
      <c r="B410" s="37"/>
      <c r="C410" s="37"/>
      <c r="D410" s="38"/>
      <c r="E410" s="37"/>
      <c r="F410" s="37"/>
      <c r="G410" s="37"/>
      <c r="H410" s="28"/>
      <c r="I410" s="28"/>
      <c r="J410" s="28"/>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row>
    <row r="411" spans="1:33" ht="13.5" customHeight="1">
      <c r="A411" s="37"/>
      <c r="B411" s="37"/>
      <c r="C411" s="37"/>
      <c r="D411" s="38"/>
      <c r="E411" s="37"/>
      <c r="F411" s="37"/>
      <c r="G411" s="37"/>
      <c r="H411" s="28"/>
      <c r="I411" s="28"/>
      <c r="J411" s="28"/>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row>
    <row r="412" spans="1:33" ht="13.5" customHeight="1">
      <c r="A412" s="37"/>
      <c r="B412" s="37"/>
      <c r="C412" s="37"/>
      <c r="D412" s="38"/>
      <c r="E412" s="37"/>
      <c r="F412" s="37"/>
      <c r="G412" s="37"/>
      <c r="H412" s="28"/>
      <c r="I412" s="28"/>
      <c r="J412" s="28"/>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row>
    <row r="413" spans="1:33" ht="13.5" customHeight="1">
      <c r="A413" s="37"/>
      <c r="B413" s="37"/>
      <c r="C413" s="37"/>
      <c r="D413" s="38"/>
      <c r="E413" s="37"/>
      <c r="F413" s="37"/>
      <c r="G413" s="37"/>
      <c r="H413" s="28"/>
      <c r="I413" s="28"/>
      <c r="J413" s="28"/>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row>
    <row r="414" spans="1:33" ht="13.5" customHeight="1">
      <c r="A414" s="37"/>
      <c r="B414" s="37"/>
      <c r="C414" s="37"/>
      <c r="D414" s="38"/>
      <c r="E414" s="37"/>
      <c r="F414" s="37"/>
      <c r="G414" s="37"/>
      <c r="H414" s="28"/>
      <c r="I414" s="28"/>
      <c r="J414" s="28"/>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row>
    <row r="415" spans="1:33" ht="13.5" customHeight="1">
      <c r="A415" s="37"/>
      <c r="B415" s="37"/>
      <c r="C415" s="37"/>
      <c r="D415" s="38"/>
      <c r="E415" s="37"/>
      <c r="F415" s="37"/>
      <c r="G415" s="37"/>
      <c r="H415" s="28"/>
      <c r="I415" s="28"/>
      <c r="J415" s="28"/>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row>
    <row r="416" spans="1:33" ht="13.5" customHeight="1">
      <c r="A416" s="37"/>
      <c r="B416" s="37"/>
      <c r="C416" s="37"/>
      <c r="D416" s="38"/>
      <c r="E416" s="37"/>
      <c r="F416" s="37"/>
      <c r="G416" s="37"/>
      <c r="H416" s="28"/>
      <c r="I416" s="28"/>
      <c r="J416" s="28"/>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row>
    <row r="417" spans="1:33" ht="13.5" customHeight="1">
      <c r="A417" s="37"/>
      <c r="B417" s="37"/>
      <c r="C417" s="37"/>
      <c r="D417" s="38"/>
      <c r="E417" s="37"/>
      <c r="F417" s="37"/>
      <c r="G417" s="37"/>
      <c r="H417" s="28"/>
      <c r="I417" s="28"/>
      <c r="J417" s="28"/>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row>
    <row r="418" spans="1:33" ht="13.5" customHeight="1">
      <c r="A418" s="37"/>
      <c r="B418" s="37"/>
      <c r="C418" s="37"/>
      <c r="D418" s="38"/>
      <c r="E418" s="37"/>
      <c r="F418" s="37"/>
      <c r="G418" s="37"/>
      <c r="H418" s="28"/>
      <c r="I418" s="28"/>
      <c r="J418" s="28"/>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row>
    <row r="419" spans="1:33" ht="13.5" customHeight="1">
      <c r="A419" s="37"/>
      <c r="B419" s="37"/>
      <c r="C419" s="37"/>
      <c r="D419" s="38"/>
      <c r="E419" s="37"/>
      <c r="F419" s="37"/>
      <c r="G419" s="37"/>
      <c r="H419" s="28"/>
      <c r="I419" s="28"/>
      <c r="J419" s="28"/>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row>
    <row r="420" spans="1:33" ht="13.5" customHeight="1">
      <c r="A420" s="37"/>
      <c r="B420" s="37"/>
      <c r="C420" s="37"/>
      <c r="D420" s="38"/>
      <c r="E420" s="37"/>
      <c r="F420" s="37"/>
      <c r="G420" s="37"/>
      <c r="H420" s="28"/>
      <c r="I420" s="28"/>
      <c r="J420" s="28"/>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row>
    <row r="421" spans="1:33" ht="13.5" customHeight="1">
      <c r="A421" s="37"/>
      <c r="B421" s="37"/>
      <c r="C421" s="37"/>
      <c r="D421" s="38"/>
      <c r="E421" s="37"/>
      <c r="F421" s="37"/>
      <c r="G421" s="37"/>
      <c r="H421" s="28"/>
      <c r="I421" s="28"/>
      <c r="J421" s="28"/>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row>
    <row r="422" spans="1:33" ht="13.5" customHeight="1">
      <c r="A422" s="37"/>
      <c r="B422" s="37"/>
      <c r="C422" s="37"/>
      <c r="D422" s="38"/>
      <c r="E422" s="37"/>
      <c r="F422" s="37"/>
      <c r="G422" s="37"/>
      <c r="H422" s="28"/>
      <c r="I422" s="28"/>
      <c r="J422" s="28"/>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row>
    <row r="423" spans="1:33" ht="13.5" customHeight="1">
      <c r="A423" s="37"/>
      <c r="B423" s="37"/>
      <c r="C423" s="37"/>
      <c r="D423" s="38"/>
      <c r="E423" s="37"/>
      <c r="F423" s="37"/>
      <c r="G423" s="37"/>
      <c r="H423" s="28"/>
      <c r="I423" s="28"/>
      <c r="J423" s="28"/>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row>
    <row r="424" spans="1:33" ht="13.5" customHeight="1">
      <c r="A424" s="37"/>
      <c r="B424" s="37"/>
      <c r="C424" s="37"/>
      <c r="D424" s="38"/>
      <c r="E424" s="37"/>
      <c r="F424" s="37"/>
      <c r="G424" s="37"/>
      <c r="H424" s="28"/>
      <c r="I424" s="28"/>
      <c r="J424" s="28"/>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row>
    <row r="425" spans="1:33" ht="13.5" customHeight="1">
      <c r="A425" s="37"/>
      <c r="B425" s="37"/>
      <c r="C425" s="37"/>
      <c r="D425" s="38"/>
      <c r="E425" s="37"/>
      <c r="F425" s="37"/>
      <c r="G425" s="37"/>
      <c r="H425" s="28"/>
      <c r="I425" s="28"/>
      <c r="J425" s="28"/>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row>
    <row r="426" spans="1:33" ht="13.5" customHeight="1">
      <c r="A426" s="37"/>
      <c r="B426" s="37"/>
      <c r="C426" s="37"/>
      <c r="D426" s="38"/>
      <c r="E426" s="37"/>
      <c r="F426" s="37"/>
      <c r="G426" s="37"/>
      <c r="H426" s="28"/>
      <c r="I426" s="28"/>
      <c r="J426" s="28"/>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row>
    <row r="427" spans="1:33" ht="13.5" customHeight="1">
      <c r="A427" s="37"/>
      <c r="B427" s="37"/>
      <c r="C427" s="37"/>
      <c r="D427" s="38"/>
      <c r="E427" s="37"/>
      <c r="F427" s="37"/>
      <c r="G427" s="37"/>
      <c r="H427" s="28"/>
      <c r="I427" s="28"/>
      <c r="J427" s="28"/>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row>
    <row r="428" spans="1:33" ht="13.5" customHeight="1">
      <c r="A428" s="37"/>
      <c r="B428" s="37"/>
      <c r="C428" s="37"/>
      <c r="D428" s="38"/>
      <c r="E428" s="37"/>
      <c r="F428" s="37"/>
      <c r="G428" s="37"/>
      <c r="H428" s="28"/>
      <c r="I428" s="28"/>
      <c r="J428" s="28"/>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row>
    <row r="429" spans="1:33" ht="13.5" customHeight="1">
      <c r="A429" s="37"/>
      <c r="B429" s="37"/>
      <c r="C429" s="37"/>
      <c r="D429" s="38"/>
      <c r="E429" s="37"/>
      <c r="F429" s="37"/>
      <c r="G429" s="37"/>
      <c r="H429" s="28"/>
      <c r="I429" s="28"/>
      <c r="J429" s="28"/>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row>
    <row r="430" spans="1:33" ht="13.5" customHeight="1">
      <c r="A430" s="37"/>
      <c r="B430" s="37"/>
      <c r="C430" s="37"/>
      <c r="D430" s="38"/>
      <c r="E430" s="37"/>
      <c r="F430" s="37"/>
      <c r="G430" s="37"/>
      <c r="H430" s="28"/>
      <c r="I430" s="28"/>
      <c r="J430" s="28"/>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row>
    <row r="431" spans="1:33" ht="13.5" customHeight="1">
      <c r="A431" s="37"/>
      <c r="B431" s="37"/>
      <c r="C431" s="37"/>
      <c r="D431" s="38"/>
      <c r="E431" s="37"/>
      <c r="F431" s="37"/>
      <c r="G431" s="37"/>
      <c r="H431" s="28"/>
      <c r="I431" s="28"/>
      <c r="J431" s="28"/>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row>
    <row r="432" spans="1:33" ht="13.5" customHeight="1">
      <c r="A432" s="37"/>
      <c r="B432" s="37"/>
      <c r="C432" s="37"/>
      <c r="D432" s="38"/>
      <c r="E432" s="37"/>
      <c r="F432" s="37"/>
      <c r="G432" s="37"/>
      <c r="H432" s="28"/>
      <c r="I432" s="28"/>
      <c r="J432" s="28"/>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row>
    <row r="433" spans="1:33" ht="13.5" customHeight="1">
      <c r="A433" s="37"/>
      <c r="B433" s="37"/>
      <c r="C433" s="37"/>
      <c r="D433" s="38"/>
      <c r="E433" s="37"/>
      <c r="F433" s="37"/>
      <c r="G433" s="37"/>
      <c r="H433" s="28"/>
      <c r="I433" s="28"/>
      <c r="J433" s="28"/>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row>
    <row r="434" spans="1:33" ht="13.5" customHeight="1">
      <c r="A434" s="37"/>
      <c r="B434" s="37"/>
      <c r="C434" s="37"/>
      <c r="D434" s="38"/>
      <c r="E434" s="37"/>
      <c r="F434" s="37"/>
      <c r="G434" s="37"/>
      <c r="H434" s="28"/>
      <c r="I434" s="28"/>
      <c r="J434" s="28"/>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row>
    <row r="435" spans="1:33" ht="13.5" customHeight="1">
      <c r="A435" s="37"/>
      <c r="B435" s="37"/>
      <c r="C435" s="37"/>
      <c r="D435" s="38"/>
      <c r="E435" s="37"/>
      <c r="F435" s="37"/>
      <c r="G435" s="37"/>
      <c r="H435" s="28"/>
      <c r="I435" s="28"/>
      <c r="J435" s="28"/>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row>
    <row r="436" spans="1:33" ht="13.5" customHeight="1">
      <c r="A436" s="37"/>
      <c r="B436" s="37"/>
      <c r="C436" s="37"/>
      <c r="D436" s="38"/>
      <c r="E436" s="37"/>
      <c r="F436" s="37"/>
      <c r="G436" s="37"/>
      <c r="H436" s="28"/>
      <c r="I436" s="28"/>
      <c r="J436" s="28"/>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row>
    <row r="437" spans="1:33" ht="13.5" customHeight="1">
      <c r="A437" s="37"/>
      <c r="B437" s="37"/>
      <c r="C437" s="37"/>
      <c r="D437" s="38"/>
      <c r="E437" s="37"/>
      <c r="F437" s="37"/>
      <c r="G437" s="37"/>
      <c r="H437" s="28"/>
      <c r="I437" s="28"/>
      <c r="J437" s="28"/>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row>
    <row r="438" spans="1:33" ht="13.5" customHeight="1">
      <c r="A438" s="37"/>
      <c r="B438" s="37"/>
      <c r="C438" s="37"/>
      <c r="D438" s="38"/>
      <c r="E438" s="37"/>
      <c r="F438" s="37"/>
      <c r="G438" s="37"/>
      <c r="H438" s="28"/>
      <c r="I438" s="28"/>
      <c r="J438" s="28"/>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row>
    <row r="439" spans="1:33" ht="13.5" customHeight="1">
      <c r="A439" s="37"/>
      <c r="B439" s="37"/>
      <c r="C439" s="37"/>
      <c r="D439" s="38"/>
      <c r="E439" s="37"/>
      <c r="F439" s="37"/>
      <c r="G439" s="37"/>
      <c r="H439" s="28"/>
      <c r="I439" s="28"/>
      <c r="J439" s="28"/>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row>
    <row r="440" spans="1:33" ht="13.5" customHeight="1">
      <c r="A440" s="37"/>
      <c r="B440" s="37"/>
      <c r="C440" s="37"/>
      <c r="D440" s="38"/>
      <c r="E440" s="37"/>
      <c r="F440" s="37"/>
      <c r="G440" s="37"/>
      <c r="H440" s="28"/>
      <c r="I440" s="28"/>
      <c r="J440" s="28"/>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row>
    <row r="441" spans="1:33" ht="13.5" customHeight="1">
      <c r="A441" s="37"/>
      <c r="B441" s="37"/>
      <c r="C441" s="37"/>
      <c r="D441" s="38"/>
      <c r="E441" s="37"/>
      <c r="F441" s="37"/>
      <c r="G441" s="37"/>
      <c r="H441" s="28"/>
      <c r="I441" s="28"/>
      <c r="J441" s="28"/>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row>
    <row r="442" spans="1:33" ht="13.5" customHeight="1">
      <c r="A442" s="37"/>
      <c r="B442" s="37"/>
      <c r="C442" s="37"/>
      <c r="D442" s="38"/>
      <c r="E442" s="37"/>
      <c r="F442" s="37"/>
      <c r="G442" s="37"/>
      <c r="H442" s="28"/>
      <c r="I442" s="28"/>
      <c r="J442" s="28"/>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row>
    <row r="443" spans="1:33" ht="13.5" customHeight="1">
      <c r="A443" s="37"/>
      <c r="B443" s="37"/>
      <c r="C443" s="37"/>
      <c r="D443" s="38"/>
      <c r="E443" s="37"/>
      <c r="F443" s="37"/>
      <c r="G443" s="37"/>
      <c r="H443" s="28"/>
      <c r="I443" s="28"/>
      <c r="J443" s="28"/>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row>
    <row r="444" spans="1:33" ht="13.5" customHeight="1">
      <c r="A444" s="37"/>
      <c r="B444" s="37"/>
      <c r="C444" s="37"/>
      <c r="D444" s="38"/>
      <c r="E444" s="37"/>
      <c r="F444" s="37"/>
      <c r="G444" s="37"/>
      <c r="H444" s="28"/>
      <c r="I444" s="28"/>
      <c r="J444" s="28"/>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row>
    <row r="445" spans="1:33" ht="13.5" customHeight="1">
      <c r="A445" s="37"/>
      <c r="B445" s="37"/>
      <c r="C445" s="37"/>
      <c r="D445" s="38"/>
      <c r="E445" s="37"/>
      <c r="F445" s="37"/>
      <c r="G445" s="37"/>
      <c r="H445" s="28"/>
      <c r="I445" s="28"/>
      <c r="J445" s="28"/>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row>
    <row r="446" spans="1:33" ht="13.5" customHeight="1">
      <c r="A446" s="37"/>
      <c r="B446" s="37"/>
      <c r="C446" s="37"/>
      <c r="D446" s="38"/>
      <c r="E446" s="37"/>
      <c r="F446" s="37"/>
      <c r="G446" s="37"/>
      <c r="H446" s="28"/>
      <c r="I446" s="28"/>
      <c r="J446" s="28"/>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row>
    <row r="447" spans="1:33" ht="13.5" customHeight="1">
      <c r="A447" s="37"/>
      <c r="B447" s="37"/>
      <c r="C447" s="37"/>
      <c r="D447" s="38"/>
      <c r="E447" s="37"/>
      <c r="F447" s="37"/>
      <c r="G447" s="37"/>
      <c r="H447" s="28"/>
      <c r="I447" s="28"/>
      <c r="J447" s="28"/>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row>
    <row r="448" spans="1:33" ht="13.5" customHeight="1">
      <c r="A448" s="37"/>
      <c r="B448" s="37"/>
      <c r="C448" s="37"/>
      <c r="D448" s="38"/>
      <c r="E448" s="37"/>
      <c r="F448" s="37"/>
      <c r="G448" s="37"/>
      <c r="H448" s="28"/>
      <c r="I448" s="28"/>
      <c r="J448" s="28"/>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row>
    <row r="449" spans="1:33" ht="13.5" customHeight="1">
      <c r="A449" s="37"/>
      <c r="B449" s="37"/>
      <c r="C449" s="37"/>
      <c r="D449" s="38"/>
      <c r="E449" s="37"/>
      <c r="F449" s="37"/>
      <c r="G449" s="37"/>
      <c r="H449" s="28"/>
      <c r="I449" s="28"/>
      <c r="J449" s="28"/>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row>
    <row r="450" spans="1:33" ht="13.5" customHeight="1">
      <c r="A450" s="37"/>
      <c r="B450" s="37"/>
      <c r="C450" s="37"/>
      <c r="D450" s="38"/>
      <c r="E450" s="37"/>
      <c r="F450" s="37"/>
      <c r="G450" s="37"/>
      <c r="H450" s="28"/>
      <c r="I450" s="28"/>
      <c r="J450" s="28"/>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row>
    <row r="451" spans="1:33" ht="13.5" customHeight="1">
      <c r="A451" s="37"/>
      <c r="B451" s="37"/>
      <c r="C451" s="37"/>
      <c r="D451" s="38"/>
      <c r="E451" s="37"/>
      <c r="F451" s="37"/>
      <c r="G451" s="37"/>
      <c r="H451" s="28"/>
      <c r="I451" s="28"/>
      <c r="J451" s="28"/>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row>
    <row r="452" spans="1:33" ht="13.5" customHeight="1">
      <c r="A452" s="37"/>
      <c r="B452" s="37"/>
      <c r="C452" s="37"/>
      <c r="D452" s="38"/>
      <c r="E452" s="37"/>
      <c r="F452" s="37"/>
      <c r="G452" s="37"/>
      <c r="H452" s="28"/>
      <c r="I452" s="28"/>
      <c r="J452" s="28"/>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row>
    <row r="453" spans="1:33" ht="13.5" customHeight="1">
      <c r="A453" s="37"/>
      <c r="B453" s="37"/>
      <c r="C453" s="37"/>
      <c r="D453" s="38"/>
      <c r="E453" s="37"/>
      <c r="F453" s="37"/>
      <c r="G453" s="37"/>
      <c r="H453" s="28"/>
      <c r="I453" s="28"/>
      <c r="J453" s="28"/>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row>
    <row r="454" spans="1:33" ht="13.5" customHeight="1">
      <c r="A454" s="37"/>
      <c r="B454" s="37"/>
      <c r="C454" s="37"/>
      <c r="D454" s="38"/>
      <c r="E454" s="37"/>
      <c r="F454" s="37"/>
      <c r="G454" s="37"/>
      <c r="H454" s="28"/>
      <c r="I454" s="28"/>
      <c r="J454" s="28"/>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row>
    <row r="455" spans="1:33" ht="13.5" customHeight="1">
      <c r="A455" s="37"/>
      <c r="B455" s="37"/>
      <c r="C455" s="37"/>
      <c r="D455" s="38"/>
      <c r="E455" s="37"/>
      <c r="F455" s="37"/>
      <c r="G455" s="37"/>
      <c r="H455" s="28"/>
      <c r="I455" s="28"/>
      <c r="J455" s="28"/>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row>
    <row r="456" spans="1:33" ht="13.5" customHeight="1">
      <c r="A456" s="37"/>
      <c r="B456" s="37"/>
      <c r="C456" s="37"/>
      <c r="D456" s="38"/>
      <c r="E456" s="37"/>
      <c r="F456" s="37"/>
      <c r="G456" s="37"/>
      <c r="H456" s="28"/>
      <c r="I456" s="28"/>
      <c r="J456" s="28"/>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row>
    <row r="457" spans="1:33" ht="13.5" customHeight="1">
      <c r="A457" s="37"/>
      <c r="B457" s="37"/>
      <c r="C457" s="37"/>
      <c r="D457" s="38"/>
      <c r="E457" s="37"/>
      <c r="F457" s="37"/>
      <c r="G457" s="37"/>
      <c r="H457" s="28"/>
      <c r="I457" s="28"/>
      <c r="J457" s="28"/>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row>
    <row r="458" spans="1:33" ht="13.5" customHeight="1">
      <c r="A458" s="37"/>
      <c r="B458" s="37"/>
      <c r="C458" s="37"/>
      <c r="D458" s="38"/>
      <c r="E458" s="37"/>
      <c r="F458" s="37"/>
      <c r="G458" s="37"/>
      <c r="H458" s="28"/>
      <c r="I458" s="28"/>
      <c r="J458" s="28"/>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row>
    <row r="459" spans="1:33" ht="13.5" customHeight="1">
      <c r="A459" s="37"/>
      <c r="B459" s="37"/>
      <c r="C459" s="37"/>
      <c r="D459" s="38"/>
      <c r="E459" s="37"/>
      <c r="F459" s="37"/>
      <c r="G459" s="37"/>
      <c r="H459" s="28"/>
      <c r="I459" s="28"/>
      <c r="J459" s="28"/>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row>
    <row r="460" spans="1:33" ht="13.5" customHeight="1">
      <c r="A460" s="37"/>
      <c r="B460" s="37"/>
      <c r="C460" s="37"/>
      <c r="D460" s="38"/>
      <c r="E460" s="37"/>
      <c r="F460" s="37"/>
      <c r="G460" s="37"/>
      <c r="H460" s="28"/>
      <c r="I460" s="28"/>
      <c r="J460" s="28"/>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row>
    <row r="461" spans="1:33" ht="13.5" customHeight="1">
      <c r="A461" s="37"/>
      <c r="B461" s="37"/>
      <c r="C461" s="37"/>
      <c r="D461" s="38"/>
      <c r="E461" s="37"/>
      <c r="F461" s="37"/>
      <c r="G461" s="37"/>
      <c r="H461" s="28"/>
      <c r="I461" s="28"/>
      <c r="J461" s="28"/>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row>
    <row r="462" spans="1:33" ht="13.5" customHeight="1">
      <c r="A462" s="37"/>
      <c r="B462" s="37"/>
      <c r="C462" s="37"/>
      <c r="D462" s="38"/>
      <c r="E462" s="37"/>
      <c r="F462" s="37"/>
      <c r="G462" s="37"/>
      <c r="H462" s="28"/>
      <c r="I462" s="28"/>
      <c r="J462" s="28"/>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row>
    <row r="463" spans="1:33" ht="13.5" customHeight="1">
      <c r="A463" s="37"/>
      <c r="B463" s="37"/>
      <c r="C463" s="37"/>
      <c r="D463" s="38"/>
      <c r="E463" s="37"/>
      <c r="F463" s="37"/>
      <c r="G463" s="37"/>
      <c r="H463" s="28"/>
      <c r="I463" s="28"/>
      <c r="J463" s="28"/>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row>
    <row r="464" spans="1:33" ht="13.5" customHeight="1">
      <c r="A464" s="37"/>
      <c r="B464" s="37"/>
      <c r="C464" s="37"/>
      <c r="D464" s="38"/>
      <c r="E464" s="37"/>
      <c r="F464" s="37"/>
      <c r="G464" s="37"/>
      <c r="H464" s="28"/>
      <c r="I464" s="28"/>
      <c r="J464" s="28"/>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row>
    <row r="465" spans="1:33" ht="13.5" customHeight="1">
      <c r="A465" s="37"/>
      <c r="B465" s="37"/>
      <c r="C465" s="37"/>
      <c r="D465" s="38"/>
      <c r="E465" s="37"/>
      <c r="F465" s="37"/>
      <c r="G465" s="37"/>
      <c r="H465" s="28"/>
      <c r="I465" s="28"/>
      <c r="J465" s="28"/>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row>
    <row r="466" spans="1:33" ht="13.5" customHeight="1">
      <c r="A466" s="37"/>
      <c r="B466" s="37"/>
      <c r="C466" s="37"/>
      <c r="D466" s="38"/>
      <c r="E466" s="37"/>
      <c r="F466" s="37"/>
      <c r="G466" s="37"/>
      <c r="H466" s="28"/>
      <c r="I466" s="28"/>
      <c r="J466" s="28"/>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row>
    <row r="467" spans="1:33" ht="13.5" customHeight="1">
      <c r="A467" s="37"/>
      <c r="B467" s="37"/>
      <c r="C467" s="37"/>
      <c r="D467" s="38"/>
      <c r="E467" s="37"/>
      <c r="F467" s="37"/>
      <c r="G467" s="37"/>
      <c r="H467" s="28"/>
      <c r="I467" s="28"/>
      <c r="J467" s="28"/>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row>
    <row r="468" spans="1:33" ht="13.5" customHeight="1">
      <c r="A468" s="37"/>
      <c r="B468" s="37"/>
      <c r="C468" s="37"/>
      <c r="D468" s="38"/>
      <c r="E468" s="37"/>
      <c r="F468" s="37"/>
      <c r="G468" s="37"/>
      <c r="H468" s="28"/>
      <c r="I468" s="28"/>
      <c r="J468" s="28"/>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row>
    <row r="469" spans="1:33" ht="13.5" customHeight="1">
      <c r="A469" s="37"/>
      <c r="B469" s="37"/>
      <c r="C469" s="37"/>
      <c r="D469" s="38"/>
      <c r="E469" s="37"/>
      <c r="F469" s="37"/>
      <c r="G469" s="37"/>
      <c r="H469" s="28"/>
      <c r="I469" s="28"/>
      <c r="J469" s="28"/>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row>
    <row r="470" spans="1:33" ht="13.5" customHeight="1">
      <c r="A470" s="37"/>
      <c r="B470" s="37"/>
      <c r="C470" s="37"/>
      <c r="D470" s="38"/>
      <c r="E470" s="37"/>
      <c r="F470" s="37"/>
      <c r="G470" s="37"/>
      <c r="H470" s="28"/>
      <c r="I470" s="28"/>
      <c r="J470" s="28"/>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row>
    <row r="471" spans="1:33" ht="13.5" customHeight="1">
      <c r="A471" s="37"/>
      <c r="B471" s="37"/>
      <c r="C471" s="37"/>
      <c r="D471" s="38"/>
      <c r="E471" s="37"/>
      <c r="F471" s="37"/>
      <c r="G471" s="37"/>
      <c r="H471" s="28"/>
      <c r="I471" s="28"/>
      <c r="J471" s="28"/>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row>
    <row r="472" spans="1:33" ht="13.5" customHeight="1">
      <c r="A472" s="37"/>
      <c r="B472" s="37"/>
      <c r="C472" s="37"/>
      <c r="D472" s="38"/>
      <c r="E472" s="37"/>
      <c r="F472" s="37"/>
      <c r="G472" s="37"/>
      <c r="H472" s="28"/>
      <c r="I472" s="28"/>
      <c r="J472" s="28"/>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row>
    <row r="473" spans="1:33" ht="13.5" customHeight="1">
      <c r="A473" s="37"/>
      <c r="B473" s="37"/>
      <c r="C473" s="37"/>
      <c r="D473" s="38"/>
      <c r="E473" s="37"/>
      <c r="F473" s="37"/>
      <c r="G473" s="37"/>
      <c r="H473" s="28"/>
      <c r="I473" s="28"/>
      <c r="J473" s="28"/>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row>
    <row r="474" spans="1:33" ht="13.5" customHeight="1">
      <c r="A474" s="37"/>
      <c r="B474" s="37"/>
      <c r="C474" s="37"/>
      <c r="D474" s="38"/>
      <c r="E474" s="37"/>
      <c r="F474" s="37"/>
      <c r="G474" s="37"/>
      <c r="H474" s="28"/>
      <c r="I474" s="28"/>
      <c r="J474" s="28"/>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row>
    <row r="475" spans="1:33" ht="13.5" customHeight="1">
      <c r="A475" s="37"/>
      <c r="B475" s="37"/>
      <c r="C475" s="37"/>
      <c r="D475" s="38"/>
      <c r="E475" s="37"/>
      <c r="F475" s="37"/>
      <c r="G475" s="37"/>
      <c r="H475" s="28"/>
      <c r="I475" s="28"/>
      <c r="J475" s="28"/>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row>
    <row r="476" spans="1:33" ht="13.5" customHeight="1">
      <c r="A476" s="37"/>
      <c r="B476" s="37"/>
      <c r="C476" s="37"/>
      <c r="D476" s="38"/>
      <c r="E476" s="37"/>
      <c r="F476" s="37"/>
      <c r="G476" s="37"/>
      <c r="H476" s="28"/>
      <c r="I476" s="28"/>
      <c r="J476" s="28"/>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row>
    <row r="477" spans="1:33" ht="13.5" customHeight="1">
      <c r="A477" s="37"/>
      <c r="B477" s="37"/>
      <c r="C477" s="37"/>
      <c r="D477" s="38"/>
      <c r="E477" s="37"/>
      <c r="F477" s="37"/>
      <c r="G477" s="37"/>
      <c r="H477" s="28"/>
      <c r="I477" s="28"/>
      <c r="J477" s="28"/>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row>
    <row r="478" spans="1:33" ht="13.5" customHeight="1">
      <c r="A478" s="37"/>
      <c r="B478" s="37"/>
      <c r="C478" s="37"/>
      <c r="D478" s="38"/>
      <c r="E478" s="37"/>
      <c r="F478" s="37"/>
      <c r="G478" s="37"/>
      <c r="H478" s="28"/>
      <c r="I478" s="28"/>
      <c r="J478" s="28"/>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row>
    <row r="479" spans="1:33" ht="13.5" customHeight="1">
      <c r="A479" s="37"/>
      <c r="B479" s="37"/>
      <c r="C479" s="37"/>
      <c r="D479" s="38"/>
      <c r="E479" s="37"/>
      <c r="F479" s="37"/>
      <c r="G479" s="37"/>
      <c r="H479" s="28"/>
      <c r="I479" s="28"/>
      <c r="J479" s="28"/>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row>
    <row r="480" spans="1:33" ht="13.5" customHeight="1">
      <c r="A480" s="37"/>
      <c r="B480" s="37"/>
      <c r="C480" s="37"/>
      <c r="D480" s="38"/>
      <c r="E480" s="37"/>
      <c r="F480" s="37"/>
      <c r="G480" s="37"/>
      <c r="H480" s="28"/>
      <c r="I480" s="28"/>
      <c r="J480" s="28"/>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row>
    <row r="481" spans="1:33" ht="13.5" customHeight="1">
      <c r="A481" s="37"/>
      <c r="B481" s="37"/>
      <c r="C481" s="37"/>
      <c r="D481" s="38"/>
      <c r="E481" s="37"/>
      <c r="F481" s="37"/>
      <c r="G481" s="37"/>
      <c r="H481" s="28"/>
      <c r="I481" s="28"/>
      <c r="J481" s="28"/>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row>
    <row r="482" spans="1:33" ht="13.5" customHeight="1">
      <c r="A482" s="37"/>
      <c r="B482" s="37"/>
      <c r="C482" s="37"/>
      <c r="D482" s="38"/>
      <c r="E482" s="37"/>
      <c r="F482" s="37"/>
      <c r="G482" s="37"/>
      <c r="H482" s="28"/>
      <c r="I482" s="28"/>
      <c r="J482" s="28"/>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row>
    <row r="483" spans="1:33" ht="13.5" customHeight="1">
      <c r="A483" s="37"/>
      <c r="B483" s="37"/>
      <c r="C483" s="37"/>
      <c r="D483" s="38"/>
      <c r="E483" s="37"/>
      <c r="F483" s="37"/>
      <c r="G483" s="37"/>
      <c r="H483" s="28"/>
      <c r="I483" s="28"/>
      <c r="J483" s="28"/>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row>
    <row r="484" spans="1:33" ht="13.5" customHeight="1">
      <c r="A484" s="37"/>
      <c r="B484" s="37"/>
      <c r="C484" s="37"/>
      <c r="D484" s="38"/>
      <c r="E484" s="37"/>
      <c r="F484" s="37"/>
      <c r="G484" s="37"/>
      <c r="H484" s="28"/>
      <c r="I484" s="28"/>
      <c r="J484" s="28"/>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row>
    <row r="485" spans="1:33" ht="13.5" customHeight="1">
      <c r="A485" s="37"/>
      <c r="B485" s="37"/>
      <c r="C485" s="37"/>
      <c r="D485" s="38"/>
      <c r="E485" s="37"/>
      <c r="F485" s="37"/>
      <c r="G485" s="37"/>
      <c r="H485" s="28"/>
      <c r="I485" s="28"/>
      <c r="J485" s="28"/>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row>
    <row r="486" spans="1:33" ht="13.5" customHeight="1">
      <c r="A486" s="37"/>
      <c r="B486" s="37"/>
      <c r="C486" s="37"/>
      <c r="D486" s="38"/>
      <c r="E486" s="37"/>
      <c r="F486" s="37"/>
      <c r="G486" s="37"/>
      <c r="H486" s="28"/>
      <c r="I486" s="28"/>
      <c r="J486" s="28"/>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row>
    <row r="487" spans="1:33" ht="13.5" customHeight="1">
      <c r="A487" s="37"/>
      <c r="B487" s="37"/>
      <c r="C487" s="37"/>
      <c r="D487" s="38"/>
      <c r="E487" s="37"/>
      <c r="F487" s="37"/>
      <c r="G487" s="37"/>
      <c r="H487" s="28"/>
      <c r="I487" s="28"/>
      <c r="J487" s="28"/>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row>
    <row r="488" spans="1:33" ht="13.5" customHeight="1">
      <c r="A488" s="37"/>
      <c r="B488" s="37"/>
      <c r="C488" s="37"/>
      <c r="D488" s="38"/>
      <c r="E488" s="37"/>
      <c r="F488" s="37"/>
      <c r="G488" s="37"/>
      <c r="H488" s="28"/>
      <c r="I488" s="28"/>
      <c r="J488" s="28"/>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row>
    <row r="489" spans="1:33" ht="13.5" customHeight="1">
      <c r="A489" s="37"/>
      <c r="B489" s="37"/>
      <c r="C489" s="37"/>
      <c r="D489" s="38"/>
      <c r="E489" s="37"/>
      <c r="F489" s="37"/>
      <c r="G489" s="37"/>
      <c r="H489" s="28"/>
      <c r="I489" s="28"/>
      <c r="J489" s="28"/>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row>
    <row r="490" spans="1:33" ht="13.5" customHeight="1">
      <c r="A490" s="37"/>
      <c r="B490" s="37"/>
      <c r="C490" s="37"/>
      <c r="D490" s="38"/>
      <c r="E490" s="37"/>
      <c r="F490" s="37"/>
      <c r="G490" s="37"/>
      <c r="H490" s="28"/>
      <c r="I490" s="28"/>
      <c r="J490" s="28"/>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row>
    <row r="491" spans="1:33" ht="13.5" customHeight="1">
      <c r="A491" s="37"/>
      <c r="B491" s="37"/>
      <c r="C491" s="37"/>
      <c r="D491" s="38"/>
      <c r="E491" s="37"/>
      <c r="F491" s="37"/>
      <c r="G491" s="37"/>
      <c r="H491" s="28"/>
      <c r="I491" s="28"/>
      <c r="J491" s="28"/>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row>
    <row r="492" spans="1:33" ht="13.5" customHeight="1">
      <c r="A492" s="37"/>
      <c r="B492" s="37"/>
      <c r="C492" s="37"/>
      <c r="D492" s="38"/>
      <c r="E492" s="37"/>
      <c r="F492" s="37"/>
      <c r="G492" s="37"/>
      <c r="H492" s="28"/>
      <c r="I492" s="28"/>
      <c r="J492" s="28"/>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row>
    <row r="493" spans="1:33" ht="13.5" customHeight="1">
      <c r="A493" s="37"/>
      <c r="B493" s="37"/>
      <c r="C493" s="37"/>
      <c r="D493" s="38"/>
      <c r="E493" s="37"/>
      <c r="F493" s="37"/>
      <c r="G493" s="37"/>
      <c r="H493" s="28"/>
      <c r="I493" s="28"/>
      <c r="J493" s="28"/>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row>
    <row r="494" spans="1:33" ht="13.5" customHeight="1">
      <c r="A494" s="37"/>
      <c r="B494" s="37"/>
      <c r="C494" s="37"/>
      <c r="D494" s="38"/>
      <c r="E494" s="37"/>
      <c r="F494" s="37"/>
      <c r="G494" s="37"/>
      <c r="H494" s="28"/>
      <c r="I494" s="28"/>
      <c r="J494" s="28"/>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row>
    <row r="495" spans="1:33" ht="13.5" customHeight="1">
      <c r="A495" s="37"/>
      <c r="B495" s="37"/>
      <c r="C495" s="37"/>
      <c r="D495" s="38"/>
      <c r="E495" s="37"/>
      <c r="F495" s="37"/>
      <c r="G495" s="37"/>
      <c r="H495" s="28"/>
      <c r="I495" s="28"/>
      <c r="J495" s="28"/>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row>
    <row r="496" spans="1:33" ht="13.5" customHeight="1">
      <c r="A496" s="37"/>
      <c r="B496" s="37"/>
      <c r="C496" s="37"/>
      <c r="D496" s="38"/>
      <c r="E496" s="37"/>
      <c r="F496" s="37"/>
      <c r="G496" s="37"/>
      <c r="H496" s="28"/>
      <c r="I496" s="28"/>
      <c r="J496" s="28"/>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row>
    <row r="497" spans="1:33" ht="13.5" customHeight="1">
      <c r="A497" s="37"/>
      <c r="B497" s="37"/>
      <c r="C497" s="37"/>
      <c r="D497" s="38"/>
      <c r="E497" s="37"/>
      <c r="F497" s="37"/>
      <c r="G497" s="37"/>
      <c r="H497" s="28"/>
      <c r="I497" s="28"/>
      <c r="J497" s="28"/>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row>
    <row r="498" spans="1:33" ht="13.5" customHeight="1">
      <c r="A498" s="37"/>
      <c r="B498" s="37"/>
      <c r="C498" s="37"/>
      <c r="D498" s="38"/>
      <c r="E498" s="37"/>
      <c r="F498" s="37"/>
      <c r="G498" s="37"/>
      <c r="H498" s="28"/>
      <c r="I498" s="28"/>
      <c r="J498" s="28"/>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row>
    <row r="499" spans="1:33" ht="13.5" customHeight="1">
      <c r="A499" s="37"/>
      <c r="B499" s="37"/>
      <c r="C499" s="37"/>
      <c r="D499" s="38"/>
      <c r="E499" s="37"/>
      <c r="F499" s="37"/>
      <c r="G499" s="37"/>
      <c r="H499" s="28"/>
      <c r="I499" s="28"/>
      <c r="J499" s="28"/>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row>
    <row r="500" spans="1:33" ht="13.5" customHeight="1">
      <c r="A500" s="37"/>
      <c r="B500" s="37"/>
      <c r="C500" s="37"/>
      <c r="D500" s="38"/>
      <c r="E500" s="37"/>
      <c r="F500" s="37"/>
      <c r="G500" s="37"/>
      <c r="H500" s="28"/>
      <c r="I500" s="28"/>
      <c r="J500" s="28"/>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row>
    <row r="501" spans="1:33" ht="13.5" customHeight="1">
      <c r="A501" s="37"/>
      <c r="B501" s="37"/>
      <c r="C501" s="37"/>
      <c r="D501" s="38"/>
      <c r="E501" s="37"/>
      <c r="F501" s="37"/>
      <c r="G501" s="37"/>
      <c r="H501" s="28"/>
      <c r="I501" s="28"/>
      <c r="J501" s="28"/>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row>
    <row r="502" spans="1:33" ht="13.5" customHeight="1">
      <c r="A502" s="37"/>
      <c r="B502" s="37"/>
      <c r="C502" s="37"/>
      <c r="D502" s="38"/>
      <c r="E502" s="37"/>
      <c r="F502" s="37"/>
      <c r="G502" s="37"/>
      <c r="H502" s="28"/>
      <c r="I502" s="28"/>
      <c r="J502" s="28"/>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row>
    <row r="503" spans="1:33" ht="13.5" customHeight="1">
      <c r="A503" s="37"/>
      <c r="B503" s="37"/>
      <c r="C503" s="37"/>
      <c r="D503" s="38"/>
      <c r="E503" s="37"/>
      <c r="F503" s="37"/>
      <c r="G503" s="37"/>
      <c r="H503" s="28"/>
      <c r="I503" s="28"/>
      <c r="J503" s="28"/>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row>
    <row r="504" spans="1:33" ht="13.5" customHeight="1">
      <c r="A504" s="37"/>
      <c r="B504" s="37"/>
      <c r="C504" s="37"/>
      <c r="D504" s="38"/>
      <c r="E504" s="37"/>
      <c r="F504" s="37"/>
      <c r="G504" s="37"/>
      <c r="H504" s="28"/>
      <c r="I504" s="28"/>
      <c r="J504" s="28"/>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row>
    <row r="505" spans="1:33" ht="13.5" customHeight="1">
      <c r="A505" s="37"/>
      <c r="B505" s="37"/>
      <c r="C505" s="37"/>
      <c r="D505" s="38"/>
      <c r="E505" s="37"/>
      <c r="F505" s="37"/>
      <c r="G505" s="37"/>
      <c r="H505" s="28"/>
      <c r="I505" s="28"/>
      <c r="J505" s="28"/>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row>
    <row r="506" spans="1:33" ht="13.5" customHeight="1">
      <c r="A506" s="37"/>
      <c r="B506" s="37"/>
      <c r="C506" s="37"/>
      <c r="D506" s="38"/>
      <c r="E506" s="37"/>
      <c r="F506" s="37"/>
      <c r="G506" s="37"/>
      <c r="H506" s="28"/>
      <c r="I506" s="28"/>
      <c r="J506" s="28"/>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row>
    <row r="507" spans="1:33" ht="13.5" customHeight="1">
      <c r="A507" s="37"/>
      <c r="B507" s="37"/>
      <c r="C507" s="37"/>
      <c r="D507" s="38"/>
      <c r="E507" s="37"/>
      <c r="F507" s="37"/>
      <c r="G507" s="37"/>
      <c r="H507" s="28"/>
      <c r="I507" s="28"/>
      <c r="J507" s="28"/>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row>
    <row r="508" spans="1:33" ht="13.5" customHeight="1">
      <c r="A508" s="37"/>
      <c r="B508" s="37"/>
      <c r="C508" s="37"/>
      <c r="D508" s="38"/>
      <c r="E508" s="37"/>
      <c r="F508" s="37"/>
      <c r="G508" s="37"/>
      <c r="H508" s="28"/>
      <c r="I508" s="28"/>
      <c r="J508" s="28"/>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row>
    <row r="509" spans="1:33" ht="13.5" customHeight="1">
      <c r="A509" s="37"/>
      <c r="B509" s="37"/>
      <c r="C509" s="37"/>
      <c r="D509" s="38"/>
      <c r="E509" s="37"/>
      <c r="F509" s="37"/>
      <c r="G509" s="37"/>
      <c r="H509" s="28"/>
      <c r="I509" s="28"/>
      <c r="J509" s="28"/>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row>
    <row r="510" spans="1:33" ht="13.5" customHeight="1">
      <c r="A510" s="37"/>
      <c r="B510" s="37"/>
      <c r="C510" s="37"/>
      <c r="D510" s="38"/>
      <c r="E510" s="37"/>
      <c r="F510" s="37"/>
      <c r="G510" s="37"/>
      <c r="H510" s="28"/>
      <c r="I510" s="28"/>
      <c r="J510" s="28"/>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row>
    <row r="511" spans="1:33" ht="13.5" customHeight="1">
      <c r="A511" s="37"/>
      <c r="B511" s="37"/>
      <c r="C511" s="37"/>
      <c r="D511" s="38"/>
      <c r="E511" s="37"/>
      <c r="F511" s="37"/>
      <c r="G511" s="37"/>
      <c r="H511" s="28"/>
      <c r="I511" s="28"/>
      <c r="J511" s="28"/>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row>
    <row r="512" spans="1:33" ht="13.5" customHeight="1">
      <c r="A512" s="37"/>
      <c r="B512" s="37"/>
      <c r="C512" s="37"/>
      <c r="D512" s="38"/>
      <c r="E512" s="37"/>
      <c r="F512" s="37"/>
      <c r="G512" s="37"/>
      <c r="H512" s="28"/>
      <c r="I512" s="28"/>
      <c r="J512" s="28"/>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row>
    <row r="513" spans="1:33" ht="13.5" customHeight="1">
      <c r="A513" s="37"/>
      <c r="B513" s="37"/>
      <c r="C513" s="37"/>
      <c r="D513" s="38"/>
      <c r="E513" s="37"/>
      <c r="F513" s="37"/>
      <c r="G513" s="37"/>
      <c r="H513" s="28"/>
      <c r="I513" s="28"/>
      <c r="J513" s="28"/>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row>
    <row r="514" spans="1:33" ht="13.5" customHeight="1">
      <c r="A514" s="37"/>
      <c r="B514" s="37"/>
      <c r="C514" s="37"/>
      <c r="D514" s="38"/>
      <c r="E514" s="37"/>
      <c r="F514" s="37"/>
      <c r="G514" s="37"/>
      <c r="H514" s="28"/>
      <c r="I514" s="28"/>
      <c r="J514" s="28"/>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row>
    <row r="515" spans="1:33" ht="13.5" customHeight="1">
      <c r="A515" s="37"/>
      <c r="B515" s="37"/>
      <c r="C515" s="37"/>
      <c r="D515" s="38"/>
      <c r="E515" s="37"/>
      <c r="F515" s="37"/>
      <c r="G515" s="37"/>
      <c r="H515" s="28"/>
      <c r="I515" s="28"/>
      <c r="J515" s="28"/>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row>
    <row r="516" spans="1:33" ht="13.5" customHeight="1">
      <c r="A516" s="37"/>
      <c r="B516" s="37"/>
      <c r="C516" s="37"/>
      <c r="D516" s="38"/>
      <c r="E516" s="37"/>
      <c r="F516" s="37"/>
      <c r="G516" s="37"/>
      <c r="H516" s="28"/>
      <c r="I516" s="28"/>
      <c r="J516" s="28"/>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row>
    <row r="517" spans="1:33" ht="13.5" customHeight="1">
      <c r="A517" s="37"/>
      <c r="B517" s="37"/>
      <c r="C517" s="37"/>
      <c r="D517" s="38"/>
      <c r="E517" s="37"/>
      <c r="F517" s="37"/>
      <c r="G517" s="37"/>
      <c r="H517" s="28"/>
      <c r="I517" s="28"/>
      <c r="J517" s="28"/>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row>
    <row r="518" spans="1:33" ht="13.5" customHeight="1">
      <c r="A518" s="37"/>
      <c r="B518" s="37"/>
      <c r="C518" s="37"/>
      <c r="D518" s="38"/>
      <c r="E518" s="37"/>
      <c r="F518" s="37"/>
      <c r="G518" s="37"/>
      <c r="H518" s="28"/>
      <c r="I518" s="28"/>
      <c r="J518" s="28"/>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row>
    <row r="519" spans="1:33" ht="13.5" customHeight="1">
      <c r="A519" s="37"/>
      <c r="B519" s="37"/>
      <c r="C519" s="37"/>
      <c r="D519" s="38"/>
      <c r="E519" s="37"/>
      <c r="F519" s="37"/>
      <c r="G519" s="37"/>
      <c r="H519" s="28"/>
      <c r="I519" s="28"/>
      <c r="J519" s="28"/>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row>
    <row r="520" spans="1:33" ht="13.5" customHeight="1">
      <c r="A520" s="37"/>
      <c r="B520" s="37"/>
      <c r="C520" s="37"/>
      <c r="D520" s="38"/>
      <c r="E520" s="37"/>
      <c r="F520" s="37"/>
      <c r="G520" s="37"/>
      <c r="H520" s="28"/>
      <c r="I520" s="28"/>
      <c r="J520" s="28"/>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row>
    <row r="521" spans="1:33" ht="13.5" customHeight="1">
      <c r="A521" s="37"/>
      <c r="B521" s="37"/>
      <c r="C521" s="37"/>
      <c r="D521" s="38"/>
      <c r="E521" s="37"/>
      <c r="F521" s="37"/>
      <c r="G521" s="37"/>
      <c r="H521" s="28"/>
      <c r="I521" s="28"/>
      <c r="J521" s="28"/>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row>
    <row r="522" spans="1:33" ht="13.5" customHeight="1">
      <c r="A522" s="37"/>
      <c r="B522" s="37"/>
      <c r="C522" s="37"/>
      <c r="D522" s="38"/>
      <c r="E522" s="37"/>
      <c r="F522" s="37"/>
      <c r="G522" s="37"/>
      <c r="H522" s="28"/>
      <c r="I522" s="28"/>
      <c r="J522" s="28"/>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row>
    <row r="523" spans="1:33" ht="13.5" customHeight="1">
      <c r="A523" s="37"/>
      <c r="B523" s="37"/>
      <c r="C523" s="37"/>
      <c r="D523" s="38"/>
      <c r="E523" s="37"/>
      <c r="F523" s="37"/>
      <c r="G523" s="37"/>
      <c r="H523" s="28"/>
      <c r="I523" s="28"/>
      <c r="J523" s="28"/>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row>
    <row r="524" spans="1:33" ht="13.5" customHeight="1">
      <c r="A524" s="37"/>
      <c r="B524" s="37"/>
      <c r="C524" s="37"/>
      <c r="D524" s="38"/>
      <c r="E524" s="37"/>
      <c r="F524" s="37"/>
      <c r="G524" s="37"/>
      <c r="H524" s="28"/>
      <c r="I524" s="28"/>
      <c r="J524" s="28"/>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row>
    <row r="525" spans="1:33" ht="13.5" customHeight="1">
      <c r="A525" s="37"/>
      <c r="B525" s="37"/>
      <c r="C525" s="37"/>
      <c r="D525" s="38"/>
      <c r="E525" s="37"/>
      <c r="F525" s="37"/>
      <c r="G525" s="37"/>
      <c r="H525" s="28"/>
      <c r="I525" s="28"/>
      <c r="J525" s="28"/>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row>
    <row r="526" spans="1:33" ht="13.5" customHeight="1">
      <c r="A526" s="37"/>
      <c r="B526" s="37"/>
      <c r="C526" s="37"/>
      <c r="D526" s="38"/>
      <c r="E526" s="37"/>
      <c r="F526" s="37"/>
      <c r="G526" s="37"/>
      <c r="H526" s="28"/>
      <c r="I526" s="28"/>
      <c r="J526" s="28"/>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row>
    <row r="527" spans="1:33" ht="13.5" customHeight="1">
      <c r="A527" s="37"/>
      <c r="B527" s="37"/>
      <c r="C527" s="37"/>
      <c r="D527" s="38"/>
      <c r="E527" s="37"/>
      <c r="F527" s="37"/>
      <c r="G527" s="37"/>
      <c r="H527" s="28"/>
      <c r="I527" s="28"/>
      <c r="J527" s="28"/>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row>
    <row r="528" spans="1:33" ht="13.5" customHeight="1">
      <c r="A528" s="37"/>
      <c r="B528" s="37"/>
      <c r="C528" s="37"/>
      <c r="D528" s="38"/>
      <c r="E528" s="37"/>
      <c r="F528" s="37"/>
      <c r="G528" s="37"/>
      <c r="H528" s="28"/>
      <c r="I528" s="28"/>
      <c r="J528" s="28"/>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row>
    <row r="529" spans="1:33" ht="13.5" customHeight="1">
      <c r="A529" s="37"/>
      <c r="B529" s="37"/>
      <c r="C529" s="37"/>
      <c r="D529" s="38"/>
      <c r="E529" s="37"/>
      <c r="F529" s="37"/>
      <c r="G529" s="37"/>
      <c r="H529" s="28"/>
      <c r="I529" s="28"/>
      <c r="J529" s="28"/>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row>
    <row r="530" spans="1:33" ht="13.5" customHeight="1">
      <c r="A530" s="37"/>
      <c r="B530" s="37"/>
      <c r="C530" s="37"/>
      <c r="D530" s="38"/>
      <c r="E530" s="37"/>
      <c r="F530" s="37"/>
      <c r="G530" s="37"/>
      <c r="H530" s="28"/>
      <c r="I530" s="28"/>
      <c r="J530" s="28"/>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row>
    <row r="531" spans="1:33" ht="13.5" customHeight="1">
      <c r="A531" s="37"/>
      <c r="B531" s="37"/>
      <c r="C531" s="37"/>
      <c r="D531" s="38"/>
      <c r="E531" s="37"/>
      <c r="F531" s="37"/>
      <c r="G531" s="37"/>
      <c r="H531" s="28"/>
      <c r="I531" s="28"/>
      <c r="J531" s="28"/>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row>
    <row r="532" spans="1:33" ht="13.5" customHeight="1">
      <c r="A532" s="37"/>
      <c r="B532" s="37"/>
      <c r="C532" s="37"/>
      <c r="D532" s="38"/>
      <c r="E532" s="37"/>
      <c r="F532" s="37"/>
      <c r="G532" s="37"/>
      <c r="H532" s="28"/>
      <c r="I532" s="28"/>
      <c r="J532" s="28"/>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row>
    <row r="533" spans="1:33" ht="13.5" customHeight="1">
      <c r="A533" s="37"/>
      <c r="B533" s="37"/>
      <c r="C533" s="37"/>
      <c r="D533" s="38"/>
      <c r="E533" s="37"/>
      <c r="F533" s="37"/>
      <c r="G533" s="37"/>
      <c r="H533" s="28"/>
      <c r="I533" s="28"/>
      <c r="J533" s="28"/>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row>
    <row r="534" spans="1:33" ht="13.5" customHeight="1">
      <c r="A534" s="37"/>
      <c r="B534" s="37"/>
      <c r="C534" s="37"/>
      <c r="D534" s="38"/>
      <c r="E534" s="37"/>
      <c r="F534" s="37"/>
      <c r="G534" s="37"/>
      <c r="H534" s="28"/>
      <c r="I534" s="28"/>
      <c r="J534" s="28"/>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row>
    <row r="535" spans="1:33" ht="13.5" customHeight="1">
      <c r="A535" s="37"/>
      <c r="B535" s="37"/>
      <c r="C535" s="37"/>
      <c r="D535" s="38"/>
      <c r="E535" s="37"/>
      <c r="F535" s="37"/>
      <c r="G535" s="37"/>
      <c r="H535" s="28"/>
      <c r="I535" s="28"/>
      <c r="J535" s="28"/>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row>
    <row r="536" spans="1:33" ht="13.5" customHeight="1">
      <c r="A536" s="37"/>
      <c r="B536" s="37"/>
      <c r="C536" s="37"/>
      <c r="D536" s="38"/>
      <c r="E536" s="37"/>
      <c r="F536" s="37"/>
      <c r="G536" s="37"/>
      <c r="H536" s="28"/>
      <c r="I536" s="28"/>
      <c r="J536" s="28"/>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row>
    <row r="537" spans="1:33" ht="13.5" customHeight="1">
      <c r="A537" s="37"/>
      <c r="B537" s="37"/>
      <c r="C537" s="37"/>
      <c r="D537" s="38"/>
      <c r="E537" s="37"/>
      <c r="F537" s="37"/>
      <c r="G537" s="37"/>
      <c r="H537" s="28"/>
      <c r="I537" s="28"/>
      <c r="J537" s="28"/>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row>
    <row r="538" spans="1:33" ht="13.5" customHeight="1">
      <c r="A538" s="37"/>
      <c r="B538" s="37"/>
      <c r="C538" s="37"/>
      <c r="D538" s="38"/>
      <c r="E538" s="37"/>
      <c r="F538" s="37"/>
      <c r="G538" s="37"/>
      <c r="H538" s="28"/>
      <c r="I538" s="28"/>
      <c r="J538" s="28"/>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row>
    <row r="539" spans="1:33" ht="13.5" customHeight="1">
      <c r="A539" s="37"/>
      <c r="B539" s="37"/>
      <c r="C539" s="37"/>
      <c r="D539" s="38"/>
      <c r="E539" s="37"/>
      <c r="F539" s="37"/>
      <c r="G539" s="37"/>
      <c r="H539" s="28"/>
      <c r="I539" s="28"/>
      <c r="J539" s="28"/>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row>
    <row r="540" spans="1:33" ht="13.5" customHeight="1">
      <c r="A540" s="37"/>
      <c r="B540" s="37"/>
      <c r="C540" s="37"/>
      <c r="D540" s="38"/>
      <c r="E540" s="37"/>
      <c r="F540" s="37"/>
      <c r="G540" s="37"/>
      <c r="H540" s="28"/>
      <c r="I540" s="28"/>
      <c r="J540" s="28"/>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row>
    <row r="541" spans="1:33" ht="13.5" customHeight="1">
      <c r="A541" s="37"/>
      <c r="B541" s="37"/>
      <c r="C541" s="37"/>
      <c r="D541" s="38"/>
      <c r="E541" s="37"/>
      <c r="F541" s="37"/>
      <c r="G541" s="37"/>
      <c r="H541" s="28"/>
      <c r="I541" s="28"/>
      <c r="J541" s="28"/>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row>
    <row r="542" spans="1:33" ht="13.5" customHeight="1">
      <c r="A542" s="37"/>
      <c r="B542" s="37"/>
      <c r="C542" s="37"/>
      <c r="D542" s="38"/>
      <c r="E542" s="37"/>
      <c r="F542" s="37"/>
      <c r="G542" s="37"/>
      <c r="H542" s="28"/>
      <c r="I542" s="28"/>
      <c r="J542" s="28"/>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row>
    <row r="543" spans="1:33" ht="13.5" customHeight="1">
      <c r="A543" s="37"/>
      <c r="B543" s="37"/>
      <c r="C543" s="37"/>
      <c r="D543" s="38"/>
      <c r="E543" s="37"/>
      <c r="F543" s="37"/>
      <c r="G543" s="37"/>
      <c r="H543" s="28"/>
      <c r="I543" s="28"/>
      <c r="J543" s="28"/>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row>
    <row r="544" spans="1:33" ht="13.5" customHeight="1">
      <c r="A544" s="37"/>
      <c r="B544" s="37"/>
      <c r="C544" s="37"/>
      <c r="D544" s="38"/>
      <c r="E544" s="37"/>
      <c r="F544" s="37"/>
      <c r="G544" s="37"/>
      <c r="H544" s="28"/>
      <c r="I544" s="28"/>
      <c r="J544" s="28"/>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row>
    <row r="545" spans="1:33" ht="13.5" customHeight="1">
      <c r="A545" s="37"/>
      <c r="B545" s="37"/>
      <c r="C545" s="37"/>
      <c r="D545" s="38"/>
      <c r="E545" s="37"/>
      <c r="F545" s="37"/>
      <c r="G545" s="37"/>
      <c r="H545" s="28"/>
      <c r="I545" s="28"/>
      <c r="J545" s="28"/>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row>
    <row r="546" spans="1:33" ht="13.5" customHeight="1">
      <c r="A546" s="37"/>
      <c r="B546" s="37"/>
      <c r="C546" s="37"/>
      <c r="D546" s="38"/>
      <c r="E546" s="37"/>
      <c r="F546" s="37"/>
      <c r="G546" s="37"/>
      <c r="H546" s="28"/>
      <c r="I546" s="28"/>
      <c r="J546" s="28"/>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row>
    <row r="547" spans="1:33" ht="13.5" customHeight="1">
      <c r="A547" s="37"/>
      <c r="B547" s="37"/>
      <c r="C547" s="37"/>
      <c r="D547" s="38"/>
      <c r="E547" s="37"/>
      <c r="F547" s="37"/>
      <c r="G547" s="37"/>
      <c r="H547" s="28"/>
      <c r="I547" s="28"/>
      <c r="J547" s="28"/>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row>
    <row r="548" spans="1:33" ht="13.5" customHeight="1">
      <c r="A548" s="37"/>
      <c r="B548" s="37"/>
      <c r="C548" s="37"/>
      <c r="D548" s="38"/>
      <c r="E548" s="37"/>
      <c r="F548" s="37"/>
      <c r="G548" s="37"/>
      <c r="H548" s="28"/>
      <c r="I548" s="28"/>
      <c r="J548" s="28"/>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row>
    <row r="549" spans="1:33" ht="13.5" customHeight="1">
      <c r="A549" s="37"/>
      <c r="B549" s="37"/>
      <c r="C549" s="37"/>
      <c r="D549" s="38"/>
      <c r="E549" s="37"/>
      <c r="F549" s="37"/>
      <c r="G549" s="37"/>
      <c r="H549" s="28"/>
      <c r="I549" s="28"/>
      <c r="J549" s="28"/>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row>
    <row r="550" spans="1:33" ht="13.5" customHeight="1">
      <c r="A550" s="37"/>
      <c r="B550" s="37"/>
      <c r="C550" s="37"/>
      <c r="D550" s="38"/>
      <c r="E550" s="37"/>
      <c r="F550" s="37"/>
      <c r="G550" s="37"/>
      <c r="H550" s="28"/>
      <c r="I550" s="28"/>
      <c r="J550" s="28"/>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row>
    <row r="551" spans="1:33" ht="13.5" customHeight="1">
      <c r="A551" s="37"/>
      <c r="B551" s="37"/>
      <c r="C551" s="37"/>
      <c r="D551" s="38"/>
      <c r="E551" s="37"/>
      <c r="F551" s="37"/>
      <c r="G551" s="37"/>
      <c r="H551" s="28"/>
      <c r="I551" s="28"/>
      <c r="J551" s="28"/>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row>
    <row r="552" spans="1:33" ht="13.5" customHeight="1">
      <c r="A552" s="37"/>
      <c r="B552" s="37"/>
      <c r="C552" s="37"/>
      <c r="D552" s="38"/>
      <c r="E552" s="37"/>
      <c r="F552" s="37"/>
      <c r="G552" s="37"/>
      <c r="H552" s="28"/>
      <c r="I552" s="28"/>
      <c r="J552" s="28"/>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row>
    <row r="553" spans="1:33" ht="13.5" customHeight="1">
      <c r="A553" s="37"/>
      <c r="B553" s="37"/>
      <c r="C553" s="37"/>
      <c r="D553" s="38"/>
      <c r="E553" s="37"/>
      <c r="F553" s="37"/>
      <c r="G553" s="37"/>
      <c r="H553" s="28"/>
      <c r="I553" s="28"/>
      <c r="J553" s="28"/>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row>
    <row r="554" spans="1:33" ht="13.5" customHeight="1">
      <c r="A554" s="37"/>
      <c r="B554" s="37"/>
      <c r="C554" s="37"/>
      <c r="D554" s="38"/>
      <c r="E554" s="37"/>
      <c r="F554" s="37"/>
      <c r="G554" s="37"/>
      <c r="H554" s="28"/>
      <c r="I554" s="28"/>
      <c r="J554" s="28"/>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row>
    <row r="555" spans="1:33" ht="13.5" customHeight="1">
      <c r="A555" s="37"/>
      <c r="B555" s="37"/>
      <c r="C555" s="37"/>
      <c r="D555" s="38"/>
      <c r="E555" s="37"/>
      <c r="F555" s="37"/>
      <c r="G555" s="37"/>
      <c r="H555" s="28"/>
      <c r="I555" s="28"/>
      <c r="J555" s="28"/>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row>
    <row r="556" spans="1:33" ht="13.5" customHeight="1">
      <c r="A556" s="37"/>
      <c r="B556" s="37"/>
      <c r="C556" s="37"/>
      <c r="D556" s="38"/>
      <c r="E556" s="37"/>
      <c r="F556" s="37"/>
      <c r="G556" s="37"/>
      <c r="H556" s="28"/>
      <c r="I556" s="28"/>
      <c r="J556" s="28"/>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row>
    <row r="557" spans="1:33" ht="13.5" customHeight="1">
      <c r="A557" s="37"/>
      <c r="B557" s="37"/>
      <c r="C557" s="37"/>
      <c r="D557" s="38"/>
      <c r="E557" s="37"/>
      <c r="F557" s="37"/>
      <c r="G557" s="37"/>
      <c r="H557" s="28"/>
      <c r="I557" s="28"/>
      <c r="J557" s="28"/>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row>
    <row r="558" spans="1:33" ht="13.5" customHeight="1">
      <c r="A558" s="37"/>
      <c r="B558" s="37"/>
      <c r="C558" s="37"/>
      <c r="D558" s="38"/>
      <c r="E558" s="37"/>
      <c r="F558" s="37"/>
      <c r="G558" s="37"/>
      <c r="H558" s="28"/>
      <c r="I558" s="28"/>
      <c r="J558" s="28"/>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row>
    <row r="559" spans="1:33" ht="13.5" customHeight="1">
      <c r="A559" s="37"/>
      <c r="B559" s="37"/>
      <c r="C559" s="37"/>
      <c r="D559" s="38"/>
      <c r="E559" s="37"/>
      <c r="F559" s="37"/>
      <c r="G559" s="37"/>
      <c r="H559" s="28"/>
      <c r="I559" s="28"/>
      <c r="J559" s="28"/>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row>
    <row r="560" spans="1:33" ht="13.5" customHeight="1">
      <c r="A560" s="37"/>
      <c r="B560" s="37"/>
      <c r="C560" s="37"/>
      <c r="D560" s="38"/>
      <c r="E560" s="37"/>
      <c r="F560" s="37"/>
      <c r="G560" s="37"/>
      <c r="H560" s="28"/>
      <c r="I560" s="28"/>
      <c r="J560" s="28"/>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row>
    <row r="561" spans="1:33" ht="13.5" customHeight="1">
      <c r="A561" s="37"/>
      <c r="B561" s="37"/>
      <c r="C561" s="37"/>
      <c r="D561" s="38"/>
      <c r="E561" s="37"/>
      <c r="F561" s="37"/>
      <c r="G561" s="37"/>
      <c r="H561" s="28"/>
      <c r="I561" s="28"/>
      <c r="J561" s="28"/>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row>
    <row r="562" spans="1:33" ht="13.5" customHeight="1">
      <c r="A562" s="37"/>
      <c r="B562" s="37"/>
      <c r="C562" s="37"/>
      <c r="D562" s="38"/>
      <c r="E562" s="37"/>
      <c r="F562" s="37"/>
      <c r="G562" s="37"/>
      <c r="H562" s="28"/>
      <c r="I562" s="28"/>
      <c r="J562" s="28"/>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row>
    <row r="563" spans="1:33" ht="13.5" customHeight="1">
      <c r="A563" s="37"/>
      <c r="B563" s="37"/>
      <c r="C563" s="37"/>
      <c r="D563" s="38"/>
      <c r="E563" s="37"/>
      <c r="F563" s="37"/>
      <c r="G563" s="37"/>
      <c r="H563" s="28"/>
      <c r="I563" s="28"/>
      <c r="J563" s="28"/>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row>
    <row r="564" spans="1:33" ht="13.5" customHeight="1">
      <c r="A564" s="37"/>
      <c r="B564" s="37"/>
      <c r="C564" s="37"/>
      <c r="D564" s="38"/>
      <c r="E564" s="37"/>
      <c r="F564" s="37"/>
      <c r="G564" s="37"/>
      <c r="H564" s="28"/>
      <c r="I564" s="28"/>
      <c r="J564" s="28"/>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row>
    <row r="565" spans="1:33" ht="13.5" customHeight="1">
      <c r="A565" s="37"/>
      <c r="B565" s="37"/>
      <c r="C565" s="37"/>
      <c r="D565" s="38"/>
      <c r="E565" s="37"/>
      <c r="F565" s="37"/>
      <c r="G565" s="37"/>
      <c r="H565" s="28"/>
      <c r="I565" s="28"/>
      <c r="J565" s="28"/>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row>
    <row r="566" spans="1:33" ht="13.5" customHeight="1">
      <c r="A566" s="37"/>
      <c r="B566" s="37"/>
      <c r="C566" s="37"/>
      <c r="D566" s="38"/>
      <c r="E566" s="37"/>
      <c r="F566" s="37"/>
      <c r="G566" s="37"/>
      <c r="H566" s="28"/>
      <c r="I566" s="28"/>
      <c r="J566" s="28"/>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row>
    <row r="567" spans="1:33" ht="13.5" customHeight="1">
      <c r="A567" s="37"/>
      <c r="B567" s="37"/>
      <c r="C567" s="37"/>
      <c r="D567" s="38"/>
      <c r="E567" s="37"/>
      <c r="F567" s="37"/>
      <c r="G567" s="37"/>
      <c r="H567" s="28"/>
      <c r="I567" s="28"/>
      <c r="J567" s="28"/>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row>
    <row r="568" spans="1:33" ht="13.5" customHeight="1">
      <c r="A568" s="37"/>
      <c r="B568" s="37"/>
      <c r="C568" s="37"/>
      <c r="D568" s="38"/>
      <c r="E568" s="37"/>
      <c r="F568" s="37"/>
      <c r="G568" s="37"/>
      <c r="H568" s="28"/>
      <c r="I568" s="28"/>
      <c r="J568" s="28"/>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row>
    <row r="569" spans="1:33" ht="13.5" customHeight="1">
      <c r="A569" s="37"/>
      <c r="B569" s="37"/>
      <c r="C569" s="37"/>
      <c r="D569" s="38"/>
      <c r="E569" s="37"/>
      <c r="F569" s="37"/>
      <c r="G569" s="37"/>
      <c r="H569" s="28"/>
      <c r="I569" s="28"/>
      <c r="J569" s="28"/>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row>
    <row r="570" spans="1:33" ht="13.5" customHeight="1">
      <c r="A570" s="37"/>
      <c r="B570" s="37"/>
      <c r="C570" s="37"/>
      <c r="D570" s="38"/>
      <c r="E570" s="37"/>
      <c r="F570" s="37"/>
      <c r="G570" s="37"/>
      <c r="H570" s="28"/>
      <c r="I570" s="28"/>
      <c r="J570" s="28"/>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row>
    <row r="571" spans="1:33" ht="13.5" customHeight="1">
      <c r="A571" s="37"/>
      <c r="B571" s="37"/>
      <c r="C571" s="37"/>
      <c r="D571" s="38"/>
      <c r="E571" s="37"/>
      <c r="F571" s="37"/>
      <c r="G571" s="37"/>
      <c r="H571" s="28"/>
      <c r="I571" s="28"/>
      <c r="J571" s="28"/>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row>
    <row r="572" spans="1:33" ht="13.5" customHeight="1">
      <c r="A572" s="37"/>
      <c r="B572" s="37"/>
      <c r="C572" s="37"/>
      <c r="D572" s="38"/>
      <c r="E572" s="37"/>
      <c r="F572" s="37"/>
      <c r="G572" s="37"/>
      <c r="H572" s="28"/>
      <c r="I572" s="28"/>
      <c r="J572" s="28"/>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row>
    <row r="573" spans="1:33" ht="13.5" customHeight="1">
      <c r="A573" s="37"/>
      <c r="B573" s="37"/>
      <c r="C573" s="37"/>
      <c r="D573" s="38"/>
      <c r="E573" s="37"/>
      <c r="F573" s="37"/>
      <c r="G573" s="37"/>
      <c r="H573" s="28"/>
      <c r="I573" s="28"/>
      <c r="J573" s="28"/>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row>
    <row r="574" spans="1:33" ht="13.5" customHeight="1">
      <c r="A574" s="37"/>
      <c r="B574" s="37"/>
      <c r="C574" s="37"/>
      <c r="D574" s="38"/>
      <c r="E574" s="37"/>
      <c r="F574" s="37"/>
      <c r="G574" s="37"/>
      <c r="H574" s="28"/>
      <c r="I574" s="28"/>
      <c r="J574" s="28"/>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row>
    <row r="575" spans="1:33" ht="13.5" customHeight="1">
      <c r="A575" s="37"/>
      <c r="B575" s="37"/>
      <c r="C575" s="37"/>
      <c r="D575" s="38"/>
      <c r="E575" s="37"/>
      <c r="F575" s="37"/>
      <c r="G575" s="37"/>
      <c r="H575" s="28"/>
      <c r="I575" s="28"/>
      <c r="J575" s="28"/>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row>
    <row r="576" spans="1:33" ht="13.5" customHeight="1">
      <c r="A576" s="37"/>
      <c r="B576" s="37"/>
      <c r="C576" s="37"/>
      <c r="D576" s="38"/>
      <c r="E576" s="37"/>
      <c r="F576" s="37"/>
      <c r="G576" s="37"/>
      <c r="H576" s="28"/>
      <c r="I576" s="28"/>
      <c r="J576" s="28"/>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row>
    <row r="577" spans="1:33" ht="13.5" customHeight="1">
      <c r="A577" s="37"/>
      <c r="B577" s="37"/>
      <c r="C577" s="37"/>
      <c r="D577" s="38"/>
      <c r="E577" s="37"/>
      <c r="F577" s="37"/>
      <c r="G577" s="37"/>
      <c r="H577" s="28"/>
      <c r="I577" s="28"/>
      <c r="J577" s="28"/>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row>
    <row r="578" spans="1:33" ht="13.5" customHeight="1">
      <c r="A578" s="37"/>
      <c r="B578" s="37"/>
      <c r="C578" s="37"/>
      <c r="D578" s="38"/>
      <c r="E578" s="37"/>
      <c r="F578" s="37"/>
      <c r="G578" s="37"/>
      <c r="H578" s="28"/>
      <c r="I578" s="28"/>
      <c r="J578" s="28"/>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row>
    <row r="579" spans="1:33" ht="13.5" customHeight="1">
      <c r="A579" s="37"/>
      <c r="B579" s="37"/>
      <c r="C579" s="37"/>
      <c r="D579" s="38"/>
      <c r="E579" s="37"/>
      <c r="F579" s="37"/>
      <c r="G579" s="37"/>
      <c r="H579" s="28"/>
      <c r="I579" s="28"/>
      <c r="J579" s="28"/>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row>
    <row r="580" spans="1:33" ht="13.5" customHeight="1">
      <c r="A580" s="37"/>
      <c r="B580" s="37"/>
      <c r="C580" s="37"/>
      <c r="D580" s="38"/>
      <c r="E580" s="37"/>
      <c r="F580" s="37"/>
      <c r="G580" s="37"/>
      <c r="H580" s="28"/>
      <c r="I580" s="28"/>
      <c r="J580" s="28"/>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row>
    <row r="581" spans="1:33" ht="13.5" customHeight="1">
      <c r="A581" s="37"/>
      <c r="B581" s="37"/>
      <c r="C581" s="37"/>
      <c r="D581" s="38"/>
      <c r="E581" s="37"/>
      <c r="F581" s="37"/>
      <c r="G581" s="37"/>
      <c r="H581" s="28"/>
      <c r="I581" s="28"/>
      <c r="J581" s="28"/>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row>
    <row r="582" spans="1:33" ht="13.5" customHeight="1">
      <c r="A582" s="37"/>
      <c r="B582" s="37"/>
      <c r="C582" s="37"/>
      <c r="D582" s="38"/>
      <c r="E582" s="37"/>
      <c r="F582" s="37"/>
      <c r="G582" s="37"/>
      <c r="H582" s="28"/>
      <c r="I582" s="28"/>
      <c r="J582" s="28"/>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row>
    <row r="583" spans="1:33" ht="13.5" customHeight="1">
      <c r="A583" s="37"/>
      <c r="B583" s="37"/>
      <c r="C583" s="37"/>
      <c r="D583" s="38"/>
      <c r="E583" s="37"/>
      <c r="F583" s="37"/>
      <c r="G583" s="37"/>
      <c r="H583" s="28"/>
      <c r="I583" s="28"/>
      <c r="J583" s="28"/>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row>
    <row r="584" spans="1:33" ht="13.5" customHeight="1">
      <c r="A584" s="37"/>
      <c r="B584" s="37"/>
      <c r="C584" s="37"/>
      <c r="D584" s="38"/>
      <c r="E584" s="37"/>
      <c r="F584" s="37"/>
      <c r="G584" s="37"/>
      <c r="H584" s="28"/>
      <c r="I584" s="28"/>
      <c r="J584" s="28"/>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row>
    <row r="585" spans="1:33" ht="13.5" customHeight="1">
      <c r="A585" s="37"/>
      <c r="B585" s="37"/>
      <c r="C585" s="37"/>
      <c r="D585" s="38"/>
      <c r="E585" s="37"/>
      <c r="F585" s="37"/>
      <c r="G585" s="37"/>
      <c r="H585" s="28"/>
      <c r="I585" s="28"/>
      <c r="J585" s="28"/>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row>
    <row r="586" spans="1:33" ht="13.5" customHeight="1">
      <c r="A586" s="37"/>
      <c r="B586" s="37"/>
      <c r="C586" s="37"/>
      <c r="D586" s="38"/>
      <c r="E586" s="37"/>
      <c r="F586" s="37"/>
      <c r="G586" s="37"/>
      <c r="H586" s="28"/>
      <c r="I586" s="28"/>
      <c r="J586" s="28"/>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row>
    <row r="587" spans="1:33" ht="13.5" customHeight="1">
      <c r="A587" s="37"/>
      <c r="B587" s="37"/>
      <c r="C587" s="37"/>
      <c r="D587" s="38"/>
      <c r="E587" s="37"/>
      <c r="F587" s="37"/>
      <c r="G587" s="37"/>
      <c r="H587" s="28"/>
      <c r="I587" s="28"/>
      <c r="J587" s="28"/>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row>
    <row r="588" spans="1:33" ht="13.5" customHeight="1">
      <c r="A588" s="37"/>
      <c r="B588" s="37"/>
      <c r="C588" s="37"/>
      <c r="D588" s="38"/>
      <c r="E588" s="37"/>
      <c r="F588" s="37"/>
      <c r="G588" s="37"/>
      <c r="H588" s="28"/>
      <c r="I588" s="28"/>
      <c r="J588" s="28"/>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row>
    <row r="589" spans="1:33" ht="13.5" customHeight="1">
      <c r="A589" s="37"/>
      <c r="B589" s="37"/>
      <c r="C589" s="37"/>
      <c r="D589" s="38"/>
      <c r="E589" s="37"/>
      <c r="F589" s="37"/>
      <c r="G589" s="37"/>
      <c r="H589" s="28"/>
      <c r="I589" s="28"/>
      <c r="J589" s="28"/>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row>
    <row r="590" spans="1:33" ht="13.5" customHeight="1">
      <c r="A590" s="37"/>
      <c r="B590" s="37"/>
      <c r="C590" s="37"/>
      <c r="D590" s="38"/>
      <c r="E590" s="37"/>
      <c r="F590" s="37"/>
      <c r="G590" s="37"/>
      <c r="H590" s="28"/>
      <c r="I590" s="28"/>
      <c r="J590" s="28"/>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row>
    <row r="591" spans="1:33" ht="13.5" customHeight="1">
      <c r="A591" s="37"/>
      <c r="B591" s="37"/>
      <c r="C591" s="37"/>
      <c r="D591" s="38"/>
      <c r="E591" s="37"/>
      <c r="F591" s="37"/>
      <c r="G591" s="37"/>
      <c r="H591" s="28"/>
      <c r="I591" s="28"/>
      <c r="J591" s="28"/>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row>
    <row r="592" spans="1:33" ht="13.5" customHeight="1">
      <c r="A592" s="37"/>
      <c r="B592" s="37"/>
      <c r="C592" s="37"/>
      <c r="D592" s="38"/>
      <c r="E592" s="37"/>
      <c r="F592" s="37"/>
      <c r="G592" s="37"/>
      <c r="H592" s="28"/>
      <c r="I592" s="28"/>
      <c r="J592" s="28"/>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row>
    <row r="593" spans="1:33" ht="13.5" customHeight="1">
      <c r="A593" s="37"/>
      <c r="B593" s="37"/>
      <c r="C593" s="37"/>
      <c r="D593" s="38"/>
      <c r="E593" s="37"/>
      <c r="F593" s="37"/>
      <c r="G593" s="37"/>
      <c r="H593" s="28"/>
      <c r="I593" s="28"/>
      <c r="J593" s="28"/>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row>
    <row r="594" spans="1:33" ht="13.5" customHeight="1">
      <c r="A594" s="37"/>
      <c r="B594" s="37"/>
      <c r="C594" s="37"/>
      <c r="D594" s="38"/>
      <c r="E594" s="37"/>
      <c r="F594" s="37"/>
      <c r="G594" s="37"/>
      <c r="H594" s="28"/>
      <c r="I594" s="28"/>
      <c r="J594" s="28"/>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row>
    <row r="595" spans="1:33" ht="13.5" customHeight="1">
      <c r="A595" s="37"/>
      <c r="B595" s="37"/>
      <c r="C595" s="37"/>
      <c r="D595" s="38"/>
      <c r="E595" s="37"/>
      <c r="F595" s="37"/>
      <c r="G595" s="37"/>
      <c r="H595" s="28"/>
      <c r="I595" s="28"/>
      <c r="J595" s="28"/>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row>
    <row r="596" spans="1:33" ht="13.5" customHeight="1">
      <c r="A596" s="37"/>
      <c r="B596" s="37"/>
      <c r="C596" s="37"/>
      <c r="D596" s="38"/>
      <c r="E596" s="37"/>
      <c r="F596" s="37"/>
      <c r="G596" s="37"/>
      <c r="H596" s="28"/>
      <c r="I596" s="28"/>
      <c r="J596" s="28"/>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row>
    <row r="597" spans="1:33" ht="13.5" customHeight="1">
      <c r="A597" s="37"/>
      <c r="B597" s="37"/>
      <c r="C597" s="37"/>
      <c r="D597" s="38"/>
      <c r="E597" s="37"/>
      <c r="F597" s="37"/>
      <c r="G597" s="37"/>
      <c r="H597" s="28"/>
      <c r="I597" s="28"/>
      <c r="J597" s="28"/>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row>
    <row r="598" spans="1:33" ht="13.5" customHeight="1">
      <c r="A598" s="37"/>
      <c r="B598" s="37"/>
      <c r="C598" s="37"/>
      <c r="D598" s="38"/>
      <c r="E598" s="37"/>
      <c r="F598" s="37"/>
      <c r="G598" s="37"/>
      <c r="H598" s="28"/>
      <c r="I598" s="28"/>
      <c r="J598" s="28"/>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row>
    <row r="599" spans="1:33" ht="13.5" customHeight="1">
      <c r="A599" s="37"/>
      <c r="B599" s="37"/>
      <c r="C599" s="37"/>
      <c r="D599" s="38"/>
      <c r="E599" s="37"/>
      <c r="F599" s="37"/>
      <c r="G599" s="37"/>
      <c r="H599" s="28"/>
      <c r="I599" s="28"/>
      <c r="J599" s="28"/>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row>
    <row r="600" spans="1:33" ht="13.5" customHeight="1">
      <c r="A600" s="37"/>
      <c r="B600" s="37"/>
      <c r="C600" s="37"/>
      <c r="D600" s="38"/>
      <c r="E600" s="37"/>
      <c r="F600" s="37"/>
      <c r="G600" s="37"/>
      <c r="H600" s="28"/>
      <c r="I600" s="28"/>
      <c r="J600" s="28"/>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row>
    <row r="601" spans="1:33" ht="13.5" customHeight="1">
      <c r="A601" s="37"/>
      <c r="B601" s="37"/>
      <c r="C601" s="37"/>
      <c r="D601" s="38"/>
      <c r="E601" s="37"/>
      <c r="F601" s="37"/>
      <c r="G601" s="37"/>
      <c r="H601" s="28"/>
      <c r="I601" s="28"/>
      <c r="J601" s="28"/>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row>
    <row r="602" spans="1:33" ht="13.5" customHeight="1">
      <c r="A602" s="37"/>
      <c r="B602" s="37"/>
      <c r="C602" s="37"/>
      <c r="D602" s="38"/>
      <c r="E602" s="37"/>
      <c r="F602" s="37"/>
      <c r="G602" s="37"/>
      <c r="H602" s="28"/>
      <c r="I602" s="28"/>
      <c r="J602" s="28"/>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row>
    <row r="603" spans="1:33" ht="13.5" customHeight="1">
      <c r="A603" s="37"/>
      <c r="B603" s="37"/>
      <c r="C603" s="37"/>
      <c r="D603" s="38"/>
      <c r="E603" s="37"/>
      <c r="F603" s="37"/>
      <c r="G603" s="37"/>
      <c r="H603" s="28"/>
      <c r="I603" s="28"/>
      <c r="J603" s="28"/>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row>
    <row r="604" spans="1:33" ht="13.5" customHeight="1">
      <c r="A604" s="37"/>
      <c r="B604" s="37"/>
      <c r="C604" s="37"/>
      <c r="D604" s="38"/>
      <c r="E604" s="37"/>
      <c r="F604" s="37"/>
      <c r="G604" s="37"/>
      <c r="H604" s="28"/>
      <c r="I604" s="28"/>
      <c r="J604" s="28"/>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row>
    <row r="605" spans="1:33" ht="13.5" customHeight="1">
      <c r="A605" s="37"/>
      <c r="B605" s="37"/>
      <c r="C605" s="37"/>
      <c r="D605" s="38"/>
      <c r="E605" s="37"/>
      <c r="F605" s="37"/>
      <c r="G605" s="37"/>
      <c r="H605" s="28"/>
      <c r="I605" s="28"/>
      <c r="J605" s="28"/>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row>
    <row r="606" spans="1:33" ht="13.5" customHeight="1">
      <c r="A606" s="37"/>
      <c r="B606" s="37"/>
      <c r="C606" s="37"/>
      <c r="D606" s="38"/>
      <c r="E606" s="37"/>
      <c r="F606" s="37"/>
      <c r="G606" s="37"/>
      <c r="H606" s="28"/>
      <c r="I606" s="28"/>
      <c r="J606" s="28"/>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row>
    <row r="607" spans="1:33" ht="13.5" customHeight="1">
      <c r="A607" s="37"/>
      <c r="B607" s="37"/>
      <c r="C607" s="37"/>
      <c r="D607" s="38"/>
      <c r="E607" s="37"/>
      <c r="F607" s="37"/>
      <c r="G607" s="37"/>
      <c r="H607" s="28"/>
      <c r="I607" s="28"/>
      <c r="J607" s="28"/>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row>
    <row r="608" spans="1:33" ht="13.5" customHeight="1">
      <c r="A608" s="37"/>
      <c r="B608" s="37"/>
      <c r="C608" s="37"/>
      <c r="D608" s="38"/>
      <c r="E608" s="37"/>
      <c r="F608" s="37"/>
      <c r="G608" s="37"/>
      <c r="H608" s="28"/>
      <c r="I608" s="28"/>
      <c r="J608" s="28"/>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row>
    <row r="609" spans="1:33" ht="13.5" customHeight="1">
      <c r="A609" s="37"/>
      <c r="B609" s="37"/>
      <c r="C609" s="37"/>
      <c r="D609" s="38"/>
      <c r="E609" s="37"/>
      <c r="F609" s="37"/>
      <c r="G609" s="37"/>
      <c r="H609" s="28"/>
      <c r="I609" s="28"/>
      <c r="J609" s="28"/>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row>
    <row r="610" spans="1:33" ht="13.5" customHeight="1">
      <c r="A610" s="37"/>
      <c r="B610" s="37"/>
      <c r="C610" s="37"/>
      <c r="D610" s="38"/>
      <c r="E610" s="37"/>
      <c r="F610" s="37"/>
      <c r="G610" s="37"/>
      <c r="H610" s="28"/>
      <c r="I610" s="28"/>
      <c r="J610" s="28"/>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row>
    <row r="611" spans="1:33" ht="13.5" customHeight="1">
      <c r="A611" s="37"/>
      <c r="B611" s="37"/>
      <c r="C611" s="37"/>
      <c r="D611" s="38"/>
      <c r="E611" s="37"/>
      <c r="F611" s="37"/>
      <c r="G611" s="37"/>
      <c r="H611" s="28"/>
      <c r="I611" s="28"/>
      <c r="J611" s="28"/>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row>
    <row r="612" spans="1:33" ht="13.5" customHeight="1">
      <c r="A612" s="37"/>
      <c r="B612" s="37"/>
      <c r="C612" s="37"/>
      <c r="D612" s="38"/>
      <c r="E612" s="37"/>
      <c r="F612" s="37"/>
      <c r="G612" s="37"/>
      <c r="H612" s="28"/>
      <c r="I612" s="28"/>
      <c r="J612" s="28"/>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row>
    <row r="613" spans="1:33" ht="13.5" customHeight="1">
      <c r="A613" s="37"/>
      <c r="B613" s="37"/>
      <c r="C613" s="37"/>
      <c r="D613" s="38"/>
      <c r="E613" s="37"/>
      <c r="F613" s="37"/>
      <c r="G613" s="37"/>
      <c r="H613" s="28"/>
      <c r="I613" s="28"/>
      <c r="J613" s="28"/>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row>
    <row r="614" spans="1:33" ht="13.5" customHeight="1">
      <c r="A614" s="37"/>
      <c r="B614" s="37"/>
      <c r="C614" s="37"/>
      <c r="D614" s="38"/>
      <c r="E614" s="37"/>
      <c r="F614" s="37"/>
      <c r="G614" s="37"/>
      <c r="H614" s="28"/>
      <c r="I614" s="28"/>
      <c r="J614" s="28"/>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row>
    <row r="615" spans="1:33" ht="13.5" customHeight="1">
      <c r="A615" s="37"/>
      <c r="B615" s="37"/>
      <c r="C615" s="37"/>
      <c r="D615" s="38"/>
      <c r="E615" s="37"/>
      <c r="F615" s="37"/>
      <c r="G615" s="37"/>
      <c r="H615" s="28"/>
      <c r="I615" s="28"/>
      <c r="J615" s="28"/>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row>
    <row r="616" spans="1:33" ht="13.5" customHeight="1">
      <c r="A616" s="37"/>
      <c r="B616" s="37"/>
      <c r="C616" s="37"/>
      <c r="D616" s="38"/>
      <c r="E616" s="37"/>
      <c r="F616" s="37"/>
      <c r="G616" s="37"/>
      <c r="H616" s="28"/>
      <c r="I616" s="28"/>
      <c r="J616" s="28"/>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row>
    <row r="617" spans="1:33" ht="13.5" customHeight="1">
      <c r="A617" s="37"/>
      <c r="B617" s="37"/>
      <c r="C617" s="37"/>
      <c r="D617" s="38"/>
      <c r="E617" s="37"/>
      <c r="F617" s="37"/>
      <c r="G617" s="37"/>
      <c r="H617" s="28"/>
      <c r="I617" s="28"/>
      <c r="J617" s="28"/>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row>
    <row r="618" spans="1:33" ht="13.5" customHeight="1">
      <c r="A618" s="37"/>
      <c r="B618" s="37"/>
      <c r="C618" s="37"/>
      <c r="D618" s="38"/>
      <c r="E618" s="37"/>
      <c r="F618" s="37"/>
      <c r="G618" s="37"/>
      <c r="H618" s="28"/>
      <c r="I618" s="28"/>
      <c r="J618" s="28"/>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row>
    <row r="619" spans="1:33" ht="13.5" customHeight="1">
      <c r="A619" s="37"/>
      <c r="B619" s="37"/>
      <c r="C619" s="37"/>
      <c r="D619" s="38"/>
      <c r="E619" s="37"/>
      <c r="F619" s="37"/>
      <c r="G619" s="37"/>
      <c r="H619" s="28"/>
      <c r="I619" s="28"/>
      <c r="J619" s="28"/>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row>
    <row r="620" spans="1:33" ht="13.5" customHeight="1">
      <c r="A620" s="37"/>
      <c r="B620" s="37"/>
      <c r="C620" s="37"/>
      <c r="D620" s="38"/>
      <c r="E620" s="37"/>
      <c r="F620" s="37"/>
      <c r="G620" s="37"/>
      <c r="H620" s="28"/>
      <c r="I620" s="28"/>
      <c r="J620" s="28"/>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row>
    <row r="621" spans="1:33" ht="13.5" customHeight="1">
      <c r="A621" s="37"/>
      <c r="B621" s="37"/>
      <c r="C621" s="37"/>
      <c r="D621" s="38"/>
      <c r="E621" s="37"/>
      <c r="F621" s="37"/>
      <c r="G621" s="37"/>
      <c r="H621" s="28"/>
      <c r="I621" s="28"/>
      <c r="J621" s="28"/>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row>
    <row r="622" spans="1:33" ht="13.5" customHeight="1">
      <c r="A622" s="37"/>
      <c r="B622" s="37"/>
      <c r="C622" s="37"/>
      <c r="D622" s="38"/>
      <c r="E622" s="37"/>
      <c r="F622" s="37"/>
      <c r="G622" s="37"/>
      <c r="H622" s="28"/>
      <c r="I622" s="28"/>
      <c r="J622" s="28"/>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row>
    <row r="623" spans="1:33" ht="13.5" customHeight="1">
      <c r="A623" s="37"/>
      <c r="B623" s="37"/>
      <c r="C623" s="37"/>
      <c r="D623" s="38"/>
      <c r="E623" s="37"/>
      <c r="F623" s="37"/>
      <c r="G623" s="37"/>
      <c r="H623" s="28"/>
      <c r="I623" s="28"/>
      <c r="J623" s="28"/>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row>
    <row r="624" spans="1:33" ht="13.5" customHeight="1">
      <c r="A624" s="37"/>
      <c r="B624" s="37"/>
      <c r="C624" s="37"/>
      <c r="D624" s="38"/>
      <c r="E624" s="37"/>
      <c r="F624" s="37"/>
      <c r="G624" s="37"/>
      <c r="H624" s="28"/>
      <c r="I624" s="28"/>
      <c r="J624" s="28"/>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row>
    <row r="625" spans="1:33" ht="13.5" customHeight="1">
      <c r="A625" s="37"/>
      <c r="B625" s="37"/>
      <c r="C625" s="37"/>
      <c r="D625" s="38"/>
      <c r="E625" s="37"/>
      <c r="F625" s="37"/>
      <c r="G625" s="37"/>
      <c r="H625" s="28"/>
      <c r="I625" s="28"/>
      <c r="J625" s="28"/>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row>
    <row r="626" spans="1:33" ht="13.5" customHeight="1">
      <c r="A626" s="37"/>
      <c r="B626" s="37"/>
      <c r="C626" s="37"/>
      <c r="D626" s="38"/>
      <c r="E626" s="37"/>
      <c r="F626" s="37"/>
      <c r="G626" s="37"/>
      <c r="H626" s="28"/>
      <c r="I626" s="28"/>
      <c r="J626" s="28"/>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row>
    <row r="627" spans="1:33" ht="13.5" customHeight="1">
      <c r="A627" s="37"/>
      <c r="B627" s="37"/>
      <c r="C627" s="37"/>
      <c r="D627" s="38"/>
      <c r="E627" s="37"/>
      <c r="F627" s="37"/>
      <c r="G627" s="37"/>
      <c r="H627" s="28"/>
      <c r="I627" s="28"/>
      <c r="J627" s="28"/>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row>
    <row r="628" spans="1:33" ht="13.5" customHeight="1">
      <c r="A628" s="37"/>
      <c r="B628" s="37"/>
      <c r="C628" s="37"/>
      <c r="D628" s="38"/>
      <c r="E628" s="37"/>
      <c r="F628" s="37"/>
      <c r="G628" s="37"/>
      <c r="H628" s="28"/>
      <c r="I628" s="28"/>
      <c r="J628" s="28"/>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row>
    <row r="629" spans="1:33" ht="13.5" customHeight="1">
      <c r="A629" s="37"/>
      <c r="B629" s="37"/>
      <c r="C629" s="37"/>
      <c r="D629" s="38"/>
      <c r="E629" s="37"/>
      <c r="F629" s="37"/>
      <c r="G629" s="37"/>
      <c r="H629" s="28"/>
      <c r="I629" s="28"/>
      <c r="J629" s="28"/>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row>
    <row r="630" spans="1:33" ht="13.5" customHeight="1">
      <c r="A630" s="37"/>
      <c r="B630" s="37"/>
      <c r="C630" s="37"/>
      <c r="D630" s="38"/>
      <c r="E630" s="37"/>
      <c r="F630" s="37"/>
      <c r="G630" s="37"/>
      <c r="H630" s="28"/>
      <c r="I630" s="28"/>
      <c r="J630" s="28"/>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row>
    <row r="631" spans="1:33" ht="13.5" customHeight="1">
      <c r="A631" s="37"/>
      <c r="B631" s="37"/>
      <c r="C631" s="37"/>
      <c r="D631" s="38"/>
      <c r="E631" s="37"/>
      <c r="F631" s="37"/>
      <c r="G631" s="37"/>
      <c r="H631" s="28"/>
      <c r="I631" s="28"/>
      <c r="J631" s="28"/>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row>
    <row r="632" spans="1:33" ht="13.5" customHeight="1">
      <c r="A632" s="37"/>
      <c r="B632" s="37"/>
      <c r="C632" s="37"/>
      <c r="D632" s="38"/>
      <c r="E632" s="37"/>
      <c r="F632" s="37"/>
      <c r="G632" s="37"/>
      <c r="H632" s="28"/>
      <c r="I632" s="28"/>
      <c r="J632" s="28"/>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row>
    <row r="633" spans="1:33" ht="13.5" customHeight="1">
      <c r="A633" s="37"/>
      <c r="B633" s="37"/>
      <c r="C633" s="37"/>
      <c r="D633" s="38"/>
      <c r="E633" s="37"/>
      <c r="F633" s="37"/>
      <c r="G633" s="37"/>
      <c r="H633" s="28"/>
      <c r="I633" s="28"/>
      <c r="J633" s="28"/>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row>
    <row r="634" spans="1:33" ht="13.5" customHeight="1">
      <c r="A634" s="37"/>
      <c r="B634" s="37"/>
      <c r="C634" s="37"/>
      <c r="D634" s="38"/>
      <c r="E634" s="37"/>
      <c r="F634" s="37"/>
      <c r="G634" s="37"/>
      <c r="H634" s="28"/>
      <c r="I634" s="28"/>
      <c r="J634" s="28"/>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row>
    <row r="635" spans="1:33" ht="13.5" customHeight="1">
      <c r="A635" s="37"/>
      <c r="B635" s="37"/>
      <c r="C635" s="37"/>
      <c r="D635" s="38"/>
      <c r="E635" s="37"/>
      <c r="F635" s="37"/>
      <c r="G635" s="37"/>
      <c r="H635" s="28"/>
      <c r="I635" s="28"/>
      <c r="J635" s="28"/>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row>
    <row r="636" spans="1:33" ht="13.5" customHeight="1">
      <c r="A636" s="37"/>
      <c r="B636" s="37"/>
      <c r="C636" s="37"/>
      <c r="D636" s="38"/>
      <c r="E636" s="37"/>
      <c r="F636" s="37"/>
      <c r="G636" s="37"/>
      <c r="H636" s="28"/>
      <c r="I636" s="28"/>
      <c r="J636" s="28"/>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row>
    <row r="637" spans="1:33" ht="13.5" customHeight="1">
      <c r="A637" s="37"/>
      <c r="B637" s="37"/>
      <c r="C637" s="37"/>
      <c r="D637" s="38"/>
      <c r="E637" s="37"/>
      <c r="F637" s="37"/>
      <c r="G637" s="37"/>
      <c r="H637" s="28"/>
      <c r="I637" s="28"/>
      <c r="J637" s="28"/>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row>
    <row r="638" spans="1:33" ht="13.5" customHeight="1">
      <c r="A638" s="37"/>
      <c r="B638" s="37"/>
      <c r="C638" s="37"/>
      <c r="D638" s="38"/>
      <c r="E638" s="37"/>
      <c r="F638" s="37"/>
      <c r="G638" s="37"/>
      <c r="H638" s="28"/>
      <c r="I638" s="28"/>
      <c r="J638" s="28"/>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row>
    <row r="639" spans="1:33" ht="13.5" customHeight="1">
      <c r="A639" s="37"/>
      <c r="B639" s="37"/>
      <c r="C639" s="37"/>
      <c r="D639" s="38"/>
      <c r="E639" s="37"/>
      <c r="F639" s="37"/>
      <c r="G639" s="37"/>
      <c r="H639" s="28"/>
      <c r="I639" s="28"/>
      <c r="J639" s="28"/>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row>
    <row r="640" spans="1:33" ht="13.5" customHeight="1">
      <c r="A640" s="37"/>
      <c r="B640" s="37"/>
      <c r="C640" s="37"/>
      <c r="D640" s="38"/>
      <c r="E640" s="37"/>
      <c r="F640" s="37"/>
      <c r="G640" s="37"/>
      <c r="H640" s="28"/>
      <c r="I640" s="28"/>
      <c r="J640" s="28"/>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row>
    <row r="641" spans="1:33" ht="13.5" customHeight="1">
      <c r="A641" s="37"/>
      <c r="B641" s="37"/>
      <c r="C641" s="37"/>
      <c r="D641" s="38"/>
      <c r="E641" s="37"/>
      <c r="F641" s="37"/>
      <c r="G641" s="37"/>
      <c r="H641" s="28"/>
      <c r="I641" s="28"/>
      <c r="J641" s="28"/>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row>
    <row r="642" spans="1:33" ht="13.5" customHeight="1">
      <c r="A642" s="37"/>
      <c r="B642" s="37"/>
      <c r="C642" s="37"/>
      <c r="D642" s="38"/>
      <c r="E642" s="37"/>
      <c r="F642" s="37"/>
      <c r="G642" s="37"/>
      <c r="H642" s="28"/>
      <c r="I642" s="28"/>
      <c r="J642" s="28"/>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row>
    <row r="643" spans="1:33" ht="13.5" customHeight="1">
      <c r="A643" s="37"/>
      <c r="B643" s="37"/>
      <c r="C643" s="37"/>
      <c r="D643" s="38"/>
      <c r="E643" s="37"/>
      <c r="F643" s="37"/>
      <c r="G643" s="37"/>
      <c r="H643" s="28"/>
      <c r="I643" s="28"/>
      <c r="J643" s="28"/>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row>
    <row r="644" spans="1:33" ht="13.5" customHeight="1">
      <c r="A644" s="37"/>
      <c r="B644" s="37"/>
      <c r="C644" s="37"/>
      <c r="D644" s="38"/>
      <c r="E644" s="37"/>
      <c r="F644" s="37"/>
      <c r="G644" s="37"/>
      <c r="H644" s="28"/>
      <c r="I644" s="28"/>
      <c r="J644" s="28"/>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row>
    <row r="645" spans="1:33" ht="13.5" customHeight="1">
      <c r="A645" s="37"/>
      <c r="B645" s="37"/>
      <c r="C645" s="37"/>
      <c r="D645" s="38"/>
      <c r="E645" s="37"/>
      <c r="F645" s="37"/>
      <c r="G645" s="37"/>
      <c r="H645" s="28"/>
      <c r="I645" s="28"/>
      <c r="J645" s="28"/>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row>
    <row r="646" spans="1:33" ht="13.5" customHeight="1">
      <c r="A646" s="37"/>
      <c r="B646" s="37"/>
      <c r="C646" s="37"/>
      <c r="D646" s="38"/>
      <c r="E646" s="37"/>
      <c r="F646" s="37"/>
      <c r="G646" s="37"/>
      <c r="H646" s="28"/>
      <c r="I646" s="28"/>
      <c r="J646" s="28"/>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row>
    <row r="647" spans="1:33" ht="13.5" customHeight="1">
      <c r="A647" s="37"/>
      <c r="B647" s="37"/>
      <c r="C647" s="37"/>
      <c r="D647" s="38"/>
      <c r="E647" s="37"/>
      <c r="F647" s="37"/>
      <c r="G647" s="37"/>
      <c r="H647" s="28"/>
      <c r="I647" s="28"/>
      <c r="J647" s="28"/>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row>
    <row r="648" spans="1:33" ht="13.5" customHeight="1">
      <c r="A648" s="37"/>
      <c r="B648" s="37"/>
      <c r="C648" s="37"/>
      <c r="D648" s="38"/>
      <c r="E648" s="37"/>
      <c r="F648" s="37"/>
      <c r="G648" s="37"/>
      <c r="H648" s="28"/>
      <c r="I648" s="28"/>
      <c r="J648" s="28"/>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row>
    <row r="649" spans="1:33" ht="13.5" customHeight="1">
      <c r="A649" s="37"/>
      <c r="B649" s="37"/>
      <c r="C649" s="37"/>
      <c r="D649" s="38"/>
      <c r="E649" s="37"/>
      <c r="F649" s="37"/>
      <c r="G649" s="37"/>
      <c r="H649" s="28"/>
      <c r="I649" s="28"/>
      <c r="J649" s="28"/>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row>
    <row r="650" spans="1:33" ht="13.5" customHeight="1">
      <c r="A650" s="37"/>
      <c r="B650" s="37"/>
      <c r="C650" s="37"/>
      <c r="D650" s="38"/>
      <c r="E650" s="37"/>
      <c r="F650" s="37"/>
      <c r="G650" s="37"/>
      <c r="H650" s="28"/>
      <c r="I650" s="28"/>
      <c r="J650" s="28"/>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row>
    <row r="651" spans="1:33" ht="13.5" customHeight="1">
      <c r="A651" s="37"/>
      <c r="B651" s="37"/>
      <c r="C651" s="37"/>
      <c r="D651" s="38"/>
      <c r="E651" s="37"/>
      <c r="F651" s="37"/>
      <c r="G651" s="37"/>
      <c r="H651" s="28"/>
      <c r="I651" s="28"/>
      <c r="J651" s="28"/>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row>
    <row r="652" spans="1:33" ht="13.5" customHeight="1">
      <c r="A652" s="37"/>
      <c r="B652" s="37"/>
      <c r="C652" s="37"/>
      <c r="D652" s="38"/>
      <c r="E652" s="37"/>
      <c r="F652" s="37"/>
      <c r="G652" s="37"/>
      <c r="H652" s="28"/>
      <c r="I652" s="28"/>
      <c r="J652" s="28"/>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row>
    <row r="653" spans="1:33" ht="13.5" customHeight="1">
      <c r="A653" s="37"/>
      <c r="B653" s="37"/>
      <c r="C653" s="37"/>
      <c r="D653" s="38"/>
      <c r="E653" s="37"/>
      <c r="F653" s="37"/>
      <c r="G653" s="37"/>
      <c r="H653" s="28"/>
      <c r="I653" s="28"/>
      <c r="J653" s="28"/>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row>
    <row r="654" spans="1:33" ht="13.5" customHeight="1">
      <c r="A654" s="37"/>
      <c r="B654" s="37"/>
      <c r="C654" s="37"/>
      <c r="D654" s="38"/>
      <c r="E654" s="37"/>
      <c r="F654" s="37"/>
      <c r="G654" s="37"/>
      <c r="H654" s="28"/>
      <c r="I654" s="28"/>
      <c r="J654" s="28"/>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row>
    <row r="655" spans="1:33" ht="13.5" customHeight="1">
      <c r="A655" s="37"/>
      <c r="B655" s="37"/>
      <c r="C655" s="37"/>
      <c r="D655" s="38"/>
      <c r="E655" s="37"/>
      <c r="F655" s="37"/>
      <c r="G655" s="37"/>
      <c r="H655" s="28"/>
      <c r="I655" s="28"/>
      <c r="J655" s="28"/>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row>
    <row r="656" spans="1:33" ht="13.5" customHeight="1">
      <c r="A656" s="37"/>
      <c r="B656" s="37"/>
      <c r="C656" s="37"/>
      <c r="D656" s="38"/>
      <c r="E656" s="37"/>
      <c r="F656" s="37"/>
      <c r="G656" s="37"/>
      <c r="H656" s="28"/>
      <c r="I656" s="28"/>
      <c r="J656" s="28"/>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row>
    <row r="657" spans="1:33" ht="13.5" customHeight="1">
      <c r="A657" s="37"/>
      <c r="B657" s="37"/>
      <c r="C657" s="37"/>
      <c r="D657" s="38"/>
      <c r="E657" s="37"/>
      <c r="F657" s="37"/>
      <c r="G657" s="37"/>
      <c r="H657" s="28"/>
      <c r="I657" s="28"/>
      <c r="J657" s="28"/>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row>
    <row r="658" spans="1:33" ht="13.5" customHeight="1">
      <c r="A658" s="37"/>
      <c r="B658" s="37"/>
      <c r="C658" s="37"/>
      <c r="D658" s="38"/>
      <c r="E658" s="37"/>
      <c r="F658" s="37"/>
      <c r="G658" s="37"/>
      <c r="H658" s="28"/>
      <c r="I658" s="28"/>
      <c r="J658" s="28"/>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row>
    <row r="659" spans="1:33" ht="13.5" customHeight="1">
      <c r="A659" s="37"/>
      <c r="B659" s="37"/>
      <c r="C659" s="37"/>
      <c r="D659" s="38"/>
      <c r="E659" s="37"/>
      <c r="F659" s="37"/>
      <c r="G659" s="37"/>
      <c r="H659" s="28"/>
      <c r="I659" s="28"/>
      <c r="J659" s="28"/>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row>
    <row r="660" spans="1:33" ht="13.5" customHeight="1">
      <c r="A660" s="37"/>
      <c r="B660" s="37"/>
      <c r="C660" s="37"/>
      <c r="D660" s="38"/>
      <c r="E660" s="37"/>
      <c r="F660" s="37"/>
      <c r="G660" s="37"/>
      <c r="H660" s="28"/>
      <c r="I660" s="28"/>
      <c r="J660" s="28"/>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row>
    <row r="661" spans="1:33" ht="13.5" customHeight="1">
      <c r="A661" s="37"/>
      <c r="B661" s="37"/>
      <c r="C661" s="37"/>
      <c r="D661" s="38"/>
      <c r="E661" s="37"/>
      <c r="F661" s="37"/>
      <c r="G661" s="37"/>
      <c r="H661" s="28"/>
      <c r="I661" s="28"/>
      <c r="J661" s="28"/>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row>
    <row r="662" spans="1:33" ht="13.5" customHeight="1">
      <c r="A662" s="37"/>
      <c r="B662" s="37"/>
      <c r="C662" s="37"/>
      <c r="D662" s="38"/>
      <c r="E662" s="37"/>
      <c r="F662" s="37"/>
      <c r="G662" s="37"/>
      <c r="H662" s="28"/>
      <c r="I662" s="28"/>
      <c r="J662" s="28"/>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row>
    <row r="663" spans="1:33" ht="13.5" customHeight="1">
      <c r="A663" s="37"/>
      <c r="B663" s="37"/>
      <c r="C663" s="37"/>
      <c r="D663" s="38"/>
      <c r="E663" s="37"/>
      <c r="F663" s="37"/>
      <c r="G663" s="37"/>
      <c r="H663" s="28"/>
      <c r="I663" s="28"/>
      <c r="J663" s="28"/>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row>
    <row r="664" spans="1:33" ht="13.5" customHeight="1">
      <c r="A664" s="37"/>
      <c r="B664" s="37"/>
      <c r="C664" s="37"/>
      <c r="D664" s="38"/>
      <c r="E664" s="37"/>
      <c r="F664" s="37"/>
      <c r="G664" s="37"/>
      <c r="H664" s="28"/>
      <c r="I664" s="28"/>
      <c r="J664" s="28"/>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row>
    <row r="665" spans="1:33" ht="13.5" customHeight="1">
      <c r="A665" s="37"/>
      <c r="B665" s="37"/>
      <c r="C665" s="37"/>
      <c r="D665" s="38"/>
      <c r="E665" s="37"/>
      <c r="F665" s="37"/>
      <c r="G665" s="37"/>
      <c r="H665" s="28"/>
      <c r="I665" s="28"/>
      <c r="J665" s="28"/>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row>
    <row r="666" spans="1:33" ht="13.5" customHeight="1">
      <c r="A666" s="37"/>
      <c r="B666" s="37"/>
      <c r="C666" s="37"/>
      <c r="D666" s="38"/>
      <c r="E666" s="37"/>
      <c r="F666" s="37"/>
      <c r="G666" s="37"/>
      <c r="H666" s="28"/>
      <c r="I666" s="28"/>
      <c r="J666" s="28"/>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row>
    <row r="667" spans="1:33" ht="13.5" customHeight="1">
      <c r="A667" s="37"/>
      <c r="B667" s="37"/>
      <c r="C667" s="37"/>
      <c r="D667" s="38"/>
      <c r="E667" s="37"/>
      <c r="F667" s="37"/>
      <c r="G667" s="37"/>
      <c r="H667" s="28"/>
      <c r="I667" s="28"/>
      <c r="J667" s="28"/>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row>
    <row r="668" spans="1:33" ht="13.5" customHeight="1">
      <c r="A668" s="37"/>
      <c r="B668" s="37"/>
      <c r="C668" s="37"/>
      <c r="D668" s="38"/>
      <c r="E668" s="37"/>
      <c r="F668" s="37"/>
      <c r="G668" s="37"/>
      <c r="H668" s="28"/>
      <c r="I668" s="28"/>
      <c r="J668" s="28"/>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row>
    <row r="669" spans="1:33" ht="13.5" customHeight="1">
      <c r="A669" s="37"/>
      <c r="B669" s="37"/>
      <c r="C669" s="37"/>
      <c r="D669" s="38"/>
      <c r="E669" s="37"/>
      <c r="F669" s="37"/>
      <c r="G669" s="37"/>
      <c r="H669" s="28"/>
      <c r="I669" s="28"/>
      <c r="J669" s="28"/>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row>
    <row r="670" spans="1:33" ht="13.5" customHeight="1">
      <c r="A670" s="37"/>
      <c r="B670" s="37"/>
      <c r="C670" s="37"/>
      <c r="D670" s="38"/>
      <c r="E670" s="37"/>
      <c r="F670" s="37"/>
      <c r="G670" s="37"/>
      <c r="H670" s="28"/>
      <c r="I670" s="28"/>
      <c r="J670" s="28"/>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row>
    <row r="671" spans="1:33" ht="13.5" customHeight="1">
      <c r="A671" s="37"/>
      <c r="B671" s="37"/>
      <c r="C671" s="37"/>
      <c r="D671" s="38"/>
      <c r="E671" s="37"/>
      <c r="F671" s="37"/>
      <c r="G671" s="37"/>
      <c r="H671" s="28"/>
      <c r="I671" s="28"/>
      <c r="J671" s="28"/>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row>
    <row r="672" spans="1:33" ht="13.5" customHeight="1">
      <c r="A672" s="37"/>
      <c r="B672" s="37"/>
      <c r="C672" s="37"/>
      <c r="D672" s="38"/>
      <c r="E672" s="37"/>
      <c r="F672" s="37"/>
      <c r="G672" s="37"/>
      <c r="H672" s="28"/>
      <c r="I672" s="28"/>
      <c r="J672" s="28"/>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row>
    <row r="673" spans="1:33" ht="13.5" customHeight="1">
      <c r="A673" s="37"/>
      <c r="B673" s="37"/>
      <c r="C673" s="37"/>
      <c r="D673" s="38"/>
      <c r="E673" s="37"/>
      <c r="F673" s="37"/>
      <c r="G673" s="37"/>
      <c r="H673" s="28"/>
      <c r="I673" s="28"/>
      <c r="J673" s="28"/>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row>
    <row r="674" spans="1:33" ht="13.5" customHeight="1">
      <c r="A674" s="37"/>
      <c r="B674" s="37"/>
      <c r="C674" s="37"/>
      <c r="D674" s="38"/>
      <c r="E674" s="37"/>
      <c r="F674" s="37"/>
      <c r="G674" s="37"/>
      <c r="H674" s="28"/>
      <c r="I674" s="28"/>
      <c r="J674" s="28"/>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row>
    <row r="675" spans="1:33" ht="13.5" customHeight="1">
      <c r="A675" s="37"/>
      <c r="B675" s="37"/>
      <c r="C675" s="37"/>
      <c r="D675" s="38"/>
      <c r="E675" s="37"/>
      <c r="F675" s="37"/>
      <c r="G675" s="37"/>
      <c r="H675" s="28"/>
      <c r="I675" s="28"/>
      <c r="J675" s="28"/>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row>
    <row r="676" spans="1:33" ht="13.5" customHeight="1">
      <c r="A676" s="37"/>
      <c r="B676" s="37"/>
      <c r="C676" s="37"/>
      <c r="D676" s="38"/>
      <c r="E676" s="37"/>
      <c r="F676" s="37"/>
      <c r="G676" s="37"/>
      <c r="H676" s="28"/>
      <c r="I676" s="28"/>
      <c r="J676" s="28"/>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row>
    <row r="677" spans="1:33" ht="13.5" customHeight="1">
      <c r="A677" s="37"/>
      <c r="B677" s="37"/>
      <c r="C677" s="37"/>
      <c r="D677" s="38"/>
      <c r="E677" s="37"/>
      <c r="F677" s="37"/>
      <c r="G677" s="37"/>
      <c r="H677" s="28"/>
      <c r="I677" s="28"/>
      <c r="J677" s="28"/>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row>
    <row r="678" spans="1:33" ht="13.5" customHeight="1">
      <c r="A678" s="37"/>
      <c r="B678" s="37"/>
      <c r="C678" s="37"/>
      <c r="D678" s="38"/>
      <c r="E678" s="37"/>
      <c r="F678" s="37"/>
      <c r="G678" s="37"/>
      <c r="H678" s="28"/>
      <c r="I678" s="28"/>
      <c r="J678" s="28"/>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row>
    <row r="679" spans="1:33" ht="13.5" customHeight="1">
      <c r="A679" s="37"/>
      <c r="B679" s="37"/>
      <c r="C679" s="37"/>
      <c r="D679" s="38"/>
      <c r="E679" s="37"/>
      <c r="F679" s="37"/>
      <c r="G679" s="37"/>
      <c r="H679" s="28"/>
      <c r="I679" s="28"/>
      <c r="J679" s="28"/>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row>
    <row r="680" spans="1:33" ht="13.5" customHeight="1">
      <c r="A680" s="37"/>
      <c r="B680" s="37"/>
      <c r="C680" s="37"/>
      <c r="D680" s="38"/>
      <c r="E680" s="37"/>
      <c r="F680" s="37"/>
      <c r="G680" s="37"/>
      <c r="H680" s="28"/>
      <c r="I680" s="28"/>
      <c r="J680" s="28"/>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row>
    <row r="681" spans="1:33" ht="13.5" customHeight="1">
      <c r="A681" s="37"/>
      <c r="B681" s="37"/>
      <c r="C681" s="37"/>
      <c r="D681" s="38"/>
      <c r="E681" s="37"/>
      <c r="F681" s="37"/>
      <c r="G681" s="37"/>
      <c r="H681" s="28"/>
      <c r="I681" s="28"/>
      <c r="J681" s="28"/>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row>
    <row r="682" spans="1:33" ht="13.5" customHeight="1">
      <c r="A682" s="37"/>
      <c r="B682" s="37"/>
      <c r="C682" s="37"/>
      <c r="D682" s="38"/>
      <c r="E682" s="37"/>
      <c r="F682" s="37"/>
      <c r="G682" s="37"/>
      <c r="H682" s="28"/>
      <c r="I682" s="28"/>
      <c r="J682" s="28"/>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row>
    <row r="683" spans="1:33" ht="13.5" customHeight="1">
      <c r="A683" s="37"/>
      <c r="B683" s="37"/>
      <c r="C683" s="37"/>
      <c r="D683" s="38"/>
      <c r="E683" s="37"/>
      <c r="F683" s="37"/>
      <c r="G683" s="37"/>
      <c r="H683" s="28"/>
      <c r="I683" s="28"/>
      <c r="J683" s="28"/>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row>
    <row r="684" spans="1:33" ht="13.5" customHeight="1">
      <c r="A684" s="37"/>
      <c r="B684" s="37"/>
      <c r="C684" s="37"/>
      <c r="D684" s="38"/>
      <c r="E684" s="37"/>
      <c r="F684" s="37"/>
      <c r="G684" s="37"/>
      <c r="H684" s="28"/>
      <c r="I684" s="28"/>
      <c r="J684" s="28"/>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row>
    <row r="685" spans="1:33" ht="13.5" customHeight="1">
      <c r="A685" s="37"/>
      <c r="B685" s="37"/>
      <c r="C685" s="37"/>
      <c r="D685" s="38"/>
      <c r="E685" s="37"/>
      <c r="F685" s="37"/>
      <c r="G685" s="37"/>
      <c r="H685" s="28"/>
      <c r="I685" s="28"/>
      <c r="J685" s="28"/>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row>
    <row r="686" spans="1:33" ht="13.5" customHeight="1">
      <c r="A686" s="37"/>
      <c r="B686" s="37"/>
      <c r="C686" s="37"/>
      <c r="D686" s="38"/>
      <c r="E686" s="37"/>
      <c r="F686" s="37"/>
      <c r="G686" s="37"/>
      <c r="H686" s="28"/>
      <c r="I686" s="28"/>
      <c r="J686" s="28"/>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row>
    <row r="687" spans="1:33" ht="13.5" customHeight="1">
      <c r="A687" s="37"/>
      <c r="B687" s="37"/>
      <c r="C687" s="37"/>
      <c r="D687" s="38"/>
      <c r="E687" s="37"/>
      <c r="F687" s="37"/>
      <c r="G687" s="37"/>
      <c r="H687" s="28"/>
      <c r="I687" s="28"/>
      <c r="J687" s="28"/>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row>
    <row r="688" spans="1:33" ht="13.5" customHeight="1">
      <c r="A688" s="37"/>
      <c r="B688" s="37"/>
      <c r="C688" s="37"/>
      <c r="D688" s="38"/>
      <c r="E688" s="37"/>
      <c r="F688" s="37"/>
      <c r="G688" s="37"/>
      <c r="H688" s="28"/>
      <c r="I688" s="28"/>
      <c r="J688" s="28"/>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row>
    <row r="689" spans="1:33" ht="13.5" customHeight="1">
      <c r="A689" s="37"/>
      <c r="B689" s="37"/>
      <c r="C689" s="37"/>
      <c r="D689" s="38"/>
      <c r="E689" s="37"/>
      <c r="F689" s="37"/>
      <c r="G689" s="37"/>
      <c r="H689" s="28"/>
      <c r="I689" s="28"/>
      <c r="J689" s="28"/>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row>
    <row r="690" spans="1:33" ht="13.5" customHeight="1">
      <c r="A690" s="37"/>
      <c r="B690" s="37"/>
      <c r="C690" s="37"/>
      <c r="D690" s="38"/>
      <c r="E690" s="37"/>
      <c r="F690" s="37"/>
      <c r="G690" s="37"/>
      <c r="H690" s="28"/>
      <c r="I690" s="28"/>
      <c r="J690" s="28"/>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row>
    <row r="691" spans="1:33" ht="13.5" customHeight="1">
      <c r="A691" s="37"/>
      <c r="B691" s="37"/>
      <c r="C691" s="37"/>
      <c r="D691" s="38"/>
      <c r="E691" s="37"/>
      <c r="F691" s="37"/>
      <c r="G691" s="37"/>
      <c r="H691" s="28"/>
      <c r="I691" s="28"/>
      <c r="J691" s="28"/>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row>
    <row r="692" spans="1:33" ht="13.5" customHeight="1">
      <c r="A692" s="37"/>
      <c r="B692" s="37"/>
      <c r="C692" s="37"/>
      <c r="D692" s="38"/>
      <c r="E692" s="37"/>
      <c r="F692" s="37"/>
      <c r="G692" s="37"/>
      <c r="H692" s="28"/>
      <c r="I692" s="28"/>
      <c r="J692" s="28"/>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row>
    <row r="693" spans="1:33" ht="13.5" customHeight="1">
      <c r="A693" s="37"/>
      <c r="B693" s="37"/>
      <c r="C693" s="37"/>
      <c r="D693" s="38"/>
      <c r="E693" s="37"/>
      <c r="F693" s="37"/>
      <c r="G693" s="37"/>
      <c r="H693" s="28"/>
      <c r="I693" s="28"/>
      <c r="J693" s="28"/>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row>
    <row r="694" spans="1:33" ht="13.5" customHeight="1">
      <c r="A694" s="37"/>
      <c r="B694" s="37"/>
      <c r="C694" s="37"/>
      <c r="D694" s="38"/>
      <c r="E694" s="37"/>
      <c r="F694" s="37"/>
      <c r="G694" s="37"/>
      <c r="H694" s="28"/>
      <c r="I694" s="28"/>
      <c r="J694" s="28"/>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row>
    <row r="695" spans="1:33" ht="13.5" customHeight="1">
      <c r="A695" s="37"/>
      <c r="B695" s="37"/>
      <c r="C695" s="37"/>
      <c r="D695" s="38"/>
      <c r="E695" s="37"/>
      <c r="F695" s="37"/>
      <c r="G695" s="37"/>
      <c r="H695" s="28"/>
      <c r="I695" s="28"/>
      <c r="J695" s="28"/>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row>
    <row r="696" spans="1:33" ht="13.5" customHeight="1">
      <c r="A696" s="37"/>
      <c r="B696" s="37"/>
      <c r="C696" s="37"/>
      <c r="D696" s="38"/>
      <c r="E696" s="37"/>
      <c r="F696" s="37"/>
      <c r="G696" s="37"/>
      <c r="H696" s="28"/>
      <c r="I696" s="28"/>
      <c r="J696" s="28"/>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row>
    <row r="697" spans="1:33" ht="13.5" customHeight="1">
      <c r="A697" s="37"/>
      <c r="B697" s="37"/>
      <c r="C697" s="37"/>
      <c r="D697" s="38"/>
      <c r="E697" s="37"/>
      <c r="F697" s="37"/>
      <c r="G697" s="37"/>
      <c r="H697" s="28"/>
      <c r="I697" s="28"/>
      <c r="J697" s="28"/>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row>
    <row r="698" spans="1:33" ht="13.5" customHeight="1">
      <c r="A698" s="37"/>
      <c r="B698" s="37"/>
      <c r="C698" s="37"/>
      <c r="D698" s="38"/>
      <c r="E698" s="37"/>
      <c r="F698" s="37"/>
      <c r="G698" s="37"/>
      <c r="H698" s="28"/>
      <c r="I698" s="28"/>
      <c r="J698" s="28"/>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row>
    <row r="699" spans="1:33" ht="13.5" customHeight="1">
      <c r="A699" s="37"/>
      <c r="B699" s="37"/>
      <c r="C699" s="37"/>
      <c r="D699" s="38"/>
      <c r="E699" s="37"/>
      <c r="F699" s="37"/>
      <c r="G699" s="37"/>
      <c r="H699" s="28"/>
      <c r="I699" s="28"/>
      <c r="J699" s="28"/>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row>
    <row r="700" spans="1:33" ht="13.5" customHeight="1">
      <c r="A700" s="37"/>
      <c r="B700" s="37"/>
      <c r="C700" s="37"/>
      <c r="D700" s="38"/>
      <c r="E700" s="37"/>
      <c r="F700" s="37"/>
      <c r="G700" s="37"/>
      <c r="H700" s="28"/>
      <c r="I700" s="28"/>
      <c r="J700" s="28"/>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row>
    <row r="701" spans="1:33" ht="13.5" customHeight="1">
      <c r="A701" s="37"/>
      <c r="B701" s="37"/>
      <c r="C701" s="37"/>
      <c r="D701" s="38"/>
      <c r="E701" s="37"/>
      <c r="F701" s="37"/>
      <c r="G701" s="37"/>
      <c r="H701" s="28"/>
      <c r="I701" s="28"/>
      <c r="J701" s="28"/>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row>
    <row r="702" spans="1:33" ht="13.5" customHeight="1">
      <c r="A702" s="37"/>
      <c r="B702" s="37"/>
      <c r="C702" s="37"/>
      <c r="D702" s="38"/>
      <c r="E702" s="37"/>
      <c r="F702" s="37"/>
      <c r="G702" s="37"/>
      <c r="H702" s="28"/>
      <c r="I702" s="28"/>
      <c r="J702" s="28"/>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row>
    <row r="703" spans="1:33" ht="13.5" customHeight="1">
      <c r="A703" s="37"/>
      <c r="B703" s="37"/>
      <c r="C703" s="37"/>
      <c r="D703" s="38"/>
      <c r="E703" s="37"/>
      <c r="F703" s="37"/>
      <c r="G703" s="37"/>
      <c r="H703" s="28"/>
      <c r="I703" s="28"/>
      <c r="J703" s="28"/>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row>
    <row r="704" spans="1:33" ht="13.5" customHeight="1">
      <c r="A704" s="37"/>
      <c r="B704" s="37"/>
      <c r="C704" s="37"/>
      <c r="D704" s="38"/>
      <c r="E704" s="37"/>
      <c r="F704" s="37"/>
      <c r="G704" s="37"/>
      <c r="H704" s="28"/>
      <c r="I704" s="28"/>
      <c r="J704" s="28"/>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row>
    <row r="705" spans="1:33" ht="13.5" customHeight="1">
      <c r="A705" s="37"/>
      <c r="B705" s="37"/>
      <c r="C705" s="37"/>
      <c r="D705" s="38"/>
      <c r="E705" s="37"/>
      <c r="F705" s="37"/>
      <c r="G705" s="37"/>
      <c r="H705" s="28"/>
      <c r="I705" s="28"/>
      <c r="J705" s="28"/>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row>
    <row r="706" spans="1:33" ht="13.5" customHeight="1">
      <c r="A706" s="37"/>
      <c r="B706" s="37"/>
      <c r="C706" s="37"/>
      <c r="D706" s="38"/>
      <c r="E706" s="37"/>
      <c r="F706" s="37"/>
      <c r="G706" s="37"/>
      <c r="H706" s="28"/>
      <c r="I706" s="28"/>
      <c r="J706" s="28"/>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row>
    <row r="707" spans="1:33" ht="13.5" customHeight="1">
      <c r="A707" s="37"/>
      <c r="B707" s="37"/>
      <c r="C707" s="37"/>
      <c r="D707" s="38"/>
      <c r="E707" s="37"/>
      <c r="F707" s="37"/>
      <c r="G707" s="37"/>
      <c r="H707" s="28"/>
      <c r="I707" s="28"/>
      <c r="J707" s="28"/>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row>
    <row r="708" spans="1:33" ht="13.5" customHeight="1">
      <c r="A708" s="37"/>
      <c r="B708" s="37"/>
      <c r="C708" s="37"/>
      <c r="D708" s="38"/>
      <c r="E708" s="37"/>
      <c r="F708" s="37"/>
      <c r="G708" s="37"/>
      <c r="H708" s="28"/>
      <c r="I708" s="28"/>
      <c r="J708" s="28"/>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row>
    <row r="709" spans="1:33" ht="13.5" customHeight="1">
      <c r="A709" s="37"/>
      <c r="B709" s="37"/>
      <c r="C709" s="37"/>
      <c r="D709" s="38"/>
      <c r="E709" s="37"/>
      <c r="F709" s="37"/>
      <c r="G709" s="37"/>
      <c r="H709" s="28"/>
      <c r="I709" s="28"/>
      <c r="J709" s="28"/>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row>
    <row r="710" spans="1:33" ht="13.5" customHeight="1">
      <c r="A710" s="37"/>
      <c r="B710" s="37"/>
      <c r="C710" s="37"/>
      <c r="D710" s="38"/>
      <c r="E710" s="37"/>
      <c r="F710" s="37"/>
      <c r="G710" s="37"/>
      <c r="H710" s="28"/>
      <c r="I710" s="28"/>
      <c r="J710" s="28"/>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row>
    <row r="711" spans="1:33" ht="13.5" customHeight="1">
      <c r="A711" s="37"/>
      <c r="B711" s="37"/>
      <c r="C711" s="37"/>
      <c r="D711" s="38"/>
      <c r="E711" s="37"/>
      <c r="F711" s="37"/>
      <c r="G711" s="37"/>
      <c r="H711" s="28"/>
      <c r="I711" s="28"/>
      <c r="J711" s="28"/>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row>
    <row r="712" spans="1:33" ht="13.5" customHeight="1">
      <c r="A712" s="37"/>
      <c r="B712" s="37"/>
      <c r="C712" s="37"/>
      <c r="D712" s="38"/>
      <c r="E712" s="37"/>
      <c r="F712" s="37"/>
      <c r="G712" s="37"/>
      <c r="H712" s="28"/>
      <c r="I712" s="28"/>
      <c r="J712" s="28"/>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row>
    <row r="713" spans="1:33" ht="13.5" customHeight="1">
      <c r="A713" s="37"/>
      <c r="B713" s="37"/>
      <c r="C713" s="37"/>
      <c r="D713" s="38"/>
      <c r="E713" s="37"/>
      <c r="F713" s="37"/>
      <c r="G713" s="37"/>
      <c r="H713" s="28"/>
      <c r="I713" s="28"/>
      <c r="J713" s="28"/>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row>
    <row r="714" spans="1:33" ht="13.5" customHeight="1">
      <c r="A714" s="37"/>
      <c r="B714" s="37"/>
      <c r="C714" s="37"/>
      <c r="D714" s="38"/>
      <c r="E714" s="37"/>
      <c r="F714" s="37"/>
      <c r="G714" s="37"/>
      <c r="H714" s="28"/>
      <c r="I714" s="28"/>
      <c r="J714" s="28"/>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row>
    <row r="715" spans="1:33" ht="13.5" customHeight="1">
      <c r="A715" s="37"/>
      <c r="B715" s="37"/>
      <c r="C715" s="37"/>
      <c r="D715" s="38"/>
      <c r="E715" s="37"/>
      <c r="F715" s="37"/>
      <c r="G715" s="37"/>
      <c r="H715" s="28"/>
      <c r="I715" s="28"/>
      <c r="J715" s="28"/>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row>
    <row r="716" spans="1:33" ht="13.5" customHeight="1">
      <c r="A716" s="37"/>
      <c r="B716" s="37"/>
      <c r="C716" s="37"/>
      <c r="D716" s="38"/>
      <c r="E716" s="37"/>
      <c r="F716" s="37"/>
      <c r="G716" s="37"/>
      <c r="H716" s="28"/>
      <c r="I716" s="28"/>
      <c r="J716" s="28"/>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row>
    <row r="717" spans="1:33" ht="13.5" customHeight="1">
      <c r="A717" s="37"/>
      <c r="B717" s="37"/>
      <c r="C717" s="37"/>
      <c r="D717" s="38"/>
      <c r="E717" s="37"/>
      <c r="F717" s="37"/>
      <c r="G717" s="37"/>
      <c r="H717" s="28"/>
      <c r="I717" s="28"/>
      <c r="J717" s="28"/>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row>
    <row r="718" spans="1:33" ht="13.5" customHeight="1">
      <c r="A718" s="37"/>
      <c r="B718" s="37"/>
      <c r="C718" s="37"/>
      <c r="D718" s="38"/>
      <c r="E718" s="37"/>
      <c r="F718" s="37"/>
      <c r="G718" s="37"/>
      <c r="H718" s="28"/>
      <c r="I718" s="28"/>
      <c r="J718" s="28"/>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row>
    <row r="719" spans="1:33" ht="13.5" customHeight="1">
      <c r="A719" s="37"/>
      <c r="B719" s="37"/>
      <c r="C719" s="37"/>
      <c r="D719" s="38"/>
      <c r="E719" s="37"/>
      <c r="F719" s="37"/>
      <c r="G719" s="37"/>
      <c r="H719" s="28"/>
      <c r="I719" s="28"/>
      <c r="J719" s="28"/>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row>
    <row r="720" spans="1:33" ht="13.5" customHeight="1">
      <c r="A720" s="37"/>
      <c r="B720" s="37"/>
      <c r="C720" s="37"/>
      <c r="D720" s="38"/>
      <c r="E720" s="37"/>
      <c r="F720" s="37"/>
      <c r="G720" s="37"/>
      <c r="H720" s="28"/>
      <c r="I720" s="28"/>
      <c r="J720" s="28"/>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row>
    <row r="721" spans="1:33" ht="13.5" customHeight="1">
      <c r="A721" s="37"/>
      <c r="B721" s="37"/>
      <c r="C721" s="37"/>
      <c r="D721" s="38"/>
      <c r="E721" s="37"/>
      <c r="F721" s="37"/>
      <c r="G721" s="37"/>
      <c r="H721" s="28"/>
      <c r="I721" s="28"/>
      <c r="J721" s="28"/>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row>
    <row r="722" spans="1:33" ht="13.5" customHeight="1">
      <c r="A722" s="37"/>
      <c r="B722" s="37"/>
      <c r="C722" s="37"/>
      <c r="D722" s="38"/>
      <c r="E722" s="37"/>
      <c r="F722" s="37"/>
      <c r="G722" s="37"/>
      <c r="H722" s="28"/>
      <c r="I722" s="28"/>
      <c r="J722" s="28"/>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row>
    <row r="723" spans="1:33" ht="13.5" customHeight="1">
      <c r="A723" s="37"/>
      <c r="B723" s="37"/>
      <c r="C723" s="37"/>
      <c r="D723" s="38"/>
      <c r="E723" s="37"/>
      <c r="F723" s="37"/>
      <c r="G723" s="37"/>
      <c r="H723" s="28"/>
      <c r="I723" s="28"/>
      <c r="J723" s="28"/>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row>
    <row r="724" spans="1:33" ht="13.5" customHeight="1">
      <c r="A724" s="37"/>
      <c r="B724" s="37"/>
      <c r="C724" s="37"/>
      <c r="D724" s="38"/>
      <c r="E724" s="37"/>
      <c r="F724" s="37"/>
      <c r="G724" s="37"/>
      <c r="H724" s="28"/>
      <c r="I724" s="28"/>
      <c r="J724" s="28"/>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row>
    <row r="725" spans="1:33" ht="13.5" customHeight="1">
      <c r="A725" s="37"/>
      <c r="B725" s="37"/>
      <c r="C725" s="37"/>
      <c r="D725" s="38"/>
      <c r="E725" s="37"/>
      <c r="F725" s="37"/>
      <c r="G725" s="37"/>
      <c r="H725" s="28"/>
      <c r="I725" s="28"/>
      <c r="J725" s="28"/>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row>
    <row r="726" spans="1:33" ht="13.5" customHeight="1">
      <c r="A726" s="37"/>
      <c r="B726" s="37"/>
      <c r="C726" s="37"/>
      <c r="D726" s="38"/>
      <c r="E726" s="37"/>
      <c r="F726" s="37"/>
      <c r="G726" s="37"/>
      <c r="H726" s="28"/>
      <c r="I726" s="28"/>
      <c r="J726" s="28"/>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row>
    <row r="727" spans="1:33" ht="13.5" customHeight="1">
      <c r="A727" s="37"/>
      <c r="B727" s="37"/>
      <c r="C727" s="37"/>
      <c r="D727" s="38"/>
      <c r="E727" s="37"/>
      <c r="F727" s="37"/>
      <c r="G727" s="37"/>
      <c r="H727" s="28"/>
      <c r="I727" s="28"/>
      <c r="J727" s="28"/>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row>
    <row r="728" spans="1:33" ht="13.5" customHeight="1">
      <c r="A728" s="37"/>
      <c r="B728" s="37"/>
      <c r="C728" s="37"/>
      <c r="D728" s="38"/>
      <c r="E728" s="37"/>
      <c r="F728" s="37"/>
      <c r="G728" s="37"/>
      <c r="H728" s="28"/>
      <c r="I728" s="28"/>
      <c r="J728" s="28"/>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row>
    <row r="729" spans="1:33" ht="13.5" customHeight="1">
      <c r="A729" s="37"/>
      <c r="B729" s="37"/>
      <c r="C729" s="37"/>
      <c r="D729" s="38"/>
      <c r="E729" s="37"/>
      <c r="F729" s="37"/>
      <c r="G729" s="37"/>
      <c r="H729" s="28"/>
      <c r="I729" s="28"/>
      <c r="J729" s="28"/>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row>
    <row r="730" spans="1:33" ht="13.5" customHeight="1">
      <c r="A730" s="37"/>
      <c r="B730" s="37"/>
      <c r="C730" s="37"/>
      <c r="D730" s="38"/>
      <c r="E730" s="37"/>
      <c r="F730" s="37"/>
      <c r="G730" s="37"/>
      <c r="H730" s="28"/>
      <c r="I730" s="28"/>
      <c r="J730" s="28"/>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row>
    <row r="731" spans="1:33" ht="13.5" customHeight="1">
      <c r="A731" s="37"/>
      <c r="B731" s="37"/>
      <c r="C731" s="37"/>
      <c r="D731" s="38"/>
      <c r="E731" s="37"/>
      <c r="F731" s="37"/>
      <c r="G731" s="37"/>
      <c r="H731" s="28"/>
      <c r="I731" s="28"/>
      <c r="J731" s="28"/>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row>
    <row r="732" spans="1:33" ht="13.5" customHeight="1">
      <c r="A732" s="37"/>
      <c r="B732" s="37"/>
      <c r="C732" s="37"/>
      <c r="D732" s="38"/>
      <c r="E732" s="37"/>
      <c r="F732" s="37"/>
      <c r="G732" s="37"/>
      <c r="H732" s="28"/>
      <c r="I732" s="28"/>
      <c r="J732" s="28"/>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row>
    <row r="733" spans="1:33" ht="13.5" customHeight="1">
      <c r="A733" s="37"/>
      <c r="B733" s="37"/>
      <c r="C733" s="37"/>
      <c r="D733" s="38"/>
      <c r="E733" s="37"/>
      <c r="F733" s="37"/>
      <c r="G733" s="37"/>
      <c r="H733" s="28"/>
      <c r="I733" s="28"/>
      <c r="J733" s="28"/>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row>
    <row r="734" spans="1:33" ht="13.5" customHeight="1">
      <c r="A734" s="37"/>
      <c r="B734" s="37"/>
      <c r="C734" s="37"/>
      <c r="D734" s="38"/>
      <c r="E734" s="37"/>
      <c r="F734" s="37"/>
      <c r="G734" s="37"/>
      <c r="H734" s="28"/>
      <c r="I734" s="28"/>
      <c r="J734" s="28"/>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row>
    <row r="735" spans="1:33" ht="13.5" customHeight="1">
      <c r="A735" s="37"/>
      <c r="B735" s="37"/>
      <c r="C735" s="37"/>
      <c r="D735" s="38"/>
      <c r="E735" s="37"/>
      <c r="F735" s="37"/>
      <c r="G735" s="37"/>
      <c r="H735" s="28"/>
      <c r="I735" s="28"/>
      <c r="J735" s="28"/>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row>
    <row r="736" spans="1:33" ht="13.5" customHeight="1">
      <c r="A736" s="37"/>
      <c r="B736" s="37"/>
      <c r="C736" s="37"/>
      <c r="D736" s="38"/>
      <c r="E736" s="37"/>
      <c r="F736" s="37"/>
      <c r="G736" s="37"/>
      <c r="H736" s="28"/>
      <c r="I736" s="28"/>
      <c r="J736" s="28"/>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row>
    <row r="737" spans="1:33" ht="13.5" customHeight="1">
      <c r="A737" s="37"/>
      <c r="B737" s="37"/>
      <c r="C737" s="37"/>
      <c r="D737" s="38"/>
      <c r="E737" s="37"/>
      <c r="F737" s="37"/>
      <c r="G737" s="37"/>
      <c r="H737" s="28"/>
      <c r="I737" s="28"/>
      <c r="J737" s="28"/>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row>
    <row r="738" spans="1:33" ht="13.5" customHeight="1">
      <c r="A738" s="37"/>
      <c r="B738" s="37"/>
      <c r="C738" s="37"/>
      <c r="D738" s="38"/>
      <c r="E738" s="37"/>
      <c r="F738" s="37"/>
      <c r="G738" s="37"/>
      <c r="H738" s="28"/>
      <c r="I738" s="28"/>
      <c r="J738" s="28"/>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row>
    <row r="739" spans="1:33" ht="13.5" customHeight="1">
      <c r="A739" s="37"/>
      <c r="B739" s="37"/>
      <c r="C739" s="37"/>
      <c r="D739" s="38"/>
      <c r="E739" s="37"/>
      <c r="F739" s="37"/>
      <c r="G739" s="37"/>
      <c r="H739" s="28"/>
      <c r="I739" s="28"/>
      <c r="J739" s="28"/>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row>
    <row r="740" spans="1:33" ht="13.5" customHeight="1">
      <c r="A740" s="37"/>
      <c r="B740" s="37"/>
      <c r="C740" s="37"/>
      <c r="D740" s="38"/>
      <c r="E740" s="37"/>
      <c r="F740" s="37"/>
      <c r="G740" s="37"/>
      <c r="H740" s="28"/>
      <c r="I740" s="28"/>
      <c r="J740" s="28"/>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row>
    <row r="741" spans="1:33" ht="13.5" customHeight="1">
      <c r="A741" s="37"/>
      <c r="B741" s="37"/>
      <c r="C741" s="37"/>
      <c r="D741" s="38"/>
      <c r="E741" s="37"/>
      <c r="F741" s="37"/>
      <c r="G741" s="37"/>
      <c r="H741" s="28"/>
      <c r="I741" s="28"/>
      <c r="J741" s="28"/>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row>
    <row r="742" spans="1:33" ht="13.5" customHeight="1">
      <c r="A742" s="37"/>
      <c r="B742" s="37"/>
      <c r="C742" s="37"/>
      <c r="D742" s="38"/>
      <c r="E742" s="37"/>
      <c r="F742" s="37"/>
      <c r="G742" s="37"/>
      <c r="H742" s="28"/>
      <c r="I742" s="28"/>
      <c r="J742" s="28"/>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row>
    <row r="743" spans="1:33" ht="13.5" customHeight="1">
      <c r="A743" s="37"/>
      <c r="B743" s="37"/>
      <c r="C743" s="37"/>
      <c r="D743" s="38"/>
      <c r="E743" s="37"/>
      <c r="F743" s="37"/>
      <c r="G743" s="37"/>
      <c r="H743" s="28"/>
      <c r="I743" s="28"/>
      <c r="J743" s="28"/>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row>
    <row r="744" spans="1:33" ht="13.5" customHeight="1">
      <c r="A744" s="37"/>
      <c r="B744" s="37"/>
      <c r="C744" s="37"/>
      <c r="D744" s="38"/>
      <c r="E744" s="37"/>
      <c r="F744" s="37"/>
      <c r="G744" s="37"/>
      <c r="H744" s="28"/>
      <c r="I744" s="28"/>
      <c r="J744" s="28"/>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row>
    <row r="745" spans="1:33" ht="13.5" customHeight="1">
      <c r="A745" s="37"/>
      <c r="B745" s="37"/>
      <c r="C745" s="37"/>
      <c r="D745" s="38"/>
      <c r="E745" s="37"/>
      <c r="F745" s="37"/>
      <c r="G745" s="37"/>
      <c r="H745" s="28"/>
      <c r="I745" s="28"/>
      <c r="J745" s="28"/>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row>
    <row r="746" spans="1:33" ht="13.5" customHeight="1">
      <c r="A746" s="37"/>
      <c r="B746" s="37"/>
      <c r="C746" s="37"/>
      <c r="D746" s="38"/>
      <c r="E746" s="37"/>
      <c r="F746" s="37"/>
      <c r="G746" s="37"/>
      <c r="H746" s="28"/>
      <c r="I746" s="28"/>
      <c r="J746" s="28"/>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row>
    <row r="747" spans="1:33" ht="13.5" customHeight="1">
      <c r="A747" s="37"/>
      <c r="B747" s="37"/>
      <c r="C747" s="37"/>
      <c r="D747" s="38"/>
      <c r="E747" s="37"/>
      <c r="F747" s="37"/>
      <c r="G747" s="37"/>
      <c r="H747" s="28"/>
      <c r="I747" s="28"/>
      <c r="J747" s="28"/>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row>
    <row r="748" spans="1:33" ht="13.5" customHeight="1">
      <c r="A748" s="37"/>
      <c r="B748" s="37"/>
      <c r="C748" s="37"/>
      <c r="D748" s="38"/>
      <c r="E748" s="37"/>
      <c r="F748" s="37"/>
      <c r="G748" s="37"/>
      <c r="H748" s="28"/>
      <c r="I748" s="28"/>
      <c r="J748" s="28"/>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row>
    <row r="749" spans="1:33" ht="13.5" customHeight="1">
      <c r="A749" s="37"/>
      <c r="B749" s="37"/>
      <c r="C749" s="37"/>
      <c r="D749" s="38"/>
      <c r="E749" s="37"/>
      <c r="F749" s="37"/>
      <c r="G749" s="37"/>
      <c r="H749" s="28"/>
      <c r="I749" s="28"/>
      <c r="J749" s="28"/>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row>
    <row r="750" spans="1:33" ht="13.5" customHeight="1">
      <c r="A750" s="37"/>
      <c r="B750" s="37"/>
      <c r="C750" s="37"/>
      <c r="D750" s="38"/>
      <c r="E750" s="37"/>
      <c r="F750" s="37"/>
      <c r="G750" s="37"/>
      <c r="H750" s="28"/>
      <c r="I750" s="28"/>
      <c r="J750" s="28"/>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row>
    <row r="751" spans="1:33" ht="13.5" customHeight="1">
      <c r="A751" s="37"/>
      <c r="B751" s="37"/>
      <c r="C751" s="37"/>
      <c r="D751" s="38"/>
      <c r="E751" s="37"/>
      <c r="F751" s="37"/>
      <c r="G751" s="37"/>
      <c r="H751" s="28"/>
      <c r="I751" s="28"/>
      <c r="J751" s="28"/>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row>
    <row r="752" spans="1:33" ht="13.5" customHeight="1">
      <c r="A752" s="37"/>
      <c r="B752" s="37"/>
      <c r="C752" s="37"/>
      <c r="D752" s="38"/>
      <c r="E752" s="37"/>
      <c r="F752" s="37"/>
      <c r="G752" s="37"/>
      <c r="H752" s="28"/>
      <c r="I752" s="28"/>
      <c r="J752" s="28"/>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row>
    <row r="753" spans="1:33" ht="13.5" customHeight="1">
      <c r="A753" s="37"/>
      <c r="B753" s="37"/>
      <c r="C753" s="37"/>
      <c r="D753" s="38"/>
      <c r="E753" s="37"/>
      <c r="F753" s="37"/>
      <c r="G753" s="37"/>
      <c r="H753" s="28"/>
      <c r="I753" s="28"/>
      <c r="J753" s="28"/>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row>
    <row r="754" spans="1:33" ht="13.5" customHeight="1">
      <c r="A754" s="37"/>
      <c r="B754" s="37"/>
      <c r="C754" s="37"/>
      <c r="D754" s="38"/>
      <c r="E754" s="37"/>
      <c r="F754" s="37"/>
      <c r="G754" s="37"/>
      <c r="H754" s="28"/>
      <c r="I754" s="28"/>
      <c r="J754" s="28"/>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row>
    <row r="755" spans="1:33" ht="13.5" customHeight="1">
      <c r="A755" s="37"/>
      <c r="B755" s="37"/>
      <c r="C755" s="37"/>
      <c r="D755" s="38"/>
      <c r="E755" s="37"/>
      <c r="F755" s="37"/>
      <c r="G755" s="37"/>
      <c r="H755" s="28"/>
      <c r="I755" s="28"/>
      <c r="J755" s="28"/>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row>
    <row r="756" spans="1:33" ht="13.5" customHeight="1">
      <c r="A756" s="37"/>
      <c r="B756" s="37"/>
      <c r="C756" s="37"/>
      <c r="D756" s="38"/>
      <c r="E756" s="37"/>
      <c r="F756" s="37"/>
      <c r="G756" s="37"/>
      <c r="H756" s="28"/>
      <c r="I756" s="28"/>
      <c r="J756" s="28"/>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row>
    <row r="757" spans="1:33" ht="13.5" customHeight="1">
      <c r="A757" s="37"/>
      <c r="B757" s="37"/>
      <c r="C757" s="37"/>
      <c r="D757" s="38"/>
      <c r="E757" s="37"/>
      <c r="F757" s="37"/>
      <c r="G757" s="37"/>
      <c r="H757" s="28"/>
      <c r="I757" s="28"/>
      <c r="J757" s="28"/>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row>
    <row r="758" spans="1:33" ht="13.5" customHeight="1">
      <c r="A758" s="37"/>
      <c r="B758" s="37"/>
      <c r="C758" s="37"/>
      <c r="D758" s="38"/>
      <c r="E758" s="37"/>
      <c r="F758" s="37"/>
      <c r="G758" s="37"/>
      <c r="H758" s="28"/>
      <c r="I758" s="28"/>
      <c r="J758" s="28"/>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row>
    <row r="759" spans="1:33" ht="13.5" customHeight="1">
      <c r="A759" s="37"/>
      <c r="B759" s="37"/>
      <c r="C759" s="37"/>
      <c r="D759" s="38"/>
      <c r="E759" s="37"/>
      <c r="F759" s="37"/>
      <c r="G759" s="37"/>
      <c r="H759" s="28"/>
      <c r="I759" s="28"/>
      <c r="J759" s="28"/>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row>
    <row r="760" spans="1:33" ht="13.5" customHeight="1">
      <c r="A760" s="37"/>
      <c r="B760" s="37"/>
      <c r="C760" s="37"/>
      <c r="D760" s="38"/>
      <c r="E760" s="37"/>
      <c r="F760" s="37"/>
      <c r="G760" s="37"/>
      <c r="H760" s="28"/>
      <c r="I760" s="28"/>
      <c r="J760" s="28"/>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row>
    <row r="761" spans="1:33" ht="13.5" customHeight="1">
      <c r="A761" s="37"/>
      <c r="B761" s="37"/>
      <c r="C761" s="37"/>
      <c r="D761" s="38"/>
      <c r="E761" s="37"/>
      <c r="F761" s="37"/>
      <c r="G761" s="37"/>
      <c r="H761" s="28"/>
      <c r="I761" s="28"/>
      <c r="J761" s="28"/>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row>
    <row r="762" spans="1:33" ht="13.5" customHeight="1">
      <c r="A762" s="37"/>
      <c r="B762" s="37"/>
      <c r="C762" s="37"/>
      <c r="D762" s="38"/>
      <c r="E762" s="37"/>
      <c r="F762" s="37"/>
      <c r="G762" s="37"/>
      <c r="H762" s="28"/>
      <c r="I762" s="28"/>
      <c r="J762" s="28"/>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row>
    <row r="763" spans="1:33" ht="13.5" customHeight="1">
      <c r="A763" s="37"/>
      <c r="B763" s="37"/>
      <c r="C763" s="37"/>
      <c r="D763" s="38"/>
      <c r="E763" s="37"/>
      <c r="F763" s="37"/>
      <c r="G763" s="37"/>
      <c r="H763" s="28"/>
      <c r="I763" s="28"/>
      <c r="J763" s="28"/>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row>
    <row r="764" spans="1:33" ht="13.5" customHeight="1">
      <c r="A764" s="37"/>
      <c r="B764" s="37"/>
      <c r="C764" s="37"/>
      <c r="D764" s="38"/>
      <c r="E764" s="37"/>
      <c r="F764" s="37"/>
      <c r="G764" s="37"/>
      <c r="H764" s="28"/>
      <c r="I764" s="28"/>
      <c r="J764" s="28"/>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row>
    <row r="765" spans="1:33" ht="13.5" customHeight="1">
      <c r="A765" s="37"/>
      <c r="B765" s="37"/>
      <c r="C765" s="37"/>
      <c r="D765" s="38"/>
      <c r="E765" s="37"/>
      <c r="F765" s="37"/>
      <c r="G765" s="37"/>
      <c r="H765" s="28"/>
      <c r="I765" s="28"/>
      <c r="J765" s="28"/>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row>
    <row r="766" spans="1:33" ht="13.5" customHeight="1">
      <c r="A766" s="37"/>
      <c r="B766" s="37"/>
      <c r="C766" s="37"/>
      <c r="D766" s="38"/>
      <c r="E766" s="37"/>
      <c r="F766" s="37"/>
      <c r="G766" s="37"/>
      <c r="H766" s="28"/>
      <c r="I766" s="28"/>
      <c r="J766" s="28"/>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row>
    <row r="767" spans="1:33" ht="13.5" customHeight="1">
      <c r="A767" s="37"/>
      <c r="B767" s="37"/>
      <c r="C767" s="37"/>
      <c r="D767" s="38"/>
      <c r="E767" s="37"/>
      <c r="F767" s="37"/>
      <c r="G767" s="37"/>
      <c r="H767" s="28"/>
      <c r="I767" s="28"/>
      <c r="J767" s="28"/>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row>
    <row r="768" spans="1:33" ht="13.5" customHeight="1">
      <c r="A768" s="37"/>
      <c r="B768" s="37"/>
      <c r="C768" s="37"/>
      <c r="D768" s="38"/>
      <c r="E768" s="37"/>
      <c r="F768" s="37"/>
      <c r="G768" s="37"/>
      <c r="H768" s="28"/>
      <c r="I768" s="28"/>
      <c r="J768" s="28"/>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row>
    <row r="769" spans="1:33" ht="13.5" customHeight="1">
      <c r="A769" s="37"/>
      <c r="B769" s="37"/>
      <c r="C769" s="37"/>
      <c r="D769" s="38"/>
      <c r="E769" s="37"/>
      <c r="F769" s="37"/>
      <c r="G769" s="37"/>
      <c r="H769" s="28"/>
      <c r="I769" s="28"/>
      <c r="J769" s="28"/>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row>
    <row r="770" spans="1:33" ht="13.5" customHeight="1">
      <c r="A770" s="37"/>
      <c r="B770" s="37"/>
      <c r="C770" s="37"/>
      <c r="D770" s="38"/>
      <c r="E770" s="37"/>
      <c r="F770" s="37"/>
      <c r="G770" s="37"/>
      <c r="H770" s="28"/>
      <c r="I770" s="28"/>
      <c r="J770" s="28"/>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row>
    <row r="771" spans="1:33" ht="13.5" customHeight="1">
      <c r="A771" s="37"/>
      <c r="B771" s="37"/>
      <c r="C771" s="37"/>
      <c r="D771" s="38"/>
      <c r="E771" s="37"/>
      <c r="F771" s="37"/>
      <c r="G771" s="37"/>
      <c r="H771" s="28"/>
      <c r="I771" s="28"/>
      <c r="J771" s="28"/>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row>
    <row r="772" spans="1:33" ht="13.5" customHeight="1">
      <c r="A772" s="37"/>
      <c r="B772" s="37"/>
      <c r="C772" s="37"/>
      <c r="D772" s="38"/>
      <c r="E772" s="37"/>
      <c r="F772" s="37"/>
      <c r="G772" s="37"/>
      <c r="H772" s="28"/>
      <c r="I772" s="28"/>
      <c r="J772" s="28"/>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row>
    <row r="773" spans="1:33" ht="13.5" customHeight="1">
      <c r="A773" s="37"/>
      <c r="B773" s="37"/>
      <c r="C773" s="37"/>
      <c r="D773" s="38"/>
      <c r="E773" s="37"/>
      <c r="F773" s="37"/>
      <c r="G773" s="37"/>
      <c r="H773" s="28"/>
      <c r="I773" s="28"/>
      <c r="J773" s="28"/>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row>
    <row r="774" spans="1:33" ht="13.5" customHeight="1">
      <c r="A774" s="37"/>
      <c r="B774" s="37"/>
      <c r="C774" s="37"/>
      <c r="D774" s="38"/>
      <c r="E774" s="37"/>
      <c r="F774" s="37"/>
      <c r="G774" s="37"/>
      <c r="H774" s="28"/>
      <c r="I774" s="28"/>
      <c r="J774" s="28"/>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row>
    <row r="775" spans="1:33" ht="13.5" customHeight="1">
      <c r="A775" s="37"/>
      <c r="B775" s="37"/>
      <c r="C775" s="37"/>
      <c r="D775" s="38"/>
      <c r="E775" s="37"/>
      <c r="F775" s="37"/>
      <c r="G775" s="37"/>
      <c r="H775" s="28"/>
      <c r="I775" s="28"/>
      <c r="J775" s="28"/>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row>
    <row r="776" spans="1:33" ht="13.5" customHeight="1">
      <c r="A776" s="37"/>
      <c r="B776" s="37"/>
      <c r="C776" s="37"/>
      <c r="D776" s="38"/>
      <c r="E776" s="37"/>
      <c r="F776" s="37"/>
      <c r="G776" s="37"/>
      <c r="H776" s="28"/>
      <c r="I776" s="28"/>
      <c r="J776" s="28"/>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row>
    <row r="777" spans="1:33" ht="13.5" customHeight="1">
      <c r="A777" s="37"/>
      <c r="B777" s="37"/>
      <c r="C777" s="37"/>
      <c r="D777" s="38"/>
      <c r="E777" s="37"/>
      <c r="F777" s="37"/>
      <c r="G777" s="37"/>
      <c r="H777" s="28"/>
      <c r="I777" s="28"/>
      <c r="J777" s="28"/>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row>
    <row r="778" spans="1:33" ht="13.5" customHeight="1">
      <c r="A778" s="37"/>
      <c r="B778" s="37"/>
      <c r="C778" s="37"/>
      <c r="D778" s="38"/>
      <c r="E778" s="37"/>
      <c r="F778" s="37"/>
      <c r="G778" s="37"/>
      <c r="H778" s="28"/>
      <c r="I778" s="28"/>
      <c r="J778" s="28"/>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row>
    <row r="779" spans="1:33" ht="13.5" customHeight="1">
      <c r="A779" s="37"/>
      <c r="B779" s="37"/>
      <c r="C779" s="37"/>
      <c r="D779" s="38"/>
      <c r="E779" s="37"/>
      <c r="F779" s="37"/>
      <c r="G779" s="37"/>
      <c r="H779" s="28"/>
      <c r="I779" s="28"/>
      <c r="J779" s="28"/>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row>
    <row r="780" spans="1:33" ht="13.5" customHeight="1">
      <c r="A780" s="37"/>
      <c r="B780" s="37"/>
      <c r="C780" s="37"/>
      <c r="D780" s="38"/>
      <c r="E780" s="37"/>
      <c r="F780" s="37"/>
      <c r="G780" s="37"/>
      <c r="H780" s="28"/>
      <c r="I780" s="28"/>
      <c r="J780" s="28"/>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row>
    <row r="781" spans="1:33" ht="13.5" customHeight="1">
      <c r="A781" s="37"/>
      <c r="B781" s="37"/>
      <c r="C781" s="37"/>
      <c r="D781" s="38"/>
      <c r="E781" s="37"/>
      <c r="F781" s="37"/>
      <c r="G781" s="37"/>
      <c r="H781" s="28"/>
      <c r="I781" s="28"/>
      <c r="J781" s="28"/>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row>
    <row r="782" spans="1:33" ht="13.5" customHeight="1">
      <c r="A782" s="37"/>
      <c r="B782" s="37"/>
      <c r="C782" s="37"/>
      <c r="D782" s="38"/>
      <c r="E782" s="37"/>
      <c r="F782" s="37"/>
      <c r="G782" s="37"/>
      <c r="H782" s="28"/>
      <c r="I782" s="28"/>
      <c r="J782" s="28"/>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row>
    <row r="783" spans="1:33" ht="13.5" customHeight="1">
      <c r="A783" s="37"/>
      <c r="B783" s="37"/>
      <c r="C783" s="37"/>
      <c r="D783" s="38"/>
      <c r="E783" s="37"/>
      <c r="F783" s="37"/>
      <c r="G783" s="37"/>
      <c r="H783" s="28"/>
      <c r="I783" s="28"/>
      <c r="J783" s="28"/>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row>
    <row r="784" spans="1:33" ht="13.5" customHeight="1">
      <c r="A784" s="37"/>
      <c r="B784" s="37"/>
      <c r="C784" s="37"/>
      <c r="D784" s="38"/>
      <c r="E784" s="37"/>
      <c r="F784" s="37"/>
      <c r="G784" s="37"/>
      <c r="H784" s="28"/>
      <c r="I784" s="28"/>
      <c r="J784" s="28"/>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row>
    <row r="785" spans="1:33" ht="13.5" customHeight="1">
      <c r="A785" s="37"/>
      <c r="B785" s="37"/>
      <c r="C785" s="37"/>
      <c r="D785" s="38"/>
      <c r="E785" s="37"/>
      <c r="F785" s="37"/>
      <c r="G785" s="37"/>
      <c r="H785" s="28"/>
      <c r="I785" s="28"/>
      <c r="J785" s="28"/>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row>
    <row r="786" spans="1:33" ht="13.5" customHeight="1">
      <c r="A786" s="37"/>
      <c r="B786" s="37"/>
      <c r="C786" s="37"/>
      <c r="D786" s="38"/>
      <c r="E786" s="37"/>
      <c r="F786" s="37"/>
      <c r="G786" s="37"/>
      <c r="H786" s="28"/>
      <c r="I786" s="28"/>
      <c r="J786" s="28"/>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row>
    <row r="787" spans="1:33" ht="13.5" customHeight="1">
      <c r="A787" s="37"/>
      <c r="B787" s="37"/>
      <c r="C787" s="37"/>
      <c r="D787" s="38"/>
      <c r="E787" s="37"/>
      <c r="F787" s="37"/>
      <c r="G787" s="37"/>
      <c r="H787" s="28"/>
      <c r="I787" s="28"/>
      <c r="J787" s="28"/>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row>
    <row r="788" spans="1:33" ht="13.5" customHeight="1">
      <c r="A788" s="37"/>
      <c r="B788" s="37"/>
      <c r="C788" s="37"/>
      <c r="D788" s="38"/>
      <c r="E788" s="37"/>
      <c r="F788" s="37"/>
      <c r="G788" s="37"/>
      <c r="H788" s="28"/>
      <c r="I788" s="28"/>
      <c r="J788" s="28"/>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row>
    <row r="789" spans="1:33" ht="13.5" customHeight="1">
      <c r="A789" s="37"/>
      <c r="B789" s="37"/>
      <c r="C789" s="37"/>
      <c r="D789" s="38"/>
      <c r="E789" s="37"/>
      <c r="F789" s="37"/>
      <c r="G789" s="37"/>
      <c r="H789" s="28"/>
      <c r="I789" s="28"/>
      <c r="J789" s="28"/>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row>
    <row r="790" spans="1:33" ht="13.5" customHeight="1">
      <c r="A790" s="37"/>
      <c r="B790" s="37"/>
      <c r="C790" s="37"/>
      <c r="D790" s="38"/>
      <c r="E790" s="37"/>
      <c r="F790" s="37"/>
      <c r="G790" s="37"/>
      <c r="H790" s="28"/>
      <c r="I790" s="28"/>
      <c r="J790" s="28"/>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row>
    <row r="791" spans="1:33" ht="13.5" customHeight="1">
      <c r="A791" s="37"/>
      <c r="B791" s="37"/>
      <c r="C791" s="37"/>
      <c r="D791" s="38"/>
      <c r="E791" s="37"/>
      <c r="F791" s="37"/>
      <c r="G791" s="37"/>
      <c r="H791" s="28"/>
      <c r="I791" s="28"/>
      <c r="J791" s="28"/>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row>
    <row r="792" spans="1:33" ht="13.5" customHeight="1">
      <c r="A792" s="37"/>
      <c r="B792" s="37"/>
      <c r="C792" s="37"/>
      <c r="D792" s="38"/>
      <c r="E792" s="37"/>
      <c r="F792" s="37"/>
      <c r="G792" s="37"/>
      <c r="H792" s="28"/>
      <c r="I792" s="28"/>
      <c r="J792" s="28"/>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row>
    <row r="793" spans="1:33" ht="13.5" customHeight="1">
      <c r="A793" s="37"/>
      <c r="B793" s="37"/>
      <c r="C793" s="37"/>
      <c r="D793" s="38"/>
      <c r="E793" s="37"/>
      <c r="F793" s="37"/>
      <c r="G793" s="37"/>
      <c r="H793" s="28"/>
      <c r="I793" s="28"/>
      <c r="J793" s="28"/>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row>
    <row r="794" spans="1:33" ht="13.5" customHeight="1">
      <c r="A794" s="37"/>
      <c r="B794" s="37"/>
      <c r="C794" s="37"/>
      <c r="D794" s="38"/>
      <c r="E794" s="37"/>
      <c r="F794" s="37"/>
      <c r="G794" s="37"/>
      <c r="H794" s="28"/>
      <c r="I794" s="28"/>
      <c r="J794" s="28"/>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row>
    <row r="795" spans="1:33" ht="13.5" customHeight="1">
      <c r="A795" s="37"/>
      <c r="B795" s="37"/>
      <c r="C795" s="37"/>
      <c r="D795" s="38"/>
      <c r="E795" s="37"/>
      <c r="F795" s="37"/>
      <c r="G795" s="37"/>
      <c r="H795" s="28"/>
      <c r="I795" s="28"/>
      <c r="J795" s="28"/>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row>
    <row r="796" spans="1:33" ht="13.5" customHeight="1">
      <c r="A796" s="37"/>
      <c r="B796" s="37"/>
      <c r="C796" s="37"/>
      <c r="D796" s="38"/>
      <c r="E796" s="37"/>
      <c r="F796" s="37"/>
      <c r="G796" s="37"/>
      <c r="H796" s="28"/>
      <c r="I796" s="28"/>
      <c r="J796" s="28"/>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row>
    <row r="797" spans="1:33" ht="13.5" customHeight="1">
      <c r="A797" s="37"/>
      <c r="B797" s="37"/>
      <c r="C797" s="37"/>
      <c r="D797" s="38"/>
      <c r="E797" s="37"/>
      <c r="F797" s="37"/>
      <c r="G797" s="37"/>
      <c r="H797" s="28"/>
      <c r="I797" s="28"/>
      <c r="J797" s="28"/>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row>
    <row r="798" spans="1:33" ht="13.5" customHeight="1">
      <c r="A798" s="37"/>
      <c r="B798" s="37"/>
      <c r="C798" s="37"/>
      <c r="D798" s="38"/>
      <c r="E798" s="37"/>
      <c r="F798" s="37"/>
      <c r="G798" s="37"/>
      <c r="H798" s="28"/>
      <c r="I798" s="28"/>
      <c r="J798" s="28"/>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row>
    <row r="799" spans="1:33" ht="13.5" customHeight="1">
      <c r="A799" s="37"/>
      <c r="B799" s="37"/>
      <c r="C799" s="37"/>
      <c r="D799" s="38"/>
      <c r="E799" s="37"/>
      <c r="F799" s="37"/>
      <c r="G799" s="37"/>
      <c r="H799" s="28"/>
      <c r="I799" s="28"/>
      <c r="J799" s="28"/>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row>
    <row r="800" spans="1:33" ht="13.5" customHeight="1">
      <c r="A800" s="37"/>
      <c r="B800" s="37"/>
      <c r="C800" s="37"/>
      <c r="D800" s="38"/>
      <c r="E800" s="37"/>
      <c r="F800" s="37"/>
      <c r="G800" s="37"/>
      <c r="H800" s="28"/>
      <c r="I800" s="28"/>
      <c r="J800" s="28"/>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row>
    <row r="801" spans="1:33" ht="13.5" customHeight="1">
      <c r="A801" s="37"/>
      <c r="B801" s="37"/>
      <c r="C801" s="37"/>
      <c r="D801" s="38"/>
      <c r="E801" s="37"/>
      <c r="F801" s="37"/>
      <c r="G801" s="37"/>
      <c r="H801" s="28"/>
      <c r="I801" s="28"/>
      <c r="J801" s="28"/>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row>
    <row r="802" spans="1:33" ht="13.5" customHeight="1">
      <c r="A802" s="37"/>
      <c r="B802" s="37"/>
      <c r="C802" s="37"/>
      <c r="D802" s="38"/>
      <c r="E802" s="37"/>
      <c r="F802" s="37"/>
      <c r="G802" s="37"/>
      <c r="H802" s="28"/>
      <c r="I802" s="28"/>
      <c r="J802" s="28"/>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row>
    <row r="803" spans="1:33" ht="13.5" customHeight="1">
      <c r="A803" s="37"/>
      <c r="B803" s="37"/>
      <c r="C803" s="37"/>
      <c r="D803" s="38"/>
      <c r="E803" s="37"/>
      <c r="F803" s="37"/>
      <c r="G803" s="37"/>
      <c r="H803" s="28"/>
      <c r="I803" s="28"/>
      <c r="J803" s="28"/>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row>
    <row r="804" spans="1:33" ht="13.5" customHeight="1">
      <c r="A804" s="37"/>
      <c r="B804" s="37"/>
      <c r="C804" s="37"/>
      <c r="D804" s="38"/>
      <c r="E804" s="37"/>
      <c r="F804" s="37"/>
      <c r="G804" s="37"/>
      <c r="H804" s="28"/>
      <c r="I804" s="28"/>
      <c r="J804" s="28"/>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row>
    <row r="805" spans="1:33" ht="13.5" customHeight="1">
      <c r="A805" s="37"/>
      <c r="B805" s="37"/>
      <c r="C805" s="37"/>
      <c r="D805" s="38"/>
      <c r="E805" s="37"/>
      <c r="F805" s="37"/>
      <c r="G805" s="37"/>
      <c r="H805" s="28"/>
      <c r="I805" s="28"/>
      <c r="J805" s="28"/>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row>
    <row r="806" spans="1:33" ht="13.5" customHeight="1">
      <c r="A806" s="37"/>
      <c r="B806" s="37"/>
      <c r="C806" s="37"/>
      <c r="D806" s="38"/>
      <c r="E806" s="37"/>
      <c r="F806" s="37"/>
      <c r="G806" s="37"/>
      <c r="H806" s="28"/>
      <c r="I806" s="28"/>
      <c r="J806" s="28"/>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row>
    <row r="807" spans="1:33" ht="13.5" customHeight="1">
      <c r="A807" s="37"/>
      <c r="B807" s="37"/>
      <c r="C807" s="37"/>
      <c r="D807" s="38"/>
      <c r="E807" s="37"/>
      <c r="F807" s="37"/>
      <c r="G807" s="37"/>
      <c r="H807" s="28"/>
      <c r="I807" s="28"/>
      <c r="J807" s="28"/>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row>
    <row r="808" spans="1:33" ht="13.5" customHeight="1">
      <c r="A808" s="37"/>
      <c r="B808" s="37"/>
      <c r="C808" s="37"/>
      <c r="D808" s="38"/>
      <c r="E808" s="37"/>
      <c r="F808" s="37"/>
      <c r="G808" s="37"/>
      <c r="H808" s="28"/>
      <c r="I808" s="28"/>
      <c r="J808" s="28"/>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row>
    <row r="809" spans="1:33" ht="13.5" customHeight="1">
      <c r="A809" s="37"/>
      <c r="B809" s="37"/>
      <c r="C809" s="37"/>
      <c r="D809" s="38"/>
      <c r="E809" s="37"/>
      <c r="F809" s="37"/>
      <c r="G809" s="37"/>
      <c r="H809" s="28"/>
      <c r="I809" s="28"/>
      <c r="J809" s="28"/>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row>
    <row r="810" spans="1:33" ht="13.5" customHeight="1">
      <c r="A810" s="37"/>
      <c r="B810" s="37"/>
      <c r="C810" s="37"/>
      <c r="D810" s="38"/>
      <c r="E810" s="37"/>
      <c r="F810" s="37"/>
      <c r="G810" s="37"/>
      <c r="H810" s="28"/>
      <c r="I810" s="28"/>
      <c r="J810" s="28"/>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row>
    <row r="811" spans="1:33" ht="13.5" customHeight="1">
      <c r="A811" s="37"/>
      <c r="B811" s="37"/>
      <c r="C811" s="37"/>
      <c r="D811" s="38"/>
      <c r="E811" s="37"/>
      <c r="F811" s="37"/>
      <c r="G811" s="37"/>
      <c r="H811" s="28"/>
      <c r="I811" s="28"/>
      <c r="J811" s="28"/>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row>
    <row r="812" spans="1:33" ht="13.5" customHeight="1">
      <c r="A812" s="37"/>
      <c r="B812" s="37"/>
      <c r="C812" s="37"/>
      <c r="D812" s="38"/>
      <c r="E812" s="37"/>
      <c r="F812" s="37"/>
      <c r="G812" s="37"/>
      <c r="H812" s="28"/>
      <c r="I812" s="28"/>
      <c r="J812" s="28"/>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row>
    <row r="813" spans="1:33" ht="13.5" customHeight="1">
      <c r="A813" s="37"/>
      <c r="B813" s="37"/>
      <c r="C813" s="37"/>
      <c r="D813" s="38"/>
      <c r="E813" s="37"/>
      <c r="F813" s="37"/>
      <c r="G813" s="37"/>
      <c r="H813" s="28"/>
      <c r="I813" s="28"/>
      <c r="J813" s="28"/>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row>
    <row r="814" spans="1:33" ht="13.5" customHeight="1">
      <c r="A814" s="37"/>
      <c r="B814" s="37"/>
      <c r="C814" s="37"/>
      <c r="D814" s="38"/>
      <c r="E814" s="37"/>
      <c r="F814" s="37"/>
      <c r="G814" s="37"/>
      <c r="H814" s="28"/>
      <c r="I814" s="28"/>
      <c r="J814" s="28"/>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row>
    <row r="815" spans="1:33" ht="13.5" customHeight="1">
      <c r="A815" s="37"/>
      <c r="B815" s="37"/>
      <c r="C815" s="37"/>
      <c r="D815" s="38"/>
      <c r="E815" s="37"/>
      <c r="F815" s="37"/>
      <c r="G815" s="37"/>
      <c r="H815" s="28"/>
      <c r="I815" s="28"/>
      <c r="J815" s="28"/>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row>
    <row r="816" spans="1:33" ht="13.5" customHeight="1">
      <c r="A816" s="37"/>
      <c r="B816" s="37"/>
      <c r="C816" s="37"/>
      <c r="D816" s="38"/>
      <c r="E816" s="37"/>
      <c r="F816" s="37"/>
      <c r="G816" s="37"/>
      <c r="H816" s="28"/>
      <c r="I816" s="28"/>
      <c r="J816" s="28"/>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row>
    <row r="817" spans="1:33" ht="13.5" customHeight="1">
      <c r="A817" s="37"/>
      <c r="B817" s="37"/>
      <c r="C817" s="37"/>
      <c r="D817" s="38"/>
      <c r="E817" s="37"/>
      <c r="F817" s="37"/>
      <c r="G817" s="37"/>
      <c r="H817" s="28"/>
      <c r="I817" s="28"/>
      <c r="J817" s="28"/>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row>
    <row r="818" spans="1:33" ht="13.5" customHeight="1">
      <c r="A818" s="37"/>
      <c r="B818" s="37"/>
      <c r="C818" s="37"/>
      <c r="D818" s="38"/>
      <c r="E818" s="37"/>
      <c r="F818" s="37"/>
      <c r="G818" s="37"/>
      <c r="H818" s="28"/>
      <c r="I818" s="28"/>
      <c r="J818" s="28"/>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row>
    <row r="819" spans="1:33" ht="13.5" customHeight="1">
      <c r="A819" s="37"/>
      <c r="B819" s="37"/>
      <c r="C819" s="37"/>
      <c r="D819" s="38"/>
      <c r="E819" s="37"/>
      <c r="F819" s="37"/>
      <c r="G819" s="37"/>
      <c r="H819" s="28"/>
      <c r="I819" s="28"/>
      <c r="J819" s="28"/>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row>
    <row r="820" spans="1:33" ht="13.5" customHeight="1">
      <c r="A820" s="37"/>
      <c r="B820" s="37"/>
      <c r="C820" s="37"/>
      <c r="D820" s="38"/>
      <c r="E820" s="37"/>
      <c r="F820" s="37"/>
      <c r="G820" s="37"/>
      <c r="H820" s="28"/>
      <c r="I820" s="28"/>
      <c r="J820" s="28"/>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row>
    <row r="821" spans="1:33" ht="13.5" customHeight="1">
      <c r="A821" s="37"/>
      <c r="B821" s="37"/>
      <c r="C821" s="37"/>
      <c r="D821" s="38"/>
      <c r="E821" s="37"/>
      <c r="F821" s="37"/>
      <c r="G821" s="37"/>
      <c r="H821" s="28"/>
      <c r="I821" s="28"/>
      <c r="J821" s="28"/>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row>
    <row r="822" spans="1:33" ht="13.5" customHeight="1">
      <c r="A822" s="37"/>
      <c r="B822" s="37"/>
      <c r="C822" s="37"/>
      <c r="D822" s="38"/>
      <c r="E822" s="37"/>
      <c r="F822" s="37"/>
      <c r="G822" s="37"/>
      <c r="H822" s="28"/>
      <c r="I822" s="28"/>
      <c r="J822" s="28"/>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row>
    <row r="823" spans="1:33" ht="13.5" customHeight="1">
      <c r="A823" s="37"/>
      <c r="B823" s="37"/>
      <c r="C823" s="37"/>
      <c r="D823" s="38"/>
      <c r="E823" s="37"/>
      <c r="F823" s="37"/>
      <c r="G823" s="37"/>
      <c r="H823" s="28"/>
      <c r="I823" s="28"/>
      <c r="J823" s="28"/>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row>
    <row r="824" spans="1:33" ht="13.5" customHeight="1">
      <c r="A824" s="37"/>
      <c r="B824" s="37"/>
      <c r="C824" s="37"/>
      <c r="D824" s="38"/>
      <c r="E824" s="37"/>
      <c r="F824" s="37"/>
      <c r="G824" s="37"/>
      <c r="H824" s="28"/>
      <c r="I824" s="28"/>
      <c r="J824" s="28"/>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row>
    <row r="825" spans="1:33" ht="13.5" customHeight="1">
      <c r="A825" s="37"/>
      <c r="B825" s="37"/>
      <c r="C825" s="37"/>
      <c r="D825" s="38"/>
      <c r="E825" s="37"/>
      <c r="F825" s="37"/>
      <c r="G825" s="37"/>
      <c r="H825" s="28"/>
      <c r="I825" s="28"/>
      <c r="J825" s="28"/>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row>
    <row r="826" spans="1:33" ht="13.5" customHeight="1">
      <c r="A826" s="37"/>
      <c r="B826" s="37"/>
      <c r="C826" s="37"/>
      <c r="D826" s="38"/>
      <c r="E826" s="37"/>
      <c r="F826" s="37"/>
      <c r="G826" s="37"/>
      <c r="H826" s="28"/>
      <c r="I826" s="28"/>
      <c r="J826" s="28"/>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row>
    <row r="827" spans="1:33" ht="13.5" customHeight="1">
      <c r="A827" s="37"/>
      <c r="B827" s="37"/>
      <c r="C827" s="37"/>
      <c r="D827" s="38"/>
      <c r="E827" s="37"/>
      <c r="F827" s="37"/>
      <c r="G827" s="37"/>
      <c r="H827" s="28"/>
      <c r="I827" s="28"/>
      <c r="J827" s="28"/>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row>
    <row r="828" spans="1:33" ht="13.5" customHeight="1">
      <c r="A828" s="37"/>
      <c r="B828" s="37"/>
      <c r="C828" s="37"/>
      <c r="D828" s="38"/>
      <c r="E828" s="37"/>
      <c r="F828" s="37"/>
      <c r="G828" s="37"/>
      <c r="H828" s="28"/>
      <c r="I828" s="28"/>
      <c r="J828" s="28"/>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row>
    <row r="829" spans="1:33" ht="13.5" customHeight="1">
      <c r="A829" s="37"/>
      <c r="B829" s="37"/>
      <c r="C829" s="37"/>
      <c r="D829" s="38"/>
      <c r="E829" s="37"/>
      <c r="F829" s="37"/>
      <c r="G829" s="37"/>
      <c r="H829" s="28"/>
      <c r="I829" s="28"/>
      <c r="J829" s="28"/>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row>
    <row r="830" spans="1:33" ht="13.5" customHeight="1">
      <c r="A830" s="37"/>
      <c r="B830" s="37"/>
      <c r="C830" s="37"/>
      <c r="D830" s="38"/>
      <c r="E830" s="37"/>
      <c r="F830" s="37"/>
      <c r="G830" s="37"/>
      <c r="H830" s="28"/>
      <c r="I830" s="28"/>
      <c r="J830" s="28"/>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row>
    <row r="831" spans="1:33" ht="13.5" customHeight="1">
      <c r="A831" s="37"/>
      <c r="B831" s="37"/>
      <c r="C831" s="37"/>
      <c r="D831" s="38"/>
      <c r="E831" s="37"/>
      <c r="F831" s="37"/>
      <c r="G831" s="37"/>
      <c r="H831" s="28"/>
      <c r="I831" s="28"/>
      <c r="J831" s="28"/>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row>
    <row r="832" spans="1:33" ht="13.5" customHeight="1">
      <c r="A832" s="37"/>
      <c r="B832" s="37"/>
      <c r="C832" s="37"/>
      <c r="D832" s="38"/>
      <c r="E832" s="37"/>
      <c r="F832" s="37"/>
      <c r="G832" s="37"/>
      <c r="H832" s="28"/>
      <c r="I832" s="28"/>
      <c r="J832" s="28"/>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row>
    <row r="833" spans="1:33" ht="13.5" customHeight="1">
      <c r="A833" s="37"/>
      <c r="B833" s="37"/>
      <c r="C833" s="37"/>
      <c r="D833" s="38"/>
      <c r="E833" s="37"/>
      <c r="F833" s="37"/>
      <c r="G833" s="37"/>
      <c r="H833" s="28"/>
      <c r="I833" s="28"/>
      <c r="J833" s="28"/>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row>
    <row r="834" spans="1:33" ht="13.5" customHeight="1">
      <c r="A834" s="37"/>
      <c r="B834" s="37"/>
      <c r="C834" s="37"/>
      <c r="D834" s="38"/>
      <c r="E834" s="37"/>
      <c r="F834" s="37"/>
      <c r="G834" s="37"/>
      <c r="H834" s="28"/>
      <c r="I834" s="28"/>
      <c r="J834" s="28"/>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row>
    <row r="835" spans="1:33" ht="13.5" customHeight="1">
      <c r="A835" s="37"/>
      <c r="B835" s="37"/>
      <c r="C835" s="37"/>
      <c r="D835" s="38"/>
      <c r="E835" s="37"/>
      <c r="F835" s="37"/>
      <c r="G835" s="37"/>
      <c r="H835" s="28"/>
      <c r="I835" s="28"/>
      <c r="J835" s="28"/>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row>
    <row r="836" spans="1:33" ht="13.5" customHeight="1">
      <c r="A836" s="37"/>
      <c r="B836" s="37"/>
      <c r="C836" s="37"/>
      <c r="D836" s="38"/>
      <c r="E836" s="37"/>
      <c r="F836" s="37"/>
      <c r="G836" s="37"/>
      <c r="H836" s="28"/>
      <c r="I836" s="28"/>
      <c r="J836" s="28"/>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row>
    <row r="837" spans="1:33" ht="13.5" customHeight="1">
      <c r="A837" s="37"/>
      <c r="B837" s="37"/>
      <c r="C837" s="37"/>
      <c r="D837" s="38"/>
      <c r="E837" s="37"/>
      <c r="F837" s="37"/>
      <c r="G837" s="37"/>
      <c r="H837" s="28"/>
      <c r="I837" s="28"/>
      <c r="J837" s="28"/>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row>
    <row r="838" spans="1:33" ht="13.5" customHeight="1">
      <c r="A838" s="37"/>
      <c r="B838" s="37"/>
      <c r="C838" s="37"/>
      <c r="D838" s="38"/>
      <c r="E838" s="37"/>
      <c r="F838" s="37"/>
      <c r="G838" s="37"/>
      <c r="H838" s="28"/>
      <c r="I838" s="28"/>
      <c r="J838" s="28"/>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row>
    <row r="839" spans="1:33" ht="13.5" customHeight="1">
      <c r="A839" s="37"/>
      <c r="B839" s="37"/>
      <c r="C839" s="37"/>
      <c r="D839" s="38"/>
      <c r="E839" s="37"/>
      <c r="F839" s="37"/>
      <c r="G839" s="37"/>
      <c r="H839" s="28"/>
      <c r="I839" s="28"/>
      <c r="J839" s="28"/>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row>
    <row r="840" spans="1:33" ht="13.5" customHeight="1">
      <c r="A840" s="37"/>
      <c r="B840" s="37"/>
      <c r="C840" s="37"/>
      <c r="D840" s="38"/>
      <c r="E840" s="37"/>
      <c r="F840" s="37"/>
      <c r="G840" s="37"/>
      <c r="H840" s="28"/>
      <c r="I840" s="28"/>
      <c r="J840" s="28"/>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row>
    <row r="841" spans="1:33" ht="13.5" customHeight="1">
      <c r="A841" s="37"/>
      <c r="B841" s="37"/>
      <c r="C841" s="37"/>
      <c r="D841" s="38"/>
      <c r="E841" s="37"/>
      <c r="F841" s="37"/>
      <c r="G841" s="37"/>
      <c r="H841" s="28"/>
      <c r="I841" s="28"/>
      <c r="J841" s="28"/>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row>
    <row r="842" spans="1:33" ht="13.5" customHeight="1">
      <c r="A842" s="37"/>
      <c r="B842" s="37"/>
      <c r="C842" s="37"/>
      <c r="D842" s="38"/>
      <c r="E842" s="37"/>
      <c r="F842" s="37"/>
      <c r="G842" s="37"/>
      <c r="H842" s="28"/>
      <c r="I842" s="28"/>
      <c r="J842" s="28"/>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row>
    <row r="843" spans="1:33" ht="13.5" customHeight="1">
      <c r="A843" s="37"/>
      <c r="B843" s="37"/>
      <c r="C843" s="37"/>
      <c r="D843" s="38"/>
      <c r="E843" s="37"/>
      <c r="F843" s="37"/>
      <c r="G843" s="37"/>
      <c r="H843" s="28"/>
      <c r="I843" s="28"/>
      <c r="J843" s="28"/>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row>
    <row r="844" spans="1:33" ht="13.5" customHeight="1">
      <c r="A844" s="37"/>
      <c r="B844" s="37"/>
      <c r="C844" s="37"/>
      <c r="D844" s="38"/>
      <c r="E844" s="37"/>
      <c r="F844" s="37"/>
      <c r="G844" s="37"/>
      <c r="H844" s="28"/>
      <c r="I844" s="28"/>
      <c r="J844" s="28"/>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row>
    <row r="845" spans="1:33" ht="13.5" customHeight="1">
      <c r="A845" s="37"/>
      <c r="B845" s="37"/>
      <c r="C845" s="37"/>
      <c r="D845" s="38"/>
      <c r="E845" s="37"/>
      <c r="F845" s="37"/>
      <c r="G845" s="37"/>
      <c r="H845" s="28"/>
      <c r="I845" s="28"/>
      <c r="J845" s="28"/>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row>
    <row r="846" spans="1:33" ht="13.5" customHeight="1">
      <c r="A846" s="37"/>
      <c r="B846" s="37"/>
      <c r="C846" s="37"/>
      <c r="D846" s="38"/>
      <c r="E846" s="37"/>
      <c r="F846" s="37"/>
      <c r="G846" s="37"/>
      <c r="H846" s="28"/>
      <c r="I846" s="28"/>
      <c r="J846" s="28"/>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row>
    <row r="847" spans="1:33" ht="13.5" customHeight="1">
      <c r="A847" s="37"/>
      <c r="B847" s="37"/>
      <c r="C847" s="37"/>
      <c r="D847" s="38"/>
      <c r="E847" s="37"/>
      <c r="F847" s="37"/>
      <c r="G847" s="37"/>
      <c r="H847" s="28"/>
      <c r="I847" s="28"/>
      <c r="J847" s="28"/>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row>
    <row r="848" spans="1:33" ht="13.5" customHeight="1">
      <c r="A848" s="37"/>
      <c r="B848" s="37"/>
      <c r="C848" s="37"/>
      <c r="D848" s="38"/>
      <c r="E848" s="37"/>
      <c r="F848" s="37"/>
      <c r="G848" s="37"/>
      <c r="H848" s="28"/>
      <c r="I848" s="28"/>
      <c r="J848" s="28"/>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row>
    <row r="849" spans="1:33" ht="13.5" customHeight="1">
      <c r="A849" s="37"/>
      <c r="B849" s="37"/>
      <c r="C849" s="37"/>
      <c r="D849" s="38"/>
      <c r="E849" s="37"/>
      <c r="F849" s="37"/>
      <c r="G849" s="37"/>
      <c r="H849" s="28"/>
      <c r="I849" s="28"/>
      <c r="J849" s="28"/>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row>
    <row r="850" spans="1:33" ht="13.5" customHeight="1">
      <c r="A850" s="37"/>
      <c r="B850" s="37"/>
      <c r="C850" s="37"/>
      <c r="D850" s="38"/>
      <c r="E850" s="37"/>
      <c r="F850" s="37"/>
      <c r="G850" s="37"/>
      <c r="H850" s="28"/>
      <c r="I850" s="28"/>
      <c r="J850" s="28"/>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row>
    <row r="851" spans="1:33" ht="13.5" customHeight="1">
      <c r="A851" s="37"/>
      <c r="B851" s="37"/>
      <c r="C851" s="37"/>
      <c r="D851" s="38"/>
      <c r="E851" s="37"/>
      <c r="F851" s="37"/>
      <c r="G851" s="37"/>
      <c r="H851" s="28"/>
      <c r="I851" s="28"/>
      <c r="J851" s="28"/>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row>
    <row r="852" spans="1:33" ht="13.5" customHeight="1">
      <c r="A852" s="37"/>
      <c r="B852" s="37"/>
      <c r="C852" s="37"/>
      <c r="D852" s="38"/>
      <c r="E852" s="37"/>
      <c r="F852" s="37"/>
      <c r="G852" s="37"/>
      <c r="H852" s="28"/>
      <c r="I852" s="28"/>
      <c r="J852" s="28"/>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row>
    <row r="853" spans="1:33" ht="13.5" customHeight="1">
      <c r="A853" s="37"/>
      <c r="B853" s="37"/>
      <c r="C853" s="37"/>
      <c r="D853" s="38"/>
      <c r="E853" s="37"/>
      <c r="F853" s="37"/>
      <c r="G853" s="37"/>
      <c r="H853" s="28"/>
      <c r="I853" s="28"/>
      <c r="J853" s="28"/>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row>
    <row r="854" spans="1:33" ht="13.5" customHeight="1">
      <c r="A854" s="37"/>
      <c r="B854" s="37"/>
      <c r="C854" s="37"/>
      <c r="D854" s="38"/>
      <c r="E854" s="37"/>
      <c r="F854" s="37"/>
      <c r="G854" s="37"/>
      <c r="H854" s="28"/>
      <c r="I854" s="28"/>
      <c r="J854" s="28"/>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row>
    <row r="855" spans="1:33" ht="13.5" customHeight="1">
      <c r="A855" s="37"/>
      <c r="B855" s="37"/>
      <c r="C855" s="37"/>
      <c r="D855" s="38"/>
      <c r="E855" s="37"/>
      <c r="F855" s="37"/>
      <c r="G855" s="37"/>
      <c r="H855" s="28"/>
      <c r="I855" s="28"/>
      <c r="J855" s="28"/>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row>
    <row r="856" spans="1:33" ht="13.5" customHeight="1">
      <c r="A856" s="37"/>
      <c r="B856" s="37"/>
      <c r="C856" s="37"/>
      <c r="D856" s="38"/>
      <c r="E856" s="37"/>
      <c r="F856" s="37"/>
      <c r="G856" s="37"/>
      <c r="H856" s="28"/>
      <c r="I856" s="28"/>
      <c r="J856" s="28"/>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row>
    <row r="857" spans="1:33" ht="13.5" customHeight="1">
      <c r="A857" s="37"/>
      <c r="B857" s="37"/>
      <c r="C857" s="37"/>
      <c r="D857" s="38"/>
      <c r="E857" s="37"/>
      <c r="F857" s="37"/>
      <c r="G857" s="37"/>
      <c r="H857" s="28"/>
      <c r="I857" s="28"/>
      <c r="J857" s="28"/>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row>
    <row r="858" spans="1:33" ht="13.5" customHeight="1">
      <c r="A858" s="37"/>
      <c r="B858" s="37"/>
      <c r="C858" s="37"/>
      <c r="D858" s="38"/>
      <c r="E858" s="37"/>
      <c r="F858" s="37"/>
      <c r="G858" s="37"/>
      <c r="H858" s="28"/>
      <c r="I858" s="28"/>
      <c r="J858" s="28"/>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row>
    <row r="859" spans="1:33" ht="13.5" customHeight="1">
      <c r="A859" s="37"/>
      <c r="B859" s="37"/>
      <c r="C859" s="37"/>
      <c r="D859" s="38"/>
      <c r="E859" s="37"/>
      <c r="F859" s="37"/>
      <c r="G859" s="37"/>
      <c r="H859" s="28"/>
      <c r="I859" s="28"/>
      <c r="J859" s="28"/>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row>
    <row r="860" spans="1:33" ht="13.5" customHeight="1">
      <c r="A860" s="37"/>
      <c r="B860" s="37"/>
      <c r="C860" s="37"/>
      <c r="D860" s="38"/>
      <c r="E860" s="37"/>
      <c r="F860" s="37"/>
      <c r="G860" s="37"/>
      <c r="H860" s="28"/>
      <c r="I860" s="28"/>
      <c r="J860" s="28"/>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row>
    <row r="861" spans="1:33" ht="13.5" customHeight="1">
      <c r="A861" s="37"/>
      <c r="B861" s="37"/>
      <c r="C861" s="37"/>
      <c r="D861" s="38"/>
      <c r="E861" s="37"/>
      <c r="F861" s="37"/>
      <c r="G861" s="37"/>
      <c r="H861" s="28"/>
      <c r="I861" s="28"/>
      <c r="J861" s="28"/>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row>
    <row r="862" spans="1:33" ht="13.5" customHeight="1">
      <c r="A862" s="37"/>
      <c r="B862" s="37"/>
      <c r="C862" s="37"/>
      <c r="D862" s="38"/>
      <c r="E862" s="37"/>
      <c r="F862" s="37"/>
      <c r="G862" s="37"/>
      <c r="H862" s="28"/>
      <c r="I862" s="28"/>
      <c r="J862" s="28"/>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row>
    <row r="863" spans="1:33" ht="13.5" customHeight="1">
      <c r="A863" s="37"/>
      <c r="B863" s="37"/>
      <c r="C863" s="37"/>
      <c r="D863" s="38"/>
      <c r="E863" s="37"/>
      <c r="F863" s="37"/>
      <c r="G863" s="37"/>
      <c r="H863" s="28"/>
      <c r="I863" s="28"/>
      <c r="J863" s="28"/>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row>
    <row r="864" spans="1:33" ht="13.5" customHeight="1">
      <c r="A864" s="37"/>
      <c r="B864" s="37"/>
      <c r="C864" s="37"/>
      <c r="D864" s="38"/>
      <c r="E864" s="37"/>
      <c r="F864" s="37"/>
      <c r="G864" s="37"/>
      <c r="H864" s="28"/>
      <c r="I864" s="28"/>
      <c r="J864" s="28"/>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row>
    <row r="865" spans="1:33" ht="13.5" customHeight="1">
      <c r="A865" s="37"/>
      <c r="B865" s="37"/>
      <c r="C865" s="37"/>
      <c r="D865" s="38"/>
      <c r="E865" s="37"/>
      <c r="F865" s="37"/>
      <c r="G865" s="37"/>
      <c r="H865" s="28"/>
      <c r="I865" s="28"/>
      <c r="J865" s="28"/>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row>
    <row r="866" spans="1:33" ht="13.5" customHeight="1">
      <c r="A866" s="37"/>
      <c r="B866" s="37"/>
      <c r="C866" s="37"/>
      <c r="D866" s="38"/>
      <c r="E866" s="37"/>
      <c r="F866" s="37"/>
      <c r="G866" s="37"/>
      <c r="H866" s="28"/>
      <c r="I866" s="28"/>
      <c r="J866" s="28"/>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row>
    <row r="867" spans="1:33" ht="13.5" customHeight="1">
      <c r="A867" s="37"/>
      <c r="B867" s="37"/>
      <c r="C867" s="37"/>
      <c r="D867" s="38"/>
      <c r="E867" s="37"/>
      <c r="F867" s="37"/>
      <c r="G867" s="37"/>
      <c r="H867" s="28"/>
      <c r="I867" s="28"/>
      <c r="J867" s="28"/>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row>
    <row r="868" spans="1:33" ht="13.5" customHeight="1">
      <c r="A868" s="37"/>
      <c r="B868" s="37"/>
      <c r="C868" s="37"/>
      <c r="D868" s="38"/>
      <c r="E868" s="37"/>
      <c r="F868" s="37"/>
      <c r="G868" s="37"/>
      <c r="H868" s="28"/>
      <c r="I868" s="28"/>
      <c r="J868" s="28"/>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row>
    <row r="869" spans="1:33" ht="13.5" customHeight="1">
      <c r="A869" s="37"/>
      <c r="B869" s="37"/>
      <c r="C869" s="37"/>
      <c r="D869" s="38"/>
      <c r="E869" s="37"/>
      <c r="F869" s="37"/>
      <c r="G869" s="37"/>
      <c r="H869" s="28"/>
      <c r="I869" s="28"/>
      <c r="J869" s="28"/>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row>
    <row r="870" spans="1:33" ht="13.5" customHeight="1">
      <c r="A870" s="37"/>
      <c r="B870" s="37"/>
      <c r="C870" s="37"/>
      <c r="D870" s="38"/>
      <c r="E870" s="37"/>
      <c r="F870" s="37"/>
      <c r="G870" s="37"/>
      <c r="H870" s="28"/>
      <c r="I870" s="28"/>
      <c r="J870" s="28"/>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row>
    <row r="871" spans="1:33" ht="13.5" customHeight="1">
      <c r="A871" s="37"/>
      <c r="B871" s="37"/>
      <c r="C871" s="37"/>
      <c r="D871" s="38"/>
      <c r="E871" s="37"/>
      <c r="F871" s="37"/>
      <c r="G871" s="37"/>
      <c r="H871" s="28"/>
      <c r="I871" s="28"/>
      <c r="J871" s="28"/>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row>
    <row r="872" spans="1:33" ht="13.5" customHeight="1">
      <c r="A872" s="37"/>
      <c r="B872" s="37"/>
      <c r="C872" s="37"/>
      <c r="D872" s="38"/>
      <c r="E872" s="37"/>
      <c r="F872" s="37"/>
      <c r="G872" s="37"/>
      <c r="H872" s="28"/>
      <c r="I872" s="28"/>
      <c r="J872" s="28"/>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row>
    <row r="873" spans="1:33" ht="13.5" customHeight="1">
      <c r="A873" s="37"/>
      <c r="B873" s="37"/>
      <c r="C873" s="37"/>
      <c r="D873" s="38"/>
      <c r="E873" s="37"/>
      <c r="F873" s="37"/>
      <c r="G873" s="37"/>
      <c r="H873" s="28"/>
      <c r="I873" s="28"/>
      <c r="J873" s="28"/>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row>
    <row r="874" spans="1:33" ht="13.5" customHeight="1">
      <c r="A874" s="37"/>
      <c r="B874" s="37"/>
      <c r="C874" s="37"/>
      <c r="D874" s="38"/>
      <c r="E874" s="37"/>
      <c r="F874" s="37"/>
      <c r="G874" s="37"/>
      <c r="H874" s="28"/>
      <c r="I874" s="28"/>
      <c r="J874" s="28"/>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row>
    <row r="875" spans="1:33" ht="13.5" customHeight="1">
      <c r="A875" s="37"/>
      <c r="B875" s="37"/>
      <c r="C875" s="37"/>
      <c r="D875" s="38"/>
      <c r="E875" s="37"/>
      <c r="F875" s="37"/>
      <c r="G875" s="37"/>
      <c r="H875" s="28"/>
      <c r="I875" s="28"/>
      <c r="J875" s="28"/>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row>
    <row r="876" spans="1:33" ht="13.5" customHeight="1">
      <c r="A876" s="37"/>
      <c r="B876" s="37"/>
      <c r="C876" s="37"/>
      <c r="D876" s="38"/>
      <c r="E876" s="37"/>
      <c r="F876" s="37"/>
      <c r="G876" s="37"/>
      <c r="H876" s="28"/>
      <c r="I876" s="28"/>
      <c r="J876" s="28"/>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row>
    <row r="877" spans="1:33" ht="13.5" customHeight="1">
      <c r="A877" s="37"/>
      <c r="B877" s="37"/>
      <c r="C877" s="37"/>
      <c r="D877" s="38"/>
      <c r="E877" s="37"/>
      <c r="F877" s="37"/>
      <c r="G877" s="37"/>
      <c r="H877" s="28"/>
      <c r="I877" s="28"/>
      <c r="J877" s="28"/>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row>
    <row r="878" spans="1:33" ht="13.5" customHeight="1">
      <c r="A878" s="37"/>
      <c r="B878" s="37"/>
      <c r="C878" s="37"/>
      <c r="D878" s="38"/>
      <c r="E878" s="37"/>
      <c r="F878" s="37"/>
      <c r="G878" s="37"/>
      <c r="H878" s="28"/>
      <c r="I878" s="28"/>
      <c r="J878" s="28"/>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row>
    <row r="879" spans="1:33" ht="13.5" customHeight="1">
      <c r="A879" s="37"/>
      <c r="B879" s="37"/>
      <c r="C879" s="37"/>
      <c r="D879" s="38"/>
      <c r="E879" s="37"/>
      <c r="F879" s="37"/>
      <c r="G879" s="37"/>
      <c r="H879" s="28"/>
      <c r="I879" s="28"/>
      <c r="J879" s="28"/>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row>
    <row r="880" spans="1:33" ht="13.5" customHeight="1">
      <c r="A880" s="37"/>
      <c r="B880" s="37"/>
      <c r="C880" s="37"/>
      <c r="D880" s="38"/>
      <c r="E880" s="37"/>
      <c r="F880" s="37"/>
      <c r="G880" s="37"/>
      <c r="H880" s="28"/>
      <c r="I880" s="28"/>
      <c r="J880" s="28"/>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row>
    <row r="881" spans="1:33" ht="13.5" customHeight="1">
      <c r="A881" s="37"/>
      <c r="B881" s="37"/>
      <c r="C881" s="37"/>
      <c r="D881" s="38"/>
      <c r="E881" s="37"/>
      <c r="F881" s="37"/>
      <c r="G881" s="37"/>
      <c r="H881" s="28"/>
      <c r="I881" s="28"/>
      <c r="J881" s="28"/>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row>
    <row r="882" spans="1:33" ht="13.5" customHeight="1">
      <c r="A882" s="37"/>
      <c r="B882" s="37"/>
      <c r="C882" s="37"/>
      <c r="D882" s="38"/>
      <c r="E882" s="37"/>
      <c r="F882" s="37"/>
      <c r="G882" s="37"/>
      <c r="H882" s="28"/>
      <c r="I882" s="28"/>
      <c r="J882" s="28"/>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row>
    <row r="883" spans="1:33" ht="13.5" customHeight="1">
      <c r="A883" s="37"/>
      <c r="B883" s="37"/>
      <c r="C883" s="37"/>
      <c r="D883" s="38"/>
      <c r="E883" s="37"/>
      <c r="F883" s="37"/>
      <c r="G883" s="37"/>
      <c r="H883" s="28"/>
      <c r="I883" s="28"/>
      <c r="J883" s="28"/>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row>
    <row r="884" spans="1:33" ht="13.5" customHeight="1">
      <c r="A884" s="37"/>
      <c r="B884" s="37"/>
      <c r="C884" s="37"/>
      <c r="D884" s="38"/>
      <c r="E884" s="37"/>
      <c r="F884" s="37"/>
      <c r="G884" s="37"/>
      <c r="H884" s="28"/>
      <c r="I884" s="28"/>
      <c r="J884" s="28"/>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row>
    <row r="885" spans="1:33" ht="13.5" customHeight="1">
      <c r="A885" s="37"/>
      <c r="B885" s="37"/>
      <c r="C885" s="37"/>
      <c r="D885" s="38"/>
      <c r="E885" s="37"/>
      <c r="F885" s="37"/>
      <c r="G885" s="37"/>
      <c r="H885" s="28"/>
      <c r="I885" s="28"/>
      <c r="J885" s="28"/>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row>
    <row r="886" spans="1:33" ht="13.5" customHeight="1">
      <c r="A886" s="37"/>
      <c r="B886" s="37"/>
      <c r="C886" s="37"/>
      <c r="D886" s="38"/>
      <c r="E886" s="37"/>
      <c r="F886" s="37"/>
      <c r="G886" s="37"/>
      <c r="H886" s="28"/>
      <c r="I886" s="28"/>
      <c r="J886" s="28"/>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row>
    <row r="887" spans="1:33" ht="13.5" customHeight="1">
      <c r="A887" s="37"/>
      <c r="B887" s="37"/>
      <c r="C887" s="37"/>
      <c r="D887" s="38"/>
      <c r="E887" s="37"/>
      <c r="F887" s="37"/>
      <c r="G887" s="37"/>
      <c r="H887" s="28"/>
      <c r="I887" s="28"/>
      <c r="J887" s="28"/>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row>
    <row r="888" spans="1:33" ht="13.5" customHeight="1">
      <c r="A888" s="37"/>
      <c r="B888" s="37"/>
      <c r="C888" s="37"/>
      <c r="D888" s="38"/>
      <c r="E888" s="37"/>
      <c r="F888" s="37"/>
      <c r="G888" s="37"/>
      <c r="H888" s="28"/>
      <c r="I888" s="28"/>
      <c r="J888" s="28"/>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row>
    <row r="889" spans="1:33" ht="13.5" customHeight="1">
      <c r="A889" s="37"/>
      <c r="B889" s="37"/>
      <c r="C889" s="37"/>
      <c r="D889" s="38"/>
      <c r="E889" s="37"/>
      <c r="F889" s="37"/>
      <c r="G889" s="37"/>
      <c r="H889" s="28"/>
      <c r="I889" s="28"/>
      <c r="J889" s="28"/>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row>
    <row r="890" spans="1:33" ht="13.5" customHeight="1">
      <c r="A890" s="37"/>
      <c r="B890" s="37"/>
      <c r="C890" s="37"/>
      <c r="D890" s="38"/>
      <c r="E890" s="37"/>
      <c r="F890" s="37"/>
      <c r="G890" s="37"/>
      <c r="H890" s="28"/>
      <c r="I890" s="28"/>
      <c r="J890" s="28"/>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row>
    <row r="891" spans="1:33" ht="13.5" customHeight="1">
      <c r="A891" s="37"/>
      <c r="B891" s="37"/>
      <c r="C891" s="37"/>
      <c r="D891" s="38"/>
      <c r="E891" s="37"/>
      <c r="F891" s="37"/>
      <c r="G891" s="37"/>
      <c r="H891" s="28"/>
      <c r="I891" s="28"/>
      <c r="J891" s="28"/>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row>
    <row r="892" spans="1:33" ht="13.5" customHeight="1">
      <c r="A892" s="37"/>
      <c r="B892" s="37"/>
      <c r="C892" s="37"/>
      <c r="D892" s="38"/>
      <c r="E892" s="37"/>
      <c r="F892" s="37"/>
      <c r="G892" s="37"/>
      <c r="H892" s="28"/>
      <c r="I892" s="28"/>
      <c r="J892" s="28"/>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row>
    <row r="893" spans="1:33" ht="13.5" customHeight="1">
      <c r="A893" s="37"/>
      <c r="B893" s="37"/>
      <c r="C893" s="37"/>
      <c r="D893" s="38"/>
      <c r="E893" s="37"/>
      <c r="F893" s="37"/>
      <c r="G893" s="37"/>
      <c r="H893" s="28"/>
      <c r="I893" s="28"/>
      <c r="J893" s="28"/>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row>
    <row r="894" spans="1:33" ht="13.5" customHeight="1">
      <c r="A894" s="37"/>
      <c r="B894" s="37"/>
      <c r="C894" s="37"/>
      <c r="D894" s="38"/>
      <c r="E894" s="37"/>
      <c r="F894" s="37"/>
      <c r="G894" s="37"/>
      <c r="H894" s="28"/>
      <c r="I894" s="28"/>
      <c r="J894" s="28"/>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row>
    <row r="895" spans="1:33" ht="13.5" customHeight="1">
      <c r="A895" s="37"/>
      <c r="B895" s="37"/>
      <c r="C895" s="37"/>
      <c r="D895" s="38"/>
      <c r="E895" s="37"/>
      <c r="F895" s="37"/>
      <c r="G895" s="37"/>
      <c r="H895" s="28"/>
      <c r="I895" s="28"/>
      <c r="J895" s="28"/>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row>
    <row r="896" spans="1:33" ht="13.5" customHeight="1">
      <c r="A896" s="37"/>
      <c r="B896" s="37"/>
      <c r="C896" s="37"/>
      <c r="D896" s="38"/>
      <c r="E896" s="37"/>
      <c r="F896" s="37"/>
      <c r="G896" s="37"/>
      <c r="H896" s="28"/>
      <c r="I896" s="28"/>
      <c r="J896" s="28"/>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row>
    <row r="897" spans="1:33" ht="13.5" customHeight="1">
      <c r="A897" s="37"/>
      <c r="B897" s="37"/>
      <c r="C897" s="37"/>
      <c r="D897" s="38"/>
      <c r="E897" s="37"/>
      <c r="F897" s="37"/>
      <c r="G897" s="37"/>
      <c r="H897" s="28"/>
      <c r="I897" s="28"/>
      <c r="J897" s="28"/>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row>
    <row r="898" spans="1:33" ht="13.5" customHeight="1">
      <c r="A898" s="37"/>
      <c r="B898" s="37"/>
      <c r="C898" s="37"/>
      <c r="D898" s="38"/>
      <c r="E898" s="37"/>
      <c r="F898" s="37"/>
      <c r="G898" s="37"/>
      <c r="H898" s="28"/>
      <c r="I898" s="28"/>
      <c r="J898" s="28"/>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row>
    <row r="899" spans="1:33" ht="13.5" customHeight="1">
      <c r="A899" s="37"/>
      <c r="B899" s="37"/>
      <c r="C899" s="37"/>
      <c r="D899" s="38"/>
      <c r="E899" s="37"/>
      <c r="F899" s="37"/>
      <c r="G899" s="37"/>
      <c r="H899" s="28"/>
      <c r="I899" s="28"/>
      <c r="J899" s="28"/>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row>
    <row r="900" spans="1:33" ht="13.5" customHeight="1">
      <c r="A900" s="37"/>
      <c r="B900" s="37"/>
      <c r="C900" s="37"/>
      <c r="D900" s="38"/>
      <c r="E900" s="37"/>
      <c r="F900" s="37"/>
      <c r="G900" s="37"/>
      <c r="H900" s="28"/>
      <c r="I900" s="28"/>
      <c r="J900" s="28"/>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row>
    <row r="901" spans="1:33" ht="13.5" customHeight="1">
      <c r="A901" s="37"/>
      <c r="B901" s="37"/>
      <c r="C901" s="37"/>
      <c r="D901" s="38"/>
      <c r="E901" s="37"/>
      <c r="F901" s="37"/>
      <c r="G901" s="37"/>
      <c r="H901" s="28"/>
      <c r="I901" s="28"/>
      <c r="J901" s="28"/>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row>
    <row r="902" spans="1:33" ht="13.5" customHeight="1">
      <c r="A902" s="37"/>
      <c r="B902" s="37"/>
      <c r="C902" s="37"/>
      <c r="D902" s="38"/>
      <c r="E902" s="37"/>
      <c r="F902" s="37"/>
      <c r="G902" s="37"/>
      <c r="H902" s="28"/>
      <c r="I902" s="28"/>
      <c r="J902" s="28"/>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row>
    <row r="903" spans="1:33" ht="13.5" customHeight="1">
      <c r="A903" s="37"/>
      <c r="B903" s="37"/>
      <c r="C903" s="37"/>
      <c r="D903" s="38"/>
      <c r="E903" s="37"/>
      <c r="F903" s="37"/>
      <c r="G903" s="37"/>
      <c r="H903" s="28"/>
      <c r="I903" s="28"/>
      <c r="J903" s="28"/>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row>
    <row r="904" spans="1:33" ht="13.5" customHeight="1">
      <c r="A904" s="37"/>
      <c r="B904" s="37"/>
      <c r="C904" s="37"/>
      <c r="D904" s="38"/>
      <c r="E904" s="37"/>
      <c r="F904" s="37"/>
      <c r="G904" s="37"/>
      <c r="H904" s="28"/>
      <c r="I904" s="28"/>
      <c r="J904" s="28"/>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row>
    <row r="905" spans="1:33" ht="13.5" customHeight="1">
      <c r="A905" s="37"/>
      <c r="B905" s="37"/>
      <c r="C905" s="37"/>
      <c r="D905" s="38"/>
      <c r="E905" s="37"/>
      <c r="F905" s="37"/>
      <c r="G905" s="37"/>
      <c r="H905" s="28"/>
      <c r="I905" s="28"/>
      <c r="J905" s="28"/>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row>
    <row r="906" spans="1:33" ht="13.5" customHeight="1">
      <c r="A906" s="37"/>
      <c r="B906" s="37"/>
      <c r="C906" s="37"/>
      <c r="D906" s="38"/>
      <c r="E906" s="37"/>
      <c r="F906" s="37"/>
      <c r="G906" s="37"/>
      <c r="H906" s="28"/>
      <c r="I906" s="28"/>
      <c r="J906" s="28"/>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row>
    <row r="907" spans="1:33" ht="13.5" customHeight="1">
      <c r="A907" s="37"/>
      <c r="B907" s="37"/>
      <c r="C907" s="37"/>
      <c r="D907" s="38"/>
      <c r="E907" s="37"/>
      <c r="F907" s="37"/>
      <c r="G907" s="37"/>
      <c r="H907" s="28"/>
      <c r="I907" s="28"/>
      <c r="J907" s="28"/>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row>
    <row r="908" spans="1:33" ht="13.5" customHeight="1">
      <c r="A908" s="37"/>
      <c r="B908" s="37"/>
      <c r="C908" s="37"/>
      <c r="D908" s="38"/>
      <c r="E908" s="37"/>
      <c r="F908" s="37"/>
      <c r="G908" s="37"/>
      <c r="H908" s="28"/>
      <c r="I908" s="28"/>
      <c r="J908" s="28"/>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row>
    <row r="909" spans="1:33" ht="13.5" customHeight="1">
      <c r="A909" s="37"/>
      <c r="B909" s="37"/>
      <c r="C909" s="37"/>
      <c r="D909" s="38"/>
      <c r="E909" s="37"/>
      <c r="F909" s="37"/>
      <c r="G909" s="37"/>
      <c r="H909" s="28"/>
      <c r="I909" s="28"/>
      <c r="J909" s="28"/>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row>
    <row r="910" spans="1:33" ht="13.5" customHeight="1">
      <c r="A910" s="37"/>
      <c r="B910" s="37"/>
      <c r="C910" s="37"/>
      <c r="D910" s="38"/>
      <c r="E910" s="37"/>
      <c r="F910" s="37"/>
      <c r="G910" s="37"/>
      <c r="H910" s="28"/>
      <c r="I910" s="28"/>
      <c r="J910" s="28"/>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row>
    <row r="911" spans="1:33" ht="13.5" customHeight="1">
      <c r="A911" s="37"/>
      <c r="B911" s="37"/>
      <c r="C911" s="37"/>
      <c r="D911" s="38"/>
      <c r="E911" s="37"/>
      <c r="F911" s="37"/>
      <c r="G911" s="37"/>
      <c r="H911" s="28"/>
      <c r="I911" s="28"/>
      <c r="J911" s="28"/>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row>
    <row r="912" spans="1:33" ht="13.5" customHeight="1">
      <c r="A912" s="37"/>
      <c r="B912" s="37"/>
      <c r="C912" s="37"/>
      <c r="D912" s="38"/>
      <c r="E912" s="37"/>
      <c r="F912" s="37"/>
      <c r="G912" s="37"/>
      <c r="H912" s="28"/>
      <c r="I912" s="28"/>
      <c r="J912" s="28"/>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row>
    <row r="913" spans="1:33" ht="13.5" customHeight="1">
      <c r="A913" s="37"/>
      <c r="B913" s="37"/>
      <c r="C913" s="37"/>
      <c r="D913" s="38"/>
      <c r="E913" s="37"/>
      <c r="F913" s="37"/>
      <c r="G913" s="37"/>
      <c r="H913" s="28"/>
      <c r="I913" s="28"/>
      <c r="J913" s="28"/>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row>
    <row r="914" spans="1:33" ht="13.5" customHeight="1">
      <c r="A914" s="37"/>
      <c r="B914" s="37"/>
      <c r="C914" s="37"/>
      <c r="D914" s="38"/>
      <c r="E914" s="37"/>
      <c r="F914" s="37"/>
      <c r="G914" s="37"/>
      <c r="H914" s="28"/>
      <c r="I914" s="28"/>
      <c r="J914" s="28"/>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row>
    <row r="915" spans="1:33" ht="13.5" customHeight="1">
      <c r="A915" s="37"/>
      <c r="B915" s="37"/>
      <c r="C915" s="37"/>
      <c r="D915" s="38"/>
      <c r="E915" s="37"/>
      <c r="F915" s="37"/>
      <c r="G915" s="37"/>
      <c r="H915" s="28"/>
      <c r="I915" s="28"/>
      <c r="J915" s="28"/>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row>
    <row r="916" spans="1:33" ht="13.5" customHeight="1">
      <c r="A916" s="37"/>
      <c r="B916" s="37"/>
      <c r="C916" s="37"/>
      <c r="D916" s="38"/>
      <c r="E916" s="37"/>
      <c r="F916" s="37"/>
      <c r="G916" s="37"/>
      <c r="H916" s="28"/>
      <c r="I916" s="28"/>
      <c r="J916" s="28"/>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row>
    <row r="917" spans="1:33" ht="13.5" customHeight="1">
      <c r="A917" s="37"/>
      <c r="B917" s="37"/>
      <c r="C917" s="37"/>
      <c r="D917" s="38"/>
      <c r="E917" s="37"/>
      <c r="F917" s="37"/>
      <c r="G917" s="37"/>
      <c r="H917" s="28"/>
      <c r="I917" s="28"/>
      <c r="J917" s="28"/>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row>
    <row r="918" spans="1:33" ht="13.5" customHeight="1">
      <c r="A918" s="37"/>
      <c r="B918" s="37"/>
      <c r="C918" s="37"/>
      <c r="D918" s="38"/>
      <c r="E918" s="37"/>
      <c r="F918" s="37"/>
      <c r="G918" s="37"/>
      <c r="H918" s="28"/>
      <c r="I918" s="28"/>
      <c r="J918" s="28"/>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row>
    <row r="919" spans="1:33" ht="13.5" customHeight="1">
      <c r="A919" s="37"/>
      <c r="B919" s="37"/>
      <c r="C919" s="37"/>
      <c r="D919" s="38"/>
      <c r="E919" s="37"/>
      <c r="F919" s="37"/>
      <c r="G919" s="37"/>
      <c r="H919" s="28"/>
      <c r="I919" s="28"/>
      <c r="J919" s="28"/>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row>
    <row r="920" spans="1:33" ht="13.5" customHeight="1">
      <c r="A920" s="37"/>
      <c r="B920" s="37"/>
      <c r="C920" s="37"/>
      <c r="D920" s="38"/>
      <c r="E920" s="37"/>
      <c r="F920" s="37"/>
      <c r="G920" s="37"/>
      <c r="H920" s="28"/>
      <c r="I920" s="28"/>
      <c r="J920" s="28"/>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row>
    <row r="921" spans="1:33" ht="13.5" customHeight="1">
      <c r="A921" s="37"/>
      <c r="B921" s="37"/>
      <c r="C921" s="37"/>
      <c r="D921" s="38"/>
      <c r="E921" s="37"/>
      <c r="F921" s="37"/>
      <c r="G921" s="37"/>
      <c r="H921" s="28"/>
      <c r="I921" s="28"/>
      <c r="J921" s="28"/>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row>
    <row r="922" spans="1:33" ht="13.5" customHeight="1">
      <c r="A922" s="37"/>
      <c r="B922" s="37"/>
      <c r="C922" s="37"/>
      <c r="D922" s="38"/>
      <c r="E922" s="37"/>
      <c r="F922" s="37"/>
      <c r="G922" s="37"/>
      <c r="H922" s="28"/>
      <c r="I922" s="28"/>
      <c r="J922" s="28"/>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row>
    <row r="923" spans="1:33" ht="13.5" customHeight="1">
      <c r="A923" s="37"/>
      <c r="B923" s="37"/>
      <c r="C923" s="37"/>
      <c r="D923" s="38"/>
      <c r="E923" s="37"/>
      <c r="F923" s="37"/>
      <c r="G923" s="37"/>
      <c r="H923" s="28"/>
      <c r="I923" s="28"/>
      <c r="J923" s="28"/>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row>
    <row r="924" spans="1:33" ht="13.5" customHeight="1">
      <c r="A924" s="37"/>
      <c r="B924" s="37"/>
      <c r="C924" s="37"/>
      <c r="D924" s="38"/>
      <c r="E924" s="37"/>
      <c r="F924" s="37"/>
      <c r="G924" s="37"/>
      <c r="H924" s="28"/>
      <c r="I924" s="28"/>
      <c r="J924" s="28"/>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row>
    <row r="925" spans="1:33" ht="13.5" customHeight="1">
      <c r="A925" s="37"/>
      <c r="B925" s="37"/>
      <c r="C925" s="37"/>
      <c r="D925" s="38"/>
      <c r="E925" s="37"/>
      <c r="F925" s="37"/>
      <c r="G925" s="37"/>
      <c r="H925" s="28"/>
      <c r="I925" s="28"/>
      <c r="J925" s="28"/>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row>
    <row r="926" spans="1:33" ht="13.5" customHeight="1">
      <c r="A926" s="37"/>
      <c r="B926" s="37"/>
      <c r="C926" s="37"/>
      <c r="D926" s="38"/>
      <c r="E926" s="37"/>
      <c r="F926" s="37"/>
      <c r="G926" s="37"/>
      <c r="H926" s="28"/>
      <c r="I926" s="28"/>
      <c r="J926" s="28"/>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row>
    <row r="927" spans="1:33" ht="13.5" customHeight="1">
      <c r="A927" s="37"/>
      <c r="B927" s="37"/>
      <c r="C927" s="37"/>
      <c r="D927" s="38"/>
      <c r="E927" s="37"/>
      <c r="F927" s="37"/>
      <c r="G927" s="37"/>
      <c r="H927" s="28"/>
      <c r="I927" s="28"/>
      <c r="J927" s="28"/>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row>
    <row r="928" spans="1:33" ht="13.5" customHeight="1">
      <c r="A928" s="37"/>
      <c r="B928" s="37"/>
      <c r="C928" s="37"/>
      <c r="D928" s="38"/>
      <c r="E928" s="37"/>
      <c r="F928" s="37"/>
      <c r="G928" s="37"/>
      <c r="H928" s="28"/>
      <c r="I928" s="28"/>
      <c r="J928" s="28"/>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row>
    <row r="929" spans="1:33" ht="13.5" customHeight="1">
      <c r="A929" s="37"/>
      <c r="B929" s="37"/>
      <c r="C929" s="37"/>
      <c r="D929" s="38"/>
      <c r="E929" s="37"/>
      <c r="F929" s="37"/>
      <c r="G929" s="37"/>
      <c r="H929" s="28"/>
      <c r="I929" s="28"/>
      <c r="J929" s="28"/>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row>
    <row r="930" spans="1:33" ht="13.5" customHeight="1">
      <c r="A930" s="37"/>
      <c r="B930" s="37"/>
      <c r="C930" s="37"/>
      <c r="D930" s="38"/>
      <c r="E930" s="37"/>
      <c r="F930" s="37"/>
      <c r="G930" s="37"/>
      <c r="H930" s="28"/>
      <c r="I930" s="28"/>
      <c r="J930" s="28"/>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row>
    <row r="931" spans="1:33" ht="13.5" customHeight="1">
      <c r="A931" s="37"/>
      <c r="B931" s="37"/>
      <c r="C931" s="37"/>
      <c r="D931" s="38"/>
      <c r="E931" s="37"/>
      <c r="F931" s="37"/>
      <c r="G931" s="37"/>
      <c r="H931" s="28"/>
      <c r="I931" s="28"/>
      <c r="J931" s="28"/>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row>
    <row r="932" spans="1:33" ht="13.5" customHeight="1">
      <c r="A932" s="37"/>
      <c r="B932" s="37"/>
      <c r="C932" s="37"/>
      <c r="D932" s="38"/>
      <c r="E932" s="37"/>
      <c r="F932" s="37"/>
      <c r="G932" s="37"/>
      <c r="H932" s="28"/>
      <c r="I932" s="28"/>
      <c r="J932" s="28"/>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row>
    <row r="933" spans="1:33" ht="13.5" customHeight="1">
      <c r="A933" s="37"/>
      <c r="B933" s="37"/>
      <c r="C933" s="37"/>
      <c r="D933" s="38"/>
      <c r="E933" s="37"/>
      <c r="F933" s="37"/>
      <c r="G933" s="37"/>
      <c r="H933" s="28"/>
      <c r="I933" s="28"/>
      <c r="J933" s="28"/>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row>
    <row r="934" spans="1:33" ht="13.5" customHeight="1">
      <c r="A934" s="37"/>
      <c r="B934" s="37"/>
      <c r="C934" s="37"/>
      <c r="D934" s="38"/>
      <c r="E934" s="37"/>
      <c r="F934" s="37"/>
      <c r="G934" s="37"/>
      <c r="H934" s="28"/>
      <c r="I934" s="28"/>
      <c r="J934" s="28"/>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row>
    <row r="935" spans="1:33" ht="13.5" customHeight="1">
      <c r="A935" s="37"/>
      <c r="B935" s="37"/>
      <c r="C935" s="37"/>
      <c r="D935" s="38"/>
      <c r="E935" s="37"/>
      <c r="F935" s="37"/>
      <c r="G935" s="37"/>
      <c r="H935" s="28"/>
      <c r="I935" s="28"/>
      <c r="J935" s="28"/>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row>
    <row r="936" spans="1:33" ht="13.5" customHeight="1">
      <c r="A936" s="37"/>
      <c r="B936" s="37"/>
      <c r="C936" s="37"/>
      <c r="D936" s="38"/>
      <c r="E936" s="37"/>
      <c r="F936" s="37"/>
      <c r="G936" s="37"/>
      <c r="H936" s="28"/>
      <c r="I936" s="28"/>
      <c r="J936" s="28"/>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row>
    <row r="937" spans="1:33" ht="13.5" customHeight="1">
      <c r="A937" s="37"/>
      <c r="B937" s="37"/>
      <c r="C937" s="37"/>
      <c r="D937" s="38"/>
      <c r="E937" s="37"/>
      <c r="F937" s="37"/>
      <c r="G937" s="37"/>
      <c r="H937" s="28"/>
      <c r="I937" s="28"/>
      <c r="J937" s="28"/>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row>
    <row r="938" spans="1:33" ht="13.5" customHeight="1">
      <c r="A938" s="37"/>
      <c r="B938" s="37"/>
      <c r="C938" s="37"/>
      <c r="D938" s="38"/>
      <c r="E938" s="37"/>
      <c r="F938" s="37"/>
      <c r="G938" s="37"/>
      <c r="H938" s="28"/>
      <c r="I938" s="28"/>
      <c r="J938" s="28"/>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row>
    <row r="939" spans="1:33" ht="13.5" customHeight="1">
      <c r="A939" s="37"/>
      <c r="B939" s="37"/>
      <c r="C939" s="37"/>
      <c r="D939" s="38"/>
      <c r="E939" s="37"/>
      <c r="F939" s="37"/>
      <c r="G939" s="37"/>
      <c r="H939" s="28"/>
      <c r="I939" s="28"/>
      <c r="J939" s="28"/>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row>
    <row r="940" spans="1:33" ht="13.5" customHeight="1">
      <c r="A940" s="37"/>
      <c r="B940" s="37"/>
      <c r="C940" s="37"/>
      <c r="D940" s="38"/>
      <c r="E940" s="37"/>
      <c r="F940" s="37"/>
      <c r="G940" s="37"/>
      <c r="H940" s="28"/>
      <c r="I940" s="28"/>
      <c r="J940" s="28"/>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row>
    <row r="941" spans="1:33" ht="13.5" customHeight="1">
      <c r="A941" s="37"/>
      <c r="B941" s="37"/>
      <c r="C941" s="37"/>
      <c r="D941" s="38"/>
      <c r="E941" s="37"/>
      <c r="F941" s="37"/>
      <c r="G941" s="37"/>
      <c r="H941" s="28"/>
      <c r="I941" s="28"/>
      <c r="J941" s="28"/>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row>
    <row r="942" spans="1:33" ht="13.5" customHeight="1">
      <c r="A942" s="37"/>
      <c r="B942" s="37"/>
      <c r="C942" s="37"/>
      <c r="D942" s="38"/>
      <c r="E942" s="37"/>
      <c r="F942" s="37"/>
      <c r="G942" s="37"/>
      <c r="H942" s="28"/>
      <c r="I942" s="28"/>
      <c r="J942" s="28"/>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row>
    <row r="943" spans="1:33" ht="13.5" customHeight="1">
      <c r="A943" s="37"/>
      <c r="B943" s="37"/>
      <c r="C943" s="37"/>
      <c r="D943" s="38"/>
      <c r="E943" s="37"/>
      <c r="F943" s="37"/>
      <c r="G943" s="37"/>
      <c r="H943" s="28"/>
      <c r="I943" s="28"/>
      <c r="J943" s="28"/>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row>
    <row r="944" spans="1:33" ht="13.5" customHeight="1">
      <c r="A944" s="37"/>
      <c r="B944" s="37"/>
      <c r="C944" s="37"/>
      <c r="D944" s="38"/>
      <c r="E944" s="37"/>
      <c r="F944" s="37"/>
      <c r="G944" s="37"/>
      <c r="H944" s="28"/>
      <c r="I944" s="28"/>
      <c r="J944" s="28"/>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row>
    <row r="945" spans="1:33" ht="13.5" customHeight="1">
      <c r="A945" s="37"/>
      <c r="B945" s="37"/>
      <c r="C945" s="37"/>
      <c r="D945" s="38"/>
      <c r="E945" s="37"/>
      <c r="F945" s="37"/>
      <c r="G945" s="37"/>
      <c r="H945" s="28"/>
      <c r="I945" s="28"/>
      <c r="J945" s="28"/>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row>
    <row r="946" spans="1:33" ht="13.5" customHeight="1">
      <c r="A946" s="37"/>
      <c r="B946" s="37"/>
      <c r="C946" s="37"/>
      <c r="D946" s="38"/>
      <c r="E946" s="37"/>
      <c r="F946" s="37"/>
      <c r="G946" s="37"/>
      <c r="H946" s="28"/>
      <c r="I946" s="28"/>
      <c r="J946" s="28"/>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row>
    <row r="947" spans="1:33" ht="13.5" customHeight="1">
      <c r="A947" s="37"/>
      <c r="B947" s="37"/>
      <c r="C947" s="37"/>
      <c r="D947" s="38"/>
      <c r="E947" s="37"/>
      <c r="F947" s="37"/>
      <c r="G947" s="37"/>
      <c r="H947" s="28"/>
      <c r="I947" s="28"/>
      <c r="J947" s="28"/>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row>
    <row r="948" spans="1:33" ht="13.5" customHeight="1">
      <c r="A948" s="37"/>
      <c r="B948" s="37"/>
      <c r="C948" s="37"/>
      <c r="D948" s="38"/>
      <c r="E948" s="37"/>
      <c r="F948" s="37"/>
      <c r="G948" s="37"/>
      <c r="H948" s="28"/>
      <c r="I948" s="28"/>
      <c r="J948" s="28"/>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row>
    <row r="949" spans="1:33" ht="13.5" customHeight="1">
      <c r="A949" s="37"/>
      <c r="B949" s="37"/>
      <c r="C949" s="37"/>
      <c r="D949" s="38"/>
      <c r="E949" s="37"/>
      <c r="F949" s="37"/>
      <c r="G949" s="37"/>
      <c r="H949" s="28"/>
      <c r="I949" s="28"/>
      <c r="J949" s="28"/>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row>
    <row r="950" spans="1:33" ht="13.5" customHeight="1">
      <c r="A950" s="37"/>
      <c r="B950" s="37"/>
      <c r="C950" s="37"/>
      <c r="D950" s="38"/>
      <c r="E950" s="37"/>
      <c r="F950" s="37"/>
      <c r="G950" s="37"/>
      <c r="H950" s="28"/>
      <c r="I950" s="28"/>
      <c r="J950" s="28"/>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row>
    <row r="951" spans="1:33" ht="13.5" customHeight="1">
      <c r="A951" s="37"/>
      <c r="B951" s="37"/>
      <c r="C951" s="37"/>
      <c r="D951" s="38"/>
      <c r="E951" s="37"/>
      <c r="F951" s="37"/>
      <c r="G951" s="37"/>
      <c r="H951" s="28"/>
      <c r="I951" s="28"/>
      <c r="J951" s="28"/>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row>
    <row r="952" spans="1:33" ht="13.5" customHeight="1">
      <c r="A952" s="37"/>
      <c r="B952" s="37"/>
      <c r="C952" s="37"/>
      <c r="D952" s="38"/>
      <c r="E952" s="37"/>
      <c r="F952" s="37"/>
      <c r="G952" s="37"/>
      <c r="H952" s="28"/>
      <c r="I952" s="28"/>
      <c r="J952" s="28"/>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row>
    <row r="953" spans="1:33" ht="13.5" customHeight="1">
      <c r="A953" s="37"/>
      <c r="B953" s="37"/>
      <c r="C953" s="37"/>
      <c r="D953" s="38"/>
      <c r="E953" s="37"/>
      <c r="F953" s="37"/>
      <c r="G953" s="37"/>
      <c r="H953" s="28"/>
      <c r="I953" s="28"/>
      <c r="J953" s="28"/>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row>
    <row r="954" spans="1:33" ht="13.5" customHeight="1">
      <c r="A954" s="37"/>
      <c r="B954" s="37"/>
      <c r="C954" s="37"/>
      <c r="D954" s="38"/>
      <c r="E954" s="37"/>
      <c r="F954" s="37"/>
      <c r="G954" s="37"/>
      <c r="H954" s="28"/>
      <c r="I954" s="28"/>
      <c r="J954" s="28"/>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row>
    <row r="955" spans="1:33" ht="13.5" customHeight="1">
      <c r="A955" s="37"/>
      <c r="B955" s="37"/>
      <c r="C955" s="37"/>
      <c r="D955" s="38"/>
      <c r="E955" s="37"/>
      <c r="F955" s="37"/>
      <c r="G955" s="37"/>
      <c r="H955" s="28"/>
      <c r="I955" s="28"/>
      <c r="J955" s="28"/>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row>
    <row r="956" spans="1:33" ht="13.5" customHeight="1">
      <c r="A956" s="37"/>
      <c r="B956" s="37"/>
      <c r="C956" s="37"/>
      <c r="D956" s="38"/>
      <c r="E956" s="37"/>
      <c r="F956" s="37"/>
      <c r="G956" s="37"/>
      <c r="H956" s="28"/>
      <c r="I956" s="28"/>
      <c r="J956" s="28"/>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row>
    <row r="957" spans="1:33" ht="13.5" customHeight="1">
      <c r="A957" s="37"/>
      <c r="B957" s="37"/>
      <c r="C957" s="37"/>
      <c r="D957" s="38"/>
      <c r="E957" s="37"/>
      <c r="F957" s="37"/>
      <c r="G957" s="37"/>
      <c r="H957" s="28"/>
      <c r="I957" s="28"/>
      <c r="J957" s="28"/>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row>
    <row r="958" spans="1:33" ht="13.5" customHeight="1">
      <c r="A958" s="37"/>
      <c r="B958" s="37"/>
      <c r="C958" s="37"/>
      <c r="D958" s="38"/>
      <c r="E958" s="37"/>
      <c r="F958" s="37"/>
      <c r="G958" s="37"/>
      <c r="H958" s="28"/>
      <c r="I958" s="28"/>
      <c r="J958" s="28"/>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row>
    <row r="959" spans="1:33" ht="13.5" customHeight="1">
      <c r="A959" s="37"/>
      <c r="B959" s="37"/>
      <c r="C959" s="37"/>
      <c r="D959" s="38"/>
      <c r="E959" s="37"/>
      <c r="F959" s="37"/>
      <c r="G959" s="37"/>
      <c r="H959" s="28"/>
      <c r="I959" s="28"/>
      <c r="J959" s="28"/>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row>
    <row r="960" spans="1:33" ht="13.5" customHeight="1">
      <c r="A960" s="37"/>
      <c r="B960" s="37"/>
      <c r="C960" s="37"/>
      <c r="D960" s="38"/>
      <c r="E960" s="37"/>
      <c r="F960" s="37"/>
      <c r="G960" s="37"/>
      <c r="H960" s="28"/>
      <c r="I960" s="28"/>
      <c r="J960" s="28"/>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row>
    <row r="961" spans="1:33" ht="13.5" customHeight="1">
      <c r="A961" s="37"/>
      <c r="B961" s="37"/>
      <c r="C961" s="37"/>
      <c r="D961" s="38"/>
      <c r="E961" s="37"/>
      <c r="F961" s="37"/>
      <c r="G961" s="37"/>
      <c r="H961" s="28"/>
      <c r="I961" s="28"/>
      <c r="J961" s="28"/>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row>
    <row r="962" spans="1:33" ht="13.5" customHeight="1">
      <c r="A962" s="37"/>
      <c r="B962" s="37"/>
      <c r="C962" s="37"/>
      <c r="D962" s="38"/>
      <c r="E962" s="37"/>
      <c r="F962" s="37"/>
      <c r="G962" s="37"/>
      <c r="H962" s="28"/>
      <c r="I962" s="28"/>
      <c r="J962" s="28"/>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row>
    <row r="963" spans="1:33" ht="13.5" customHeight="1">
      <c r="A963" s="37"/>
      <c r="B963" s="37"/>
      <c r="C963" s="37"/>
      <c r="D963" s="38"/>
      <c r="E963" s="37"/>
      <c r="F963" s="37"/>
      <c r="G963" s="37"/>
      <c r="H963" s="28"/>
      <c r="I963" s="28"/>
      <c r="J963" s="28"/>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row>
    <row r="964" spans="1:33" ht="13.5" customHeight="1">
      <c r="A964" s="37"/>
      <c r="B964" s="37"/>
      <c r="C964" s="37"/>
      <c r="D964" s="38"/>
      <c r="E964" s="37"/>
      <c r="F964" s="37"/>
      <c r="G964" s="37"/>
      <c r="H964" s="28"/>
      <c r="I964" s="28"/>
      <c r="J964" s="28"/>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row>
    <row r="965" spans="1:33" ht="13.5" customHeight="1">
      <c r="A965" s="37"/>
      <c r="B965" s="37"/>
      <c r="C965" s="37"/>
      <c r="D965" s="38"/>
      <c r="E965" s="37"/>
      <c r="F965" s="37"/>
      <c r="G965" s="37"/>
      <c r="H965" s="28"/>
      <c r="I965" s="28"/>
      <c r="J965" s="28"/>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row>
    <row r="966" spans="1:33" ht="13.5" customHeight="1">
      <c r="A966" s="37"/>
      <c r="B966" s="37"/>
      <c r="C966" s="37"/>
      <c r="D966" s="38"/>
      <c r="E966" s="37"/>
      <c r="F966" s="37"/>
      <c r="G966" s="37"/>
      <c r="H966" s="28"/>
      <c r="I966" s="28"/>
      <c r="J966" s="28"/>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row>
    <row r="967" spans="1:33" ht="13.5" customHeight="1">
      <c r="A967" s="37"/>
      <c r="B967" s="37"/>
      <c r="C967" s="37"/>
      <c r="D967" s="38"/>
      <c r="E967" s="37"/>
      <c r="F967" s="37"/>
      <c r="G967" s="37"/>
      <c r="H967" s="28"/>
      <c r="I967" s="28"/>
      <c r="J967" s="28"/>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row>
    <row r="968" spans="1:33" ht="13.5" customHeight="1">
      <c r="A968" s="37"/>
      <c r="B968" s="37"/>
      <c r="C968" s="37"/>
      <c r="D968" s="38"/>
      <c r="E968" s="37"/>
      <c r="F968" s="37"/>
      <c r="G968" s="37"/>
      <c r="H968" s="28"/>
      <c r="I968" s="28"/>
      <c r="J968" s="28"/>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row>
    <row r="969" spans="1:33" ht="13.5" customHeight="1">
      <c r="A969" s="37"/>
      <c r="B969" s="37"/>
      <c r="C969" s="37"/>
      <c r="D969" s="38"/>
      <c r="E969" s="37"/>
      <c r="F969" s="37"/>
      <c r="G969" s="37"/>
      <c r="H969" s="28"/>
      <c r="I969" s="28"/>
      <c r="J969" s="28"/>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row>
    <row r="970" spans="1:33" ht="13.5" customHeight="1">
      <c r="A970" s="37"/>
      <c r="B970" s="37"/>
      <c r="C970" s="37"/>
      <c r="D970" s="38"/>
      <c r="E970" s="37"/>
      <c r="F970" s="37"/>
      <c r="G970" s="37"/>
      <c r="H970" s="28"/>
      <c r="I970" s="28"/>
      <c r="J970" s="28"/>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row>
    <row r="971" spans="1:33" ht="13.5" customHeight="1">
      <c r="A971" s="37"/>
      <c r="B971" s="37"/>
      <c r="C971" s="37"/>
      <c r="D971" s="38"/>
      <c r="E971" s="37"/>
      <c r="F971" s="37"/>
      <c r="G971" s="37"/>
      <c r="H971" s="28"/>
      <c r="I971" s="28"/>
      <c r="J971" s="28"/>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row>
    <row r="972" spans="1:33" ht="13.5" customHeight="1">
      <c r="A972" s="37"/>
      <c r="B972" s="37"/>
      <c r="C972" s="37"/>
      <c r="D972" s="38"/>
      <c r="E972" s="37"/>
      <c r="F972" s="37"/>
      <c r="G972" s="37"/>
      <c r="H972" s="28"/>
      <c r="I972" s="28"/>
      <c r="J972" s="28"/>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row>
    <row r="973" spans="1:33" ht="13.5" customHeight="1">
      <c r="A973" s="37"/>
      <c r="B973" s="37"/>
      <c r="C973" s="37"/>
      <c r="D973" s="38"/>
      <c r="E973" s="37"/>
      <c r="F973" s="37"/>
      <c r="G973" s="37"/>
      <c r="H973" s="28"/>
      <c r="I973" s="28"/>
      <c r="J973" s="28"/>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row>
    <row r="974" spans="1:33" ht="13.5" customHeight="1">
      <c r="A974" s="37"/>
      <c r="B974" s="37"/>
      <c r="C974" s="37"/>
      <c r="D974" s="38"/>
      <c r="E974" s="37"/>
      <c r="F974" s="37"/>
      <c r="G974" s="37"/>
      <c r="H974" s="28"/>
      <c r="I974" s="28"/>
      <c r="J974" s="28"/>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row>
    <row r="975" spans="1:33" ht="13.5" customHeight="1">
      <c r="A975" s="37"/>
      <c r="B975" s="37"/>
      <c r="C975" s="37"/>
      <c r="D975" s="38"/>
      <c r="E975" s="37"/>
      <c r="F975" s="37"/>
      <c r="G975" s="37"/>
      <c r="H975" s="28"/>
      <c r="I975" s="28"/>
      <c r="J975" s="28"/>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row>
    <row r="976" spans="1:33" ht="13.5" customHeight="1">
      <c r="A976" s="37"/>
      <c r="B976" s="37"/>
      <c r="C976" s="37"/>
      <c r="D976" s="38"/>
      <c r="E976" s="37"/>
      <c r="F976" s="37"/>
      <c r="G976" s="37"/>
      <c r="H976" s="28"/>
      <c r="I976" s="28"/>
      <c r="J976" s="28"/>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row>
    <row r="977" spans="1:33" ht="13.5" customHeight="1">
      <c r="A977" s="37"/>
      <c r="B977" s="37"/>
      <c r="C977" s="37"/>
      <c r="D977" s="38"/>
      <c r="E977" s="37"/>
      <c r="F977" s="37"/>
      <c r="G977" s="37"/>
      <c r="H977" s="28"/>
      <c r="I977" s="28"/>
      <c r="J977" s="28"/>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row>
    <row r="978" spans="1:33" ht="13.5" customHeight="1">
      <c r="A978" s="37"/>
      <c r="B978" s="37"/>
      <c r="C978" s="37"/>
      <c r="D978" s="38"/>
      <c r="E978" s="37"/>
      <c r="F978" s="37"/>
      <c r="G978" s="37"/>
      <c r="H978" s="28"/>
      <c r="I978" s="28"/>
      <c r="J978" s="28"/>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row>
    <row r="979" spans="1:33" ht="13.5" customHeight="1">
      <c r="A979" s="37"/>
      <c r="B979" s="37"/>
      <c r="C979" s="37"/>
      <c r="D979" s="38"/>
      <c r="E979" s="37"/>
      <c r="F979" s="37"/>
      <c r="G979" s="37"/>
      <c r="H979" s="28"/>
      <c r="I979" s="28"/>
      <c r="J979" s="28"/>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row>
    <row r="980" spans="1:33" ht="13.5" customHeight="1">
      <c r="A980" s="37"/>
      <c r="B980" s="37"/>
      <c r="C980" s="37"/>
      <c r="D980" s="38"/>
      <c r="E980" s="37"/>
      <c r="F980" s="37"/>
      <c r="G980" s="37"/>
      <c r="H980" s="28"/>
      <c r="I980" s="28"/>
      <c r="J980" s="28"/>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row>
    <row r="981" spans="1:33" ht="13.5" customHeight="1">
      <c r="A981" s="37"/>
      <c r="B981" s="37"/>
      <c r="C981" s="37"/>
      <c r="D981" s="38"/>
      <c r="E981" s="37"/>
      <c r="F981" s="37"/>
      <c r="G981" s="37"/>
      <c r="H981" s="28"/>
      <c r="I981" s="28"/>
      <c r="J981" s="28"/>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row>
    <row r="982" spans="1:33" ht="13.5" customHeight="1">
      <c r="A982" s="37"/>
      <c r="B982" s="37"/>
      <c r="C982" s="37"/>
      <c r="D982" s="38"/>
      <c r="E982" s="37"/>
      <c r="F982" s="37"/>
      <c r="G982" s="37"/>
      <c r="H982" s="28"/>
      <c r="I982" s="28"/>
      <c r="J982" s="28"/>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row>
    <row r="983" spans="1:33" ht="13.5" customHeight="1">
      <c r="A983" s="37"/>
      <c r="B983" s="37"/>
      <c r="C983" s="37"/>
      <c r="D983" s="38"/>
      <c r="E983" s="37"/>
      <c r="F983" s="37"/>
      <c r="G983" s="37"/>
      <c r="H983" s="28"/>
      <c r="I983" s="28"/>
      <c r="J983" s="28"/>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row>
    <row r="984" spans="1:33" ht="13.5" customHeight="1">
      <c r="A984" s="37"/>
      <c r="B984" s="37"/>
      <c r="C984" s="37"/>
      <c r="D984" s="38"/>
      <c r="E984" s="37"/>
      <c r="F984" s="37"/>
      <c r="G984" s="37"/>
      <c r="H984" s="28"/>
      <c r="I984" s="28"/>
      <c r="J984" s="28"/>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row>
    <row r="985" spans="1:33" ht="13.5" customHeight="1">
      <c r="A985" s="37"/>
      <c r="B985" s="37"/>
      <c r="C985" s="37"/>
      <c r="D985" s="38"/>
      <c r="E985" s="37"/>
      <c r="F985" s="37"/>
      <c r="G985" s="37"/>
      <c r="H985" s="28"/>
      <c r="I985" s="28"/>
      <c r="J985" s="28"/>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row>
    <row r="986" spans="1:33" ht="13.5" customHeight="1">
      <c r="A986" s="37"/>
      <c r="B986" s="37"/>
      <c r="C986" s="37"/>
      <c r="D986" s="38"/>
      <c r="E986" s="37"/>
      <c r="F986" s="37"/>
      <c r="G986" s="37"/>
      <c r="H986" s="28"/>
      <c r="I986" s="28"/>
      <c r="J986" s="28"/>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row>
    <row r="987" spans="1:33" ht="13.5" customHeight="1">
      <c r="A987" s="37"/>
      <c r="B987" s="37"/>
      <c r="C987" s="37"/>
      <c r="D987" s="38"/>
      <c r="E987" s="37"/>
      <c r="F987" s="37"/>
      <c r="G987" s="37"/>
      <c r="H987" s="28"/>
      <c r="I987" s="28"/>
      <c r="J987" s="28"/>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row>
    <row r="988" spans="1:33" ht="13.5" customHeight="1">
      <c r="A988" s="37"/>
      <c r="B988" s="37"/>
      <c r="C988" s="37"/>
      <c r="D988" s="38"/>
      <c r="E988" s="37"/>
      <c r="F988" s="37"/>
      <c r="G988" s="37"/>
      <c r="H988" s="28"/>
      <c r="I988" s="28"/>
      <c r="J988" s="28"/>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row>
    <row r="989" spans="1:33" ht="13.5" customHeight="1">
      <c r="A989" s="37"/>
      <c r="B989" s="37"/>
      <c r="C989" s="37"/>
      <c r="D989" s="38"/>
      <c r="E989" s="37"/>
      <c r="F989" s="37"/>
      <c r="G989" s="37"/>
      <c r="H989" s="28"/>
      <c r="I989" s="28"/>
      <c r="J989" s="28"/>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row>
    <row r="990" spans="1:33" ht="13.5" customHeight="1">
      <c r="A990" s="37"/>
      <c r="B990" s="37"/>
      <c r="C990" s="37"/>
      <c r="D990" s="38"/>
      <c r="E990" s="37"/>
      <c r="F990" s="37"/>
      <c r="G990" s="37"/>
      <c r="H990" s="28"/>
      <c r="I990" s="28"/>
      <c r="J990" s="28"/>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row>
    <row r="991" spans="1:33" ht="13.5" customHeight="1">
      <c r="A991" s="37"/>
      <c r="B991" s="37"/>
      <c r="C991" s="37"/>
      <c r="D991" s="38"/>
      <c r="E991" s="37"/>
      <c r="F991" s="37"/>
      <c r="G991" s="37"/>
      <c r="H991" s="28"/>
      <c r="I991" s="28"/>
      <c r="J991" s="28"/>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row>
    <row r="992" spans="1:33" ht="13.5" customHeight="1">
      <c r="A992" s="37"/>
      <c r="B992" s="37"/>
      <c r="C992" s="37"/>
      <c r="D992" s="38"/>
      <c r="E992" s="37"/>
      <c r="F992" s="37"/>
      <c r="G992" s="37"/>
      <c r="H992" s="28"/>
      <c r="I992" s="28"/>
      <c r="J992" s="28"/>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row>
    <row r="993" spans="1:33" ht="13.5" customHeight="1">
      <c r="A993" s="37"/>
      <c r="B993" s="37"/>
      <c r="C993" s="37"/>
      <c r="D993" s="38"/>
      <c r="E993" s="37"/>
      <c r="F993" s="37"/>
      <c r="G993" s="37"/>
      <c r="H993" s="28"/>
      <c r="I993" s="28"/>
      <c r="J993" s="28"/>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row>
    <row r="994" spans="1:33" ht="13.5" customHeight="1">
      <c r="A994" s="37"/>
      <c r="B994" s="37"/>
      <c r="C994" s="37"/>
      <c r="D994" s="38"/>
      <c r="E994" s="37"/>
      <c r="F994" s="37"/>
      <c r="G994" s="37"/>
      <c r="H994" s="28"/>
      <c r="I994" s="28"/>
      <c r="J994" s="28"/>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row>
    <row r="995" spans="1:33" ht="13.5" customHeight="1">
      <c r="A995" s="37"/>
      <c r="B995" s="37"/>
      <c r="C995" s="37"/>
      <c r="D995" s="38"/>
      <c r="E995" s="37"/>
      <c r="F995" s="37"/>
      <c r="G995" s="37"/>
      <c r="H995" s="28"/>
      <c r="I995" s="28"/>
      <c r="J995" s="28"/>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row>
    <row r="996" spans="1:33" ht="13.5" customHeight="1">
      <c r="A996" s="37"/>
      <c r="B996" s="37"/>
      <c r="C996" s="37"/>
      <c r="D996" s="38"/>
      <c r="E996" s="37"/>
      <c r="F996" s="37"/>
      <c r="G996" s="37"/>
      <c r="H996" s="28"/>
      <c r="I996" s="28"/>
      <c r="J996" s="28"/>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row>
    <row r="997" spans="1:33" ht="13.5" customHeight="1">
      <c r="A997" s="37"/>
      <c r="B997" s="37"/>
      <c r="C997" s="37"/>
      <c r="D997" s="38"/>
      <c r="E997" s="37"/>
      <c r="F997" s="37"/>
      <c r="G997" s="37"/>
      <c r="H997" s="28"/>
      <c r="I997" s="28"/>
      <c r="J997" s="28"/>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row>
    <row r="998" spans="1:33" ht="13.5" customHeight="1">
      <c r="A998" s="37"/>
      <c r="B998" s="37"/>
      <c r="C998" s="37"/>
      <c r="D998" s="38"/>
      <c r="E998" s="37"/>
      <c r="F998" s="37"/>
      <c r="G998" s="37"/>
      <c r="H998" s="28"/>
      <c r="I998" s="28"/>
      <c r="J998" s="28"/>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row>
    <row r="999" spans="1:33" ht="13.5" customHeight="1">
      <c r="A999" s="37"/>
      <c r="B999" s="37"/>
      <c r="C999" s="37"/>
      <c r="D999" s="38"/>
      <c r="E999" s="37"/>
      <c r="F999" s="37"/>
      <c r="G999" s="37"/>
      <c r="H999" s="28"/>
      <c r="I999" s="28"/>
      <c r="J999" s="28"/>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row>
    <row r="1000" spans="1:33" ht="13.5" customHeight="1">
      <c r="A1000" s="37"/>
      <c r="B1000" s="37"/>
      <c r="C1000" s="37"/>
      <c r="D1000" s="38"/>
      <c r="E1000" s="37"/>
      <c r="F1000" s="37"/>
      <c r="G1000" s="37"/>
      <c r="H1000" s="28"/>
      <c r="I1000" s="28"/>
      <c r="J1000" s="28"/>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row>
  </sheetData>
  <sheetProtection algorithmName="SHA-512" hashValue="SB+Ac2J8vTtoeqlSTSyMrq//z9FpOZSUD9ysyhC+bzgs0OjZ6S8kiNkt6wXnJXdd3yEuyCIezQTqhCUAD5PYsQ==" saltValue="Qtpr72zXTxFxvw+HRU+pFw==" spinCount="100000" sheet="1" objects="1" scenarios="1"/>
  <dataValidations count="1">
    <dataValidation type="list" allowBlank="1" showInputMessage="1" showErrorMessage="1" sqref="G22:G200" xr:uid="{3687EA9A-D8FA-4569-AF28-AE3CFE9D461C}">
      <formula1>$C$15:$C$18</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000"/>
  <sheetViews>
    <sheetView workbookViewId="0">
      <selection activeCell="C22" sqref="C22"/>
    </sheetView>
  </sheetViews>
  <sheetFormatPr defaultColWidth="16.7109375" defaultRowHeight="15" customHeight="1"/>
  <cols>
    <col min="1" max="1" width="1.28515625" customWidth="1"/>
    <col min="2" max="2" width="64.7109375" customWidth="1"/>
    <col min="3" max="3" width="49.42578125" customWidth="1"/>
    <col min="4" max="4" width="31.7109375" customWidth="1"/>
    <col min="5" max="5" width="12.7109375" customWidth="1"/>
    <col min="6" max="6" width="13.7109375" customWidth="1"/>
    <col min="7" max="7" width="18.42578125" customWidth="1"/>
    <col min="8" max="8" width="22.28515625" customWidth="1"/>
    <col min="9" max="10" width="16.28515625" customWidth="1"/>
    <col min="11" max="11" width="20.28515625" customWidth="1"/>
    <col min="12" max="13" width="16.28515625" customWidth="1"/>
    <col min="14" max="14" width="18.42578125" customWidth="1"/>
    <col min="15" max="17" width="16.28515625" customWidth="1"/>
    <col min="18" max="18" width="19" customWidth="1"/>
    <col min="19" max="38" width="13.7109375" customWidth="1"/>
  </cols>
  <sheetData>
    <row r="1" spans="1:38" ht="9" customHeight="1">
      <c r="A1" s="56"/>
      <c r="B1" s="56"/>
      <c r="C1" s="56"/>
      <c r="D1" s="56"/>
      <c r="E1" s="56"/>
      <c r="F1" s="57"/>
      <c r="G1" s="57"/>
      <c r="H1" s="57"/>
      <c r="I1" s="57"/>
      <c r="J1" s="57"/>
      <c r="K1" s="58"/>
      <c r="L1" s="57"/>
      <c r="M1" s="57"/>
      <c r="N1" s="57"/>
      <c r="O1" s="57"/>
      <c r="P1" s="57"/>
      <c r="Q1" s="58"/>
      <c r="R1" s="57"/>
      <c r="S1" s="56"/>
      <c r="T1" s="56"/>
      <c r="U1" s="56"/>
      <c r="V1" s="56"/>
      <c r="W1" s="56"/>
      <c r="X1" s="56"/>
      <c r="Y1" s="56"/>
      <c r="Z1" s="56"/>
      <c r="AA1" s="56"/>
      <c r="AB1" s="56"/>
      <c r="AC1" s="56"/>
      <c r="AD1" s="56"/>
      <c r="AE1" s="56"/>
      <c r="AF1" s="56"/>
      <c r="AG1" s="56"/>
      <c r="AH1" s="56"/>
      <c r="AI1" s="56"/>
      <c r="AJ1" s="56"/>
      <c r="AK1" s="56"/>
      <c r="AL1" s="56"/>
    </row>
    <row r="2" spans="1:38" ht="14.25" customHeight="1">
      <c r="A2" s="56"/>
      <c r="B2" s="25" t="s">
        <v>162</v>
      </c>
      <c r="C2" s="38"/>
      <c r="D2" s="37"/>
      <c r="E2" s="37"/>
      <c r="F2" s="37"/>
      <c r="G2" s="39"/>
      <c r="H2" s="57"/>
      <c r="I2" s="57"/>
      <c r="J2" s="57"/>
      <c r="K2" s="58"/>
      <c r="L2" s="57"/>
      <c r="M2" s="57"/>
      <c r="N2" s="57"/>
      <c r="O2" s="57"/>
      <c r="P2" s="57"/>
      <c r="Q2" s="58"/>
      <c r="R2" s="57"/>
      <c r="S2" s="56"/>
      <c r="T2" s="56"/>
      <c r="U2" s="56"/>
      <c r="V2" s="56"/>
      <c r="W2" s="56"/>
      <c r="X2" s="56"/>
      <c r="Y2" s="56"/>
      <c r="Z2" s="56"/>
      <c r="AA2" s="56"/>
      <c r="AB2" s="56"/>
      <c r="AC2" s="56"/>
      <c r="AD2" s="56"/>
      <c r="AE2" s="56"/>
      <c r="AF2" s="56"/>
      <c r="AG2" s="56"/>
      <c r="AH2" s="56"/>
      <c r="AI2" s="56"/>
      <c r="AJ2" s="56"/>
      <c r="AK2" s="56"/>
      <c r="AL2" s="56"/>
    </row>
    <row r="3" spans="1:38" ht="14.25" customHeight="1">
      <c r="A3" s="56"/>
      <c r="B3" s="29" t="s">
        <v>163</v>
      </c>
      <c r="C3" s="38"/>
      <c r="D3" s="37"/>
      <c r="E3" s="37"/>
      <c r="F3" s="37"/>
      <c r="G3" s="39"/>
      <c r="H3" s="57"/>
      <c r="I3" s="57"/>
      <c r="J3" s="57"/>
      <c r="K3" s="58"/>
      <c r="L3" s="57"/>
      <c r="M3" s="57"/>
      <c r="N3" s="57"/>
      <c r="O3" s="57"/>
      <c r="P3" s="57"/>
      <c r="Q3" s="58"/>
      <c r="R3" s="57"/>
      <c r="S3" s="56"/>
      <c r="T3" s="56"/>
      <c r="U3" s="56"/>
      <c r="V3" s="56"/>
      <c r="W3" s="56"/>
      <c r="X3" s="56"/>
      <c r="Y3" s="56"/>
      <c r="Z3" s="56"/>
      <c r="AA3" s="56"/>
      <c r="AB3" s="56"/>
      <c r="AC3" s="56"/>
      <c r="AD3" s="56"/>
      <c r="AE3" s="56"/>
      <c r="AF3" s="56"/>
      <c r="AG3" s="56"/>
      <c r="AH3" s="56"/>
      <c r="AI3" s="56"/>
      <c r="AJ3" s="56"/>
      <c r="AK3" s="56"/>
      <c r="AL3" s="56"/>
    </row>
    <row r="4" spans="1:38" ht="14.25" customHeight="1">
      <c r="A4" s="56"/>
      <c r="B4" s="29" t="s">
        <v>76</v>
      </c>
      <c r="C4" s="38"/>
      <c r="D4" s="37"/>
      <c r="E4" s="37"/>
      <c r="F4" s="37"/>
      <c r="G4" s="39"/>
      <c r="H4" s="57"/>
      <c r="I4" s="57"/>
      <c r="J4" s="57"/>
      <c r="K4" s="58"/>
      <c r="L4" s="57"/>
      <c r="M4" s="57"/>
      <c r="N4" s="57"/>
      <c r="O4" s="57"/>
      <c r="P4" s="57"/>
      <c r="Q4" s="58"/>
      <c r="R4" s="57"/>
      <c r="S4" s="56"/>
      <c r="T4" s="56"/>
      <c r="U4" s="56"/>
      <c r="V4" s="56"/>
      <c r="W4" s="56"/>
      <c r="X4" s="56"/>
      <c r="Y4" s="56"/>
      <c r="Z4" s="56"/>
      <c r="AA4" s="56"/>
      <c r="AB4" s="56"/>
      <c r="AC4" s="56"/>
      <c r="AD4" s="56"/>
      <c r="AE4" s="56"/>
      <c r="AF4" s="56"/>
      <c r="AG4" s="56"/>
      <c r="AH4" s="56"/>
      <c r="AI4" s="56"/>
      <c r="AJ4" s="56"/>
      <c r="AK4" s="56"/>
      <c r="AL4" s="56"/>
    </row>
    <row r="5" spans="1:38" ht="14.25" customHeight="1">
      <c r="A5" s="56"/>
      <c r="B5" s="29" t="s">
        <v>1495</v>
      </c>
      <c r="C5" s="38"/>
      <c r="D5" s="37"/>
      <c r="E5" s="37"/>
      <c r="F5" s="37"/>
      <c r="G5" s="39"/>
      <c r="H5" s="57"/>
      <c r="I5" s="57"/>
      <c r="J5" s="57"/>
      <c r="K5" s="58"/>
      <c r="L5" s="57"/>
      <c r="M5" s="57"/>
      <c r="N5" s="57"/>
      <c r="O5" s="57"/>
      <c r="P5" s="57"/>
      <c r="Q5" s="58"/>
      <c r="R5" s="57"/>
      <c r="S5" s="56"/>
      <c r="T5" s="56"/>
      <c r="U5" s="56"/>
      <c r="V5" s="56"/>
      <c r="W5" s="56"/>
      <c r="X5" s="56"/>
      <c r="Y5" s="56"/>
      <c r="Z5" s="56"/>
      <c r="AA5" s="56"/>
      <c r="AB5" s="56"/>
      <c r="AC5" s="56"/>
      <c r="AD5" s="56"/>
      <c r="AE5" s="56"/>
      <c r="AF5" s="56"/>
      <c r="AG5" s="56"/>
      <c r="AH5" s="56"/>
      <c r="AI5" s="56"/>
      <c r="AJ5" s="56"/>
      <c r="AK5" s="56"/>
      <c r="AL5" s="56"/>
    </row>
    <row r="6" spans="1:38" ht="14.25" customHeight="1">
      <c r="A6" s="56"/>
      <c r="B6" s="29" t="s">
        <v>164</v>
      </c>
      <c r="C6" s="38"/>
      <c r="D6" s="37"/>
      <c r="E6" s="37"/>
      <c r="F6" s="37"/>
      <c r="G6" s="39"/>
      <c r="H6" s="57"/>
      <c r="I6" s="57"/>
      <c r="J6" s="57"/>
      <c r="K6" s="58"/>
      <c r="L6" s="57"/>
      <c r="M6" s="57"/>
      <c r="N6" s="57"/>
      <c r="O6" s="57"/>
      <c r="P6" s="57"/>
      <c r="Q6" s="58"/>
      <c r="R6" s="57"/>
      <c r="S6" s="56"/>
      <c r="T6" s="56"/>
      <c r="U6" s="56"/>
      <c r="V6" s="56"/>
      <c r="W6" s="56"/>
      <c r="X6" s="56"/>
      <c r="Y6" s="56"/>
      <c r="Z6" s="56"/>
      <c r="AA6" s="56"/>
      <c r="AB6" s="56"/>
      <c r="AC6" s="56"/>
      <c r="AD6" s="56"/>
      <c r="AE6" s="56"/>
      <c r="AF6" s="56"/>
      <c r="AG6" s="56"/>
      <c r="AH6" s="56"/>
      <c r="AI6" s="56"/>
      <c r="AJ6" s="56"/>
      <c r="AK6" s="56"/>
      <c r="AL6" s="56"/>
    </row>
    <row r="7" spans="1:38" ht="14.25" customHeight="1">
      <c r="A7" s="56"/>
      <c r="B7" s="29" t="s">
        <v>165</v>
      </c>
      <c r="C7" s="38"/>
      <c r="D7" s="37"/>
      <c r="E7" s="37"/>
      <c r="F7" s="37"/>
      <c r="G7" s="39"/>
      <c r="H7" s="57"/>
      <c r="I7" s="57"/>
      <c r="J7" s="57"/>
      <c r="K7" s="58"/>
      <c r="L7" s="57"/>
      <c r="M7" s="57"/>
      <c r="N7" s="57"/>
      <c r="O7" s="57"/>
      <c r="P7" s="57"/>
      <c r="Q7" s="58"/>
      <c r="R7" s="57"/>
      <c r="S7" s="56"/>
      <c r="T7" s="56"/>
      <c r="U7" s="56"/>
      <c r="V7" s="56"/>
      <c r="W7" s="56"/>
      <c r="X7" s="56"/>
      <c r="Y7" s="56"/>
      <c r="Z7" s="56"/>
      <c r="AA7" s="56"/>
      <c r="AB7" s="56"/>
      <c r="AC7" s="56"/>
      <c r="AD7" s="56"/>
      <c r="AE7" s="56"/>
      <c r="AF7" s="56"/>
      <c r="AG7" s="56"/>
      <c r="AH7" s="56"/>
      <c r="AI7" s="56"/>
      <c r="AJ7" s="56"/>
      <c r="AK7" s="56"/>
      <c r="AL7" s="56"/>
    </row>
    <row r="8" spans="1:38" ht="14.25" customHeight="1">
      <c r="A8" s="56"/>
      <c r="B8" s="29" t="s">
        <v>166</v>
      </c>
      <c r="C8" s="38"/>
      <c r="D8" s="37"/>
      <c r="E8" s="37"/>
      <c r="F8" s="37"/>
      <c r="G8" s="39"/>
      <c r="H8" s="57"/>
      <c r="I8" s="57"/>
      <c r="J8" s="57"/>
      <c r="K8" s="58"/>
      <c r="L8" s="57"/>
      <c r="M8" s="57"/>
      <c r="N8" s="57"/>
      <c r="O8" s="57"/>
      <c r="P8" s="57"/>
      <c r="Q8" s="58"/>
      <c r="R8" s="57"/>
      <c r="S8" s="56"/>
      <c r="T8" s="56"/>
      <c r="U8" s="56"/>
      <c r="V8" s="56"/>
      <c r="W8" s="56"/>
      <c r="X8" s="56"/>
      <c r="Y8" s="56"/>
      <c r="Z8" s="56"/>
      <c r="AA8" s="56"/>
      <c r="AB8" s="56"/>
      <c r="AC8" s="56"/>
      <c r="AD8" s="56"/>
      <c r="AE8" s="56"/>
      <c r="AF8" s="56"/>
      <c r="AG8" s="56"/>
      <c r="AH8" s="56"/>
      <c r="AI8" s="56"/>
      <c r="AJ8" s="56"/>
      <c r="AK8" s="56"/>
      <c r="AL8" s="56"/>
    </row>
    <row r="9" spans="1:38" ht="14.25" customHeight="1">
      <c r="A9" s="56"/>
      <c r="B9" s="29" t="s">
        <v>167</v>
      </c>
      <c r="C9" s="38"/>
      <c r="D9" s="37"/>
      <c r="E9" s="37"/>
      <c r="F9" s="37"/>
      <c r="G9" s="39"/>
      <c r="H9" s="57"/>
      <c r="I9" s="57"/>
      <c r="J9" s="57"/>
      <c r="K9" s="58"/>
      <c r="L9" s="57"/>
      <c r="M9" s="57"/>
      <c r="N9" s="57"/>
      <c r="O9" s="57"/>
      <c r="P9" s="57"/>
      <c r="Q9" s="58"/>
      <c r="R9" s="57"/>
      <c r="S9" s="56"/>
      <c r="T9" s="56"/>
      <c r="U9" s="56"/>
      <c r="V9" s="56"/>
      <c r="W9" s="56"/>
      <c r="X9" s="56"/>
      <c r="Y9" s="56"/>
      <c r="Z9" s="56"/>
      <c r="AA9" s="56"/>
      <c r="AB9" s="56"/>
      <c r="AC9" s="56"/>
      <c r="AD9" s="56"/>
      <c r="AE9" s="56"/>
      <c r="AF9" s="56"/>
      <c r="AG9" s="56"/>
      <c r="AH9" s="56"/>
      <c r="AI9" s="56"/>
      <c r="AJ9" s="56"/>
      <c r="AK9" s="56"/>
      <c r="AL9" s="56"/>
    </row>
    <row r="10" spans="1:38" ht="14.25" customHeight="1">
      <c r="A10" s="56"/>
      <c r="B10" s="29" t="s">
        <v>168</v>
      </c>
      <c r="C10" s="38"/>
      <c r="D10" s="37"/>
      <c r="E10" s="37"/>
      <c r="F10" s="37"/>
      <c r="G10" s="39"/>
      <c r="H10" s="57"/>
      <c r="I10" s="57"/>
      <c r="J10" s="57"/>
      <c r="K10" s="58"/>
      <c r="L10" s="57"/>
      <c r="M10" s="57"/>
      <c r="N10" s="57"/>
      <c r="O10" s="57"/>
      <c r="P10" s="57"/>
      <c r="Q10" s="58"/>
      <c r="R10" s="57"/>
      <c r="S10" s="56"/>
      <c r="T10" s="56"/>
      <c r="U10" s="56"/>
      <c r="V10" s="56"/>
      <c r="W10" s="56"/>
      <c r="X10" s="56"/>
      <c r="Y10" s="56"/>
      <c r="Z10" s="56"/>
      <c r="AA10" s="56"/>
      <c r="AB10" s="56"/>
      <c r="AC10" s="56"/>
      <c r="AD10" s="56"/>
      <c r="AE10" s="56"/>
      <c r="AF10" s="56"/>
      <c r="AG10" s="56"/>
      <c r="AH10" s="56"/>
      <c r="AI10" s="56"/>
      <c r="AJ10" s="56"/>
      <c r="AK10" s="56"/>
      <c r="AL10" s="56"/>
    </row>
    <row r="11" spans="1:38" ht="14.25" customHeight="1">
      <c r="A11" s="56"/>
      <c r="B11" s="37"/>
      <c r="C11" s="38"/>
      <c r="D11" s="37"/>
      <c r="E11" s="37"/>
      <c r="F11" s="37"/>
      <c r="G11" s="39"/>
      <c r="H11" s="57"/>
      <c r="I11" s="57"/>
      <c r="J11" s="57"/>
      <c r="K11" s="58"/>
      <c r="L11" s="57"/>
      <c r="M11" s="57"/>
      <c r="N11" s="57"/>
      <c r="O11" s="57"/>
      <c r="P11" s="57"/>
      <c r="Q11" s="58"/>
      <c r="R11" s="57"/>
      <c r="S11" s="56"/>
      <c r="T11" s="56"/>
      <c r="U11" s="56"/>
      <c r="V11" s="56"/>
      <c r="W11" s="56"/>
      <c r="X11" s="56"/>
      <c r="Y11" s="56"/>
      <c r="Z11" s="56"/>
      <c r="AA11" s="56"/>
      <c r="AB11" s="56"/>
      <c r="AC11" s="56"/>
      <c r="AD11" s="56"/>
      <c r="AE11" s="56"/>
      <c r="AF11" s="56"/>
      <c r="AG11" s="56"/>
      <c r="AH11" s="56"/>
      <c r="AI11" s="56"/>
      <c r="AJ11" s="56"/>
      <c r="AK11" s="56"/>
      <c r="AL11" s="56"/>
    </row>
    <row r="12" spans="1:38" ht="14.25" customHeight="1">
      <c r="A12" s="56"/>
      <c r="B12" s="32" t="s">
        <v>169</v>
      </c>
      <c r="C12" s="38"/>
      <c r="D12" s="37"/>
      <c r="E12" s="37"/>
      <c r="F12" s="37"/>
      <c r="G12" s="39"/>
      <c r="H12" s="57"/>
      <c r="I12" s="57"/>
      <c r="J12" s="57"/>
      <c r="K12" s="58"/>
      <c r="L12" s="57"/>
      <c r="M12" s="57"/>
      <c r="N12" s="57"/>
      <c r="O12" s="57"/>
      <c r="P12" s="57"/>
      <c r="Q12" s="58"/>
      <c r="R12" s="57"/>
      <c r="S12" s="56"/>
      <c r="T12" s="56"/>
      <c r="U12" s="56"/>
      <c r="V12" s="56"/>
      <c r="W12" s="56"/>
      <c r="X12" s="56"/>
      <c r="Y12" s="56"/>
      <c r="Z12" s="56"/>
      <c r="AA12" s="56"/>
      <c r="AB12" s="56"/>
      <c r="AC12" s="56"/>
      <c r="AD12" s="56"/>
      <c r="AE12" s="56"/>
      <c r="AF12" s="56"/>
      <c r="AG12" s="56"/>
      <c r="AH12" s="56"/>
      <c r="AI12" s="56"/>
      <c r="AJ12" s="56"/>
      <c r="AK12" s="56"/>
      <c r="AL12" s="56"/>
    </row>
    <row r="13" spans="1:38" ht="14.25" customHeight="1">
      <c r="A13" s="56"/>
      <c r="B13" s="506" t="s">
        <v>134</v>
      </c>
      <c r="C13" s="21" t="s">
        <v>135</v>
      </c>
      <c r="D13" s="9"/>
      <c r="E13" s="37"/>
      <c r="F13" s="37"/>
      <c r="G13" s="39"/>
      <c r="H13" s="57"/>
      <c r="I13" s="57"/>
      <c r="J13" s="57"/>
      <c r="K13" s="58"/>
      <c r="L13" s="57"/>
      <c r="M13" s="57"/>
      <c r="N13" s="57"/>
      <c r="O13" s="57"/>
      <c r="P13" s="57"/>
      <c r="Q13" s="58"/>
      <c r="R13" s="57"/>
      <c r="S13" s="56"/>
      <c r="T13" s="56"/>
      <c r="U13" s="56"/>
      <c r="V13" s="56"/>
      <c r="W13" s="56"/>
      <c r="X13" s="56"/>
      <c r="Y13" s="56"/>
      <c r="Z13" s="56"/>
      <c r="AA13" s="56"/>
      <c r="AB13" s="56"/>
      <c r="AC13" s="56"/>
      <c r="AD13" s="56"/>
      <c r="AE13" s="56"/>
      <c r="AF13" s="56"/>
      <c r="AG13" s="56"/>
      <c r="AH13" s="56"/>
      <c r="AI13" s="56"/>
      <c r="AJ13" s="56"/>
      <c r="AK13" s="56"/>
      <c r="AL13" s="56"/>
    </row>
    <row r="14" spans="1:38" ht="14.25" customHeight="1">
      <c r="A14" s="56"/>
      <c r="B14" s="17" t="s">
        <v>73</v>
      </c>
      <c r="C14" s="507">
        <f ca="1">K19</f>
        <v>58.87265135699375</v>
      </c>
      <c r="D14" s="59"/>
      <c r="E14" s="37"/>
      <c r="F14" s="37"/>
      <c r="G14" s="39"/>
      <c r="H14" s="57"/>
      <c r="I14" s="57"/>
      <c r="J14" s="57"/>
      <c r="K14" s="58"/>
      <c r="L14" s="57"/>
      <c r="M14" s="57"/>
      <c r="N14" s="57"/>
      <c r="O14" s="57"/>
      <c r="P14" s="57"/>
      <c r="Q14" s="58"/>
      <c r="R14" s="57"/>
      <c r="S14" s="56"/>
      <c r="T14" s="56"/>
      <c r="U14" s="56"/>
      <c r="V14" s="56"/>
      <c r="W14" s="56"/>
      <c r="X14" s="56"/>
      <c r="Y14" s="56"/>
      <c r="Z14" s="56"/>
      <c r="AA14" s="56"/>
      <c r="AB14" s="56"/>
      <c r="AC14" s="56"/>
      <c r="AD14" s="56"/>
      <c r="AE14" s="56"/>
      <c r="AF14" s="56"/>
      <c r="AG14" s="56"/>
      <c r="AH14" s="56"/>
      <c r="AI14" s="56"/>
      <c r="AJ14" s="56"/>
      <c r="AK14" s="56"/>
      <c r="AL14" s="56"/>
    </row>
    <row r="15" spans="1:38" ht="14.25" customHeight="1">
      <c r="A15" s="56"/>
      <c r="B15" s="18" t="s">
        <v>74</v>
      </c>
      <c r="C15" s="60">
        <f ca="1">Q19</f>
        <v>35</v>
      </c>
      <c r="D15" s="59"/>
      <c r="E15" s="37"/>
      <c r="F15" s="37"/>
      <c r="G15" s="39"/>
      <c r="H15" s="57"/>
      <c r="I15" s="57"/>
      <c r="J15" s="57"/>
      <c r="K15" s="58"/>
      <c r="L15" s="57"/>
      <c r="M15" s="57"/>
      <c r="N15" s="57"/>
      <c r="O15" s="57"/>
      <c r="P15" s="57"/>
      <c r="Q15" s="58"/>
      <c r="R15" s="57"/>
      <c r="S15" s="56"/>
      <c r="T15" s="56"/>
      <c r="U15" s="56"/>
      <c r="V15" s="56"/>
      <c r="W15" s="56"/>
      <c r="X15" s="56"/>
      <c r="Y15" s="56"/>
      <c r="Z15" s="56"/>
      <c r="AA15" s="56"/>
      <c r="AB15" s="56"/>
      <c r="AC15" s="56"/>
      <c r="AD15" s="56"/>
      <c r="AE15" s="56"/>
      <c r="AF15" s="56"/>
      <c r="AG15" s="56"/>
      <c r="AH15" s="56"/>
      <c r="AI15" s="56"/>
      <c r="AJ15" s="56"/>
      <c r="AK15" s="56"/>
      <c r="AL15" s="56"/>
    </row>
    <row r="16" spans="1:38" ht="14.25" customHeight="1">
      <c r="A16" s="56"/>
      <c r="B16" s="56"/>
      <c r="C16" s="56"/>
      <c r="D16" s="56"/>
      <c r="E16" s="56"/>
      <c r="F16" s="57"/>
      <c r="G16" s="57"/>
      <c r="H16" s="57"/>
      <c r="I16" s="57"/>
      <c r="J16" s="57"/>
      <c r="K16" s="58"/>
      <c r="L16" s="57"/>
      <c r="M16" s="57"/>
      <c r="N16" s="57"/>
      <c r="O16" s="57"/>
      <c r="P16" s="57"/>
      <c r="Q16" s="58"/>
      <c r="R16" s="57"/>
      <c r="S16" s="56"/>
      <c r="T16" s="56"/>
      <c r="U16" s="56"/>
      <c r="V16" s="56"/>
      <c r="W16" s="56"/>
      <c r="X16" s="56"/>
      <c r="Y16" s="56"/>
      <c r="Z16" s="56"/>
      <c r="AA16" s="56"/>
      <c r="AB16" s="56"/>
      <c r="AC16" s="56"/>
      <c r="AD16" s="56"/>
      <c r="AE16" s="56"/>
      <c r="AF16" s="56"/>
      <c r="AG16" s="56"/>
      <c r="AH16" s="56"/>
      <c r="AI16" s="56"/>
      <c r="AJ16" s="56"/>
      <c r="AK16" s="56"/>
      <c r="AL16" s="56"/>
    </row>
    <row r="17" spans="1:38" ht="14.25" customHeight="1">
      <c r="A17" s="56"/>
      <c r="B17" s="56"/>
      <c r="C17" s="56"/>
      <c r="D17" s="56"/>
      <c r="E17" s="56"/>
      <c r="F17" s="57"/>
      <c r="G17" s="57"/>
      <c r="H17" s="57"/>
      <c r="I17" s="57"/>
      <c r="J17" s="57"/>
      <c r="K17" s="58"/>
      <c r="L17" s="57"/>
      <c r="M17" s="57"/>
      <c r="N17" s="57"/>
      <c r="O17" s="57"/>
      <c r="P17" s="57"/>
      <c r="Q17" s="58"/>
      <c r="R17" s="57"/>
      <c r="S17" s="56"/>
      <c r="T17" s="56"/>
      <c r="U17" s="56"/>
      <c r="V17" s="56"/>
      <c r="W17" s="56"/>
      <c r="X17" s="56"/>
      <c r="Y17" s="56"/>
      <c r="Z17" s="56"/>
      <c r="AA17" s="56"/>
      <c r="AB17" s="56"/>
      <c r="AC17" s="56"/>
      <c r="AD17" s="56"/>
      <c r="AE17" s="56"/>
      <c r="AF17" s="56"/>
      <c r="AG17" s="56"/>
      <c r="AH17" s="56"/>
      <c r="AI17" s="56"/>
      <c r="AJ17" s="56"/>
      <c r="AK17" s="56"/>
      <c r="AL17" s="56"/>
    </row>
    <row r="18" spans="1:38" ht="26.55" customHeight="1">
      <c r="A18" s="56"/>
      <c r="B18" s="508" t="s">
        <v>81</v>
      </c>
      <c r="C18" s="508" t="s">
        <v>32</v>
      </c>
      <c r="D18" s="508" t="s">
        <v>7</v>
      </c>
      <c r="E18" s="508" t="s">
        <v>170</v>
      </c>
      <c r="F18" s="508" t="s">
        <v>171</v>
      </c>
      <c r="G18" s="508" t="s">
        <v>172</v>
      </c>
      <c r="H18" s="508" t="s">
        <v>173</v>
      </c>
      <c r="I18" s="508" t="s">
        <v>174</v>
      </c>
      <c r="J18" s="508" t="s">
        <v>175</v>
      </c>
      <c r="K18" s="508" t="s">
        <v>176</v>
      </c>
      <c r="L18" s="508" t="s">
        <v>177</v>
      </c>
      <c r="M18" s="508" t="s">
        <v>178</v>
      </c>
      <c r="N18" s="508" t="s">
        <v>179</v>
      </c>
      <c r="O18" s="508" t="s">
        <v>148</v>
      </c>
      <c r="P18" s="508" t="s">
        <v>180</v>
      </c>
      <c r="Q18" s="508" t="s">
        <v>181</v>
      </c>
      <c r="R18" s="508" t="s">
        <v>182</v>
      </c>
      <c r="S18" s="56"/>
      <c r="T18" s="56"/>
      <c r="U18" s="56"/>
      <c r="V18" s="56"/>
      <c r="W18" s="56"/>
      <c r="X18" s="56"/>
      <c r="Y18" s="56"/>
      <c r="Z18" s="56"/>
      <c r="AA18" s="56"/>
      <c r="AB18" s="56"/>
      <c r="AC18" s="56"/>
      <c r="AD18" s="56"/>
      <c r="AE18" s="56"/>
      <c r="AF18" s="56"/>
      <c r="AG18" s="56"/>
      <c r="AH18" s="56"/>
      <c r="AI18" s="56"/>
      <c r="AJ18" s="56"/>
      <c r="AK18" s="56"/>
      <c r="AL18" s="56"/>
    </row>
    <row r="19" spans="1:38" ht="14.25" customHeight="1">
      <c r="A19" s="56"/>
      <c r="B19" s="717" t="s">
        <v>85</v>
      </c>
      <c r="C19" s="723" t="s">
        <v>161</v>
      </c>
      <c r="D19" s="717">
        <v>8</v>
      </c>
      <c r="E19" s="42" t="s">
        <v>183</v>
      </c>
      <c r="F19" s="42">
        <f>VLOOKUP(C19,'Help Moisture percentages'!$C$21:$E$660,3,FALSE)</f>
        <v>3</v>
      </c>
      <c r="G19" s="42">
        <f t="shared" ref="G19:G26" si="0">F19/100*D19</f>
        <v>0.24</v>
      </c>
      <c r="H19" s="42">
        <f t="shared" ref="H19:H26" ca="1" si="1">SUMIF($B$19:$G$999,B19,$G$19:$G$999)</f>
        <v>28.200000000000003</v>
      </c>
      <c r="I19" s="42">
        <f t="shared" ref="I19:I26" si="2">IF(F19&gt;0,D19,0)</f>
        <v>8</v>
      </c>
      <c r="J19" s="42">
        <f t="shared" ref="J19:J26" ca="1" si="3">SUMIF($B$19:$I$999,B19,$I$19:$I$999)</f>
        <v>479</v>
      </c>
      <c r="K19" s="42">
        <f t="shared" ref="K19:K26" ca="1" si="4">1000/J19*H19</f>
        <v>58.87265135699375</v>
      </c>
      <c r="L19" s="42">
        <f>VLOOKUP(C19,'Help Moisture percentages'!$C$22:$F$660,4,FALSE)</f>
        <v>0</v>
      </c>
      <c r="M19" s="42">
        <f t="shared" ref="M19:M26" si="5">L19/100*D19</f>
        <v>0</v>
      </c>
      <c r="N19" s="42">
        <f t="shared" ref="N19:N26" ca="1" si="6">SUMIF($B$19:$M$999,B19,$M$19:$M$999)</f>
        <v>17.535</v>
      </c>
      <c r="O19" s="42">
        <f t="shared" ref="O19:O26" si="7">IF(L19&gt;0,D19,0)</f>
        <v>0</v>
      </c>
      <c r="P19" s="42">
        <f t="shared" ref="P19:P26" ca="1" si="8">SUMIF($B$19:$O$999,B19,$O$19:$O$999)</f>
        <v>501</v>
      </c>
      <c r="Q19" s="42">
        <f t="shared" ref="Q19:Q26" ca="1" si="9">IF(P19&gt;0,1000/P19*N19,0)</f>
        <v>35</v>
      </c>
      <c r="R19" s="42">
        <f t="shared" ref="R19:R26" ca="1" si="10">H19+N19</f>
        <v>45.734999999999999</v>
      </c>
      <c r="S19" s="56"/>
      <c r="T19" s="56"/>
      <c r="U19" s="56"/>
      <c r="V19" s="56"/>
      <c r="W19" s="56"/>
      <c r="X19" s="56"/>
      <c r="Y19" s="56"/>
      <c r="Z19" s="56"/>
      <c r="AA19" s="56"/>
      <c r="AB19" s="56"/>
      <c r="AC19" s="56"/>
      <c r="AD19" s="56"/>
      <c r="AE19" s="56"/>
      <c r="AF19" s="56"/>
      <c r="AG19" s="56"/>
      <c r="AH19" s="56"/>
      <c r="AI19" s="56"/>
      <c r="AJ19" s="56"/>
      <c r="AK19" s="56"/>
      <c r="AL19" s="56"/>
    </row>
    <row r="20" spans="1:38" ht="14.25" customHeight="1">
      <c r="A20" s="56"/>
      <c r="B20" s="717" t="s">
        <v>85</v>
      </c>
      <c r="C20" s="717" t="s">
        <v>158</v>
      </c>
      <c r="D20" s="717">
        <v>70</v>
      </c>
      <c r="E20" s="42" t="s">
        <v>183</v>
      </c>
      <c r="F20" s="42">
        <f>VLOOKUP(C20,'Help Moisture percentages'!$C$21:$E$660,3,FALSE)</f>
        <v>6</v>
      </c>
      <c r="G20" s="42">
        <f t="shared" si="0"/>
        <v>4.2</v>
      </c>
      <c r="H20" s="42">
        <f t="shared" ca="1" si="1"/>
        <v>28.200000000000003</v>
      </c>
      <c r="I20" s="42">
        <f t="shared" si="2"/>
        <v>70</v>
      </c>
      <c r="J20" s="42">
        <f t="shared" ca="1" si="3"/>
        <v>479</v>
      </c>
      <c r="K20" s="42">
        <f t="shared" ca="1" si="4"/>
        <v>58.87265135699375</v>
      </c>
      <c r="L20" s="42">
        <f>VLOOKUP(C20,'Help Moisture percentages'!$C$22:$F$660,4,FALSE)</f>
        <v>0</v>
      </c>
      <c r="M20" s="42">
        <f t="shared" si="5"/>
        <v>0</v>
      </c>
      <c r="N20" s="42">
        <f t="shared" ca="1" si="6"/>
        <v>17.535</v>
      </c>
      <c r="O20" s="42">
        <f t="shared" si="7"/>
        <v>0</v>
      </c>
      <c r="P20" s="42">
        <f t="shared" ca="1" si="8"/>
        <v>501</v>
      </c>
      <c r="Q20" s="42">
        <f t="shared" ca="1" si="9"/>
        <v>35</v>
      </c>
      <c r="R20" s="42">
        <f t="shared" ca="1" si="10"/>
        <v>45.734999999999999</v>
      </c>
      <c r="S20" s="56"/>
      <c r="T20" s="56"/>
      <c r="U20" s="56"/>
      <c r="V20" s="56"/>
      <c r="W20" s="56"/>
      <c r="X20" s="56"/>
      <c r="Y20" s="56"/>
      <c r="Z20" s="56"/>
      <c r="AA20" s="56"/>
      <c r="AB20" s="56"/>
      <c r="AC20" s="56"/>
      <c r="AD20" s="56"/>
      <c r="AE20" s="56"/>
      <c r="AF20" s="56"/>
      <c r="AG20" s="56"/>
      <c r="AH20" s="56"/>
      <c r="AI20" s="56"/>
      <c r="AJ20" s="56"/>
      <c r="AK20" s="56"/>
      <c r="AL20" s="56"/>
    </row>
    <row r="21" spans="1:38" ht="14.25" customHeight="1">
      <c r="A21" s="56"/>
      <c r="B21" s="717" t="s">
        <v>85</v>
      </c>
      <c r="C21" s="723" t="s">
        <v>1376</v>
      </c>
      <c r="D21" s="717">
        <v>75</v>
      </c>
      <c r="E21" s="42" t="s">
        <v>183</v>
      </c>
      <c r="F21" s="42">
        <f>VLOOKUP(C21,'Help Moisture percentages'!$C$21:$E$660,3,FALSE)</f>
        <v>6</v>
      </c>
      <c r="G21" s="42">
        <f t="shared" si="0"/>
        <v>4.5</v>
      </c>
      <c r="H21" s="42">
        <f t="shared" ca="1" si="1"/>
        <v>28.200000000000003</v>
      </c>
      <c r="I21" s="42">
        <f t="shared" si="2"/>
        <v>75</v>
      </c>
      <c r="J21" s="42">
        <f t="shared" ca="1" si="3"/>
        <v>479</v>
      </c>
      <c r="K21" s="42">
        <f t="shared" ca="1" si="4"/>
        <v>58.87265135699375</v>
      </c>
      <c r="L21" s="42">
        <f>VLOOKUP(C21,'Help Moisture percentages'!$C$22:$F$660,4,FALSE)</f>
        <v>0</v>
      </c>
      <c r="M21" s="42">
        <f t="shared" si="5"/>
        <v>0</v>
      </c>
      <c r="N21" s="42">
        <f t="shared" ca="1" si="6"/>
        <v>17.535</v>
      </c>
      <c r="O21" s="42">
        <f t="shared" si="7"/>
        <v>0</v>
      </c>
      <c r="P21" s="42">
        <f t="shared" ca="1" si="8"/>
        <v>501</v>
      </c>
      <c r="Q21" s="42">
        <f t="shared" ca="1" si="9"/>
        <v>35</v>
      </c>
      <c r="R21" s="42">
        <f t="shared" ca="1" si="10"/>
        <v>45.734999999999999</v>
      </c>
      <c r="S21" s="56"/>
      <c r="T21" s="56"/>
      <c r="U21" s="56"/>
      <c r="V21" s="56"/>
      <c r="W21" s="56"/>
      <c r="X21" s="56"/>
      <c r="Y21" s="56"/>
      <c r="Z21" s="56"/>
      <c r="AA21" s="56"/>
      <c r="AB21" s="56"/>
      <c r="AC21" s="56"/>
      <c r="AD21" s="56"/>
      <c r="AE21" s="56"/>
      <c r="AF21" s="56"/>
      <c r="AG21" s="56"/>
      <c r="AH21" s="56"/>
      <c r="AI21" s="56"/>
      <c r="AJ21" s="56"/>
      <c r="AK21" s="56"/>
      <c r="AL21" s="56"/>
    </row>
    <row r="22" spans="1:38" ht="14.25" customHeight="1">
      <c r="A22" s="56"/>
      <c r="B22" s="717" t="s">
        <v>85</v>
      </c>
      <c r="C22" s="722" t="s">
        <v>161</v>
      </c>
      <c r="D22" s="717">
        <v>10</v>
      </c>
      <c r="E22" s="42" t="s">
        <v>183</v>
      </c>
      <c r="F22" s="42">
        <f>VLOOKUP(C22,'Help Moisture percentages'!$C$21:$E$660,3,FALSE)</f>
        <v>3</v>
      </c>
      <c r="G22" s="42">
        <f t="shared" si="0"/>
        <v>0.3</v>
      </c>
      <c r="H22" s="42">
        <f t="shared" ca="1" si="1"/>
        <v>28.200000000000003</v>
      </c>
      <c r="I22" s="42">
        <f t="shared" si="2"/>
        <v>10</v>
      </c>
      <c r="J22" s="42">
        <f t="shared" ca="1" si="3"/>
        <v>479</v>
      </c>
      <c r="K22" s="42">
        <f t="shared" ca="1" si="4"/>
        <v>58.87265135699375</v>
      </c>
      <c r="L22" s="42">
        <f>VLOOKUP(C22,'Help Moisture percentages'!$C$22:$F$660,4,FALSE)</f>
        <v>0</v>
      </c>
      <c r="M22" s="42">
        <f t="shared" si="5"/>
        <v>0</v>
      </c>
      <c r="N22" s="42">
        <f t="shared" ca="1" si="6"/>
        <v>17.535</v>
      </c>
      <c r="O22" s="42">
        <f t="shared" si="7"/>
        <v>0</v>
      </c>
      <c r="P22" s="42">
        <f t="shared" ca="1" si="8"/>
        <v>501</v>
      </c>
      <c r="Q22" s="42">
        <f t="shared" ca="1" si="9"/>
        <v>35</v>
      </c>
      <c r="R22" s="42">
        <f t="shared" ca="1" si="10"/>
        <v>45.734999999999999</v>
      </c>
      <c r="S22" s="56"/>
      <c r="T22" s="56"/>
      <c r="U22" s="56"/>
      <c r="V22" s="56"/>
      <c r="W22" s="56"/>
      <c r="X22" s="56"/>
      <c r="Y22" s="56"/>
      <c r="Z22" s="56"/>
      <c r="AA22" s="56"/>
      <c r="AB22" s="56"/>
      <c r="AC22" s="56"/>
      <c r="AD22" s="56"/>
      <c r="AE22" s="56"/>
      <c r="AF22" s="56"/>
      <c r="AG22" s="56"/>
      <c r="AH22" s="56"/>
      <c r="AI22" s="56"/>
      <c r="AJ22" s="56"/>
      <c r="AK22" s="56"/>
      <c r="AL22" s="56"/>
    </row>
    <row r="23" spans="1:38" ht="14.25" customHeight="1">
      <c r="A23" s="56"/>
      <c r="B23" s="717" t="s">
        <v>85</v>
      </c>
      <c r="C23" s="722" t="s">
        <v>150</v>
      </c>
      <c r="D23" s="717">
        <v>20</v>
      </c>
      <c r="E23" s="42" t="s">
        <v>183</v>
      </c>
      <c r="F23" s="42">
        <f>VLOOKUP(C23,'Help Moisture percentages'!$C$21:$E$660,3,FALSE)</f>
        <v>0</v>
      </c>
      <c r="G23" s="42">
        <f t="shared" si="0"/>
        <v>0</v>
      </c>
      <c r="H23" s="42">
        <f t="shared" ca="1" si="1"/>
        <v>28.200000000000003</v>
      </c>
      <c r="I23" s="42">
        <f t="shared" si="2"/>
        <v>0</v>
      </c>
      <c r="J23" s="42">
        <f t="shared" ca="1" si="3"/>
        <v>479</v>
      </c>
      <c r="K23" s="42">
        <f t="shared" ca="1" si="4"/>
        <v>58.87265135699375</v>
      </c>
      <c r="L23" s="42">
        <f>VLOOKUP(C23,'Help Moisture percentages'!$C$22:$F$660,4,FALSE)</f>
        <v>0</v>
      </c>
      <c r="M23" s="42">
        <f t="shared" si="5"/>
        <v>0</v>
      </c>
      <c r="N23" s="42">
        <f t="shared" ca="1" si="6"/>
        <v>17.535</v>
      </c>
      <c r="O23" s="42">
        <f t="shared" si="7"/>
        <v>0</v>
      </c>
      <c r="P23" s="42">
        <f t="shared" ca="1" si="8"/>
        <v>501</v>
      </c>
      <c r="Q23" s="42">
        <f t="shared" ca="1" si="9"/>
        <v>35</v>
      </c>
      <c r="R23" s="42">
        <f t="shared" ca="1" si="10"/>
        <v>45.734999999999999</v>
      </c>
      <c r="S23" s="56"/>
      <c r="T23" s="56"/>
      <c r="U23" s="56"/>
      <c r="V23" s="56"/>
      <c r="W23" s="56"/>
      <c r="X23" s="56"/>
      <c r="Y23" s="56"/>
      <c r="Z23" s="56"/>
      <c r="AA23" s="56"/>
      <c r="AB23" s="56"/>
      <c r="AC23" s="56"/>
      <c r="AD23" s="56"/>
      <c r="AE23" s="56"/>
      <c r="AF23" s="56"/>
      <c r="AG23" s="56"/>
      <c r="AH23" s="56"/>
      <c r="AI23" s="56"/>
      <c r="AJ23" s="56"/>
      <c r="AK23" s="56"/>
      <c r="AL23" s="56"/>
    </row>
    <row r="24" spans="1:38" ht="14.25" customHeight="1">
      <c r="A24" s="56"/>
      <c r="B24" s="717" t="s">
        <v>85</v>
      </c>
      <c r="C24" s="722" t="s">
        <v>37</v>
      </c>
      <c r="D24" s="717">
        <v>501</v>
      </c>
      <c r="E24" s="42" t="s">
        <v>183</v>
      </c>
      <c r="F24" s="42">
        <f>VLOOKUP(C24,'Help Moisture percentages'!$C$21:$E$660,3,FALSE)</f>
        <v>0</v>
      </c>
      <c r="G24" s="42">
        <f t="shared" si="0"/>
        <v>0</v>
      </c>
      <c r="H24" s="42">
        <f t="shared" ca="1" si="1"/>
        <v>28.200000000000003</v>
      </c>
      <c r="I24" s="42">
        <f t="shared" si="2"/>
        <v>0</v>
      </c>
      <c r="J24" s="42">
        <f t="shared" ca="1" si="3"/>
        <v>479</v>
      </c>
      <c r="K24" s="42">
        <f t="shared" ca="1" si="4"/>
        <v>58.87265135699375</v>
      </c>
      <c r="L24" s="42">
        <f>VLOOKUP(C24,'Help Moisture percentages'!$C$22:$F$660,4,FALSE)</f>
        <v>3.5</v>
      </c>
      <c r="M24" s="42">
        <f t="shared" si="5"/>
        <v>17.535</v>
      </c>
      <c r="N24" s="42">
        <f t="shared" ca="1" si="6"/>
        <v>17.535</v>
      </c>
      <c r="O24" s="42">
        <f t="shared" si="7"/>
        <v>501</v>
      </c>
      <c r="P24" s="42">
        <f t="shared" ca="1" si="8"/>
        <v>501</v>
      </c>
      <c r="Q24" s="42">
        <f t="shared" ca="1" si="9"/>
        <v>35</v>
      </c>
      <c r="R24" s="42">
        <f t="shared" ca="1" si="10"/>
        <v>45.734999999999999</v>
      </c>
      <c r="S24" s="56"/>
      <c r="T24" s="56"/>
      <c r="U24" s="56"/>
      <c r="V24" s="56"/>
      <c r="W24" s="56"/>
      <c r="X24" s="56"/>
      <c r="Y24" s="56"/>
      <c r="Z24" s="56"/>
      <c r="AA24" s="56"/>
      <c r="AB24" s="56"/>
      <c r="AC24" s="56"/>
      <c r="AD24" s="56"/>
      <c r="AE24" s="56"/>
      <c r="AF24" s="56"/>
      <c r="AG24" s="56"/>
      <c r="AH24" s="56"/>
      <c r="AI24" s="56"/>
      <c r="AJ24" s="56"/>
      <c r="AK24" s="56"/>
      <c r="AL24" s="56"/>
    </row>
    <row r="25" spans="1:38" ht="14.25" customHeight="1">
      <c r="A25" s="56"/>
      <c r="B25" s="717" t="s">
        <v>85</v>
      </c>
      <c r="C25" s="729" t="s">
        <v>36</v>
      </c>
      <c r="D25" s="717">
        <v>192</v>
      </c>
      <c r="E25" s="42" t="s">
        <v>183</v>
      </c>
      <c r="F25" s="42">
        <f>VLOOKUP(C25,'Help Moisture percentages'!$C$21:$E$660,3,FALSE)</f>
        <v>6</v>
      </c>
      <c r="G25" s="42">
        <f t="shared" si="0"/>
        <v>11.52</v>
      </c>
      <c r="H25" s="42">
        <f t="shared" ca="1" si="1"/>
        <v>28.200000000000003</v>
      </c>
      <c r="I25" s="42">
        <f t="shared" si="2"/>
        <v>192</v>
      </c>
      <c r="J25" s="42">
        <f t="shared" ca="1" si="3"/>
        <v>479</v>
      </c>
      <c r="K25" s="42">
        <f t="shared" ca="1" si="4"/>
        <v>58.87265135699375</v>
      </c>
      <c r="L25" s="42">
        <f>VLOOKUP(C25,'Help Moisture percentages'!$C$22:$F$660,4,FALSE)</f>
        <v>0</v>
      </c>
      <c r="M25" s="42">
        <f t="shared" si="5"/>
        <v>0</v>
      </c>
      <c r="N25" s="42">
        <f t="shared" ca="1" si="6"/>
        <v>17.535</v>
      </c>
      <c r="O25" s="42">
        <f t="shared" si="7"/>
        <v>0</v>
      </c>
      <c r="P25" s="42">
        <f t="shared" ca="1" si="8"/>
        <v>501</v>
      </c>
      <c r="Q25" s="42">
        <f t="shared" ca="1" si="9"/>
        <v>35</v>
      </c>
      <c r="R25" s="42">
        <f t="shared" ca="1" si="10"/>
        <v>45.734999999999999</v>
      </c>
      <c r="S25" s="56"/>
      <c r="T25" s="56"/>
      <c r="U25" s="56"/>
      <c r="V25" s="56"/>
      <c r="W25" s="56"/>
      <c r="X25" s="56"/>
      <c r="Y25" s="56"/>
      <c r="Z25" s="56"/>
      <c r="AA25" s="56"/>
      <c r="AB25" s="56"/>
      <c r="AC25" s="56"/>
      <c r="AD25" s="56"/>
      <c r="AE25" s="56"/>
      <c r="AF25" s="56"/>
      <c r="AG25" s="56"/>
      <c r="AH25" s="56"/>
      <c r="AI25" s="56"/>
      <c r="AJ25" s="56"/>
      <c r="AK25" s="56"/>
      <c r="AL25" s="56"/>
    </row>
    <row r="26" spans="1:38" ht="14.25" customHeight="1">
      <c r="A26" s="56"/>
      <c r="B26" s="717" t="s">
        <v>85</v>
      </c>
      <c r="C26" s="722" t="s">
        <v>1376</v>
      </c>
      <c r="D26" s="717">
        <v>124</v>
      </c>
      <c r="E26" s="42" t="s">
        <v>183</v>
      </c>
      <c r="F26" s="42">
        <f>VLOOKUP(C26,'Help Moisture percentages'!$C$21:$E$660,3,FALSE)</f>
        <v>6</v>
      </c>
      <c r="G26" s="42">
        <f t="shared" si="0"/>
        <v>7.4399999999999995</v>
      </c>
      <c r="H26" s="42">
        <f t="shared" ca="1" si="1"/>
        <v>28.200000000000003</v>
      </c>
      <c r="I26" s="42">
        <f t="shared" si="2"/>
        <v>124</v>
      </c>
      <c r="J26" s="42">
        <f t="shared" ca="1" si="3"/>
        <v>479</v>
      </c>
      <c r="K26" s="42">
        <f t="shared" ca="1" si="4"/>
        <v>58.87265135699375</v>
      </c>
      <c r="L26" s="42">
        <f>VLOOKUP(C26,'Help Moisture percentages'!$C$22:$F$660,4,FALSE)</f>
        <v>0</v>
      </c>
      <c r="M26" s="42">
        <f t="shared" si="5"/>
        <v>0</v>
      </c>
      <c r="N26" s="42">
        <f t="shared" ca="1" si="6"/>
        <v>17.535</v>
      </c>
      <c r="O26" s="42">
        <f t="shared" si="7"/>
        <v>0</v>
      </c>
      <c r="P26" s="42">
        <f t="shared" ca="1" si="8"/>
        <v>501</v>
      </c>
      <c r="Q26" s="42">
        <f t="shared" ca="1" si="9"/>
        <v>35</v>
      </c>
      <c r="R26" s="42">
        <f t="shared" ca="1" si="10"/>
        <v>45.734999999999999</v>
      </c>
      <c r="S26" s="56"/>
      <c r="T26" s="56"/>
      <c r="U26" s="56"/>
      <c r="V26" s="56"/>
      <c r="W26" s="56"/>
      <c r="X26" s="56"/>
      <c r="Y26" s="56"/>
      <c r="Z26" s="56"/>
      <c r="AA26" s="56"/>
      <c r="AB26" s="56"/>
      <c r="AC26" s="56"/>
      <c r="AD26" s="56"/>
      <c r="AE26" s="56"/>
      <c r="AF26" s="56"/>
      <c r="AG26" s="56"/>
      <c r="AH26" s="56"/>
      <c r="AI26" s="56"/>
      <c r="AJ26" s="56"/>
      <c r="AK26" s="56"/>
      <c r="AL26" s="56"/>
    </row>
    <row r="27" spans="1:38" ht="14.25" customHeight="1">
      <c r="A27" s="56"/>
      <c r="B27" s="721"/>
      <c r="C27" s="721"/>
      <c r="D27" s="717"/>
      <c r="E27" s="42"/>
      <c r="F27" s="42"/>
      <c r="G27" s="42"/>
      <c r="H27" s="42"/>
      <c r="I27" s="42"/>
      <c r="J27" s="42"/>
      <c r="K27" s="42"/>
      <c r="L27" s="42"/>
      <c r="M27" s="42"/>
      <c r="N27" s="42"/>
      <c r="O27" s="42"/>
      <c r="P27" s="42"/>
      <c r="Q27" s="42"/>
      <c r="R27" s="42"/>
      <c r="S27" s="56"/>
      <c r="T27" s="56"/>
      <c r="U27" s="56"/>
      <c r="V27" s="56"/>
      <c r="W27" s="56"/>
      <c r="X27" s="56"/>
      <c r="Y27" s="56"/>
      <c r="Z27" s="56"/>
      <c r="AA27" s="56"/>
      <c r="AB27" s="56"/>
      <c r="AC27" s="56"/>
      <c r="AD27" s="56"/>
      <c r="AE27" s="56"/>
      <c r="AF27" s="56"/>
      <c r="AG27" s="56"/>
      <c r="AH27" s="56"/>
      <c r="AI27" s="56"/>
      <c r="AJ27" s="56"/>
      <c r="AK27" s="56"/>
      <c r="AL27" s="56"/>
    </row>
    <row r="28" spans="1:38" ht="14.25" customHeight="1">
      <c r="A28" s="56"/>
      <c r="B28" s="721"/>
      <c r="C28" s="721"/>
      <c r="D28" s="717"/>
      <c r="E28" s="42"/>
      <c r="F28" s="42"/>
      <c r="G28" s="42"/>
      <c r="H28" s="42"/>
      <c r="I28" s="42"/>
      <c r="J28" s="42"/>
      <c r="K28" s="42"/>
      <c r="L28" s="42"/>
      <c r="M28" s="42"/>
      <c r="N28" s="42"/>
      <c r="O28" s="42"/>
      <c r="P28" s="42"/>
      <c r="Q28" s="42"/>
      <c r="R28" s="42"/>
      <c r="S28" s="56"/>
      <c r="T28" s="56"/>
      <c r="U28" s="56"/>
      <c r="V28" s="56"/>
      <c r="W28" s="56"/>
      <c r="X28" s="56"/>
      <c r="Y28" s="56"/>
      <c r="Z28" s="56"/>
      <c r="AA28" s="56"/>
      <c r="AB28" s="56"/>
      <c r="AC28" s="56"/>
      <c r="AD28" s="56"/>
      <c r="AE28" s="56"/>
      <c r="AF28" s="56"/>
      <c r="AG28" s="56"/>
      <c r="AH28" s="56"/>
      <c r="AI28" s="56"/>
      <c r="AJ28" s="56"/>
      <c r="AK28" s="56"/>
      <c r="AL28" s="56"/>
    </row>
    <row r="29" spans="1:38" ht="14.25" customHeight="1">
      <c r="A29" s="56"/>
      <c r="B29" s="721"/>
      <c r="C29" s="721"/>
      <c r="D29" s="717"/>
      <c r="E29" s="42"/>
      <c r="F29" s="42"/>
      <c r="G29" s="42"/>
      <c r="H29" s="42"/>
      <c r="I29" s="42"/>
      <c r="J29" s="42"/>
      <c r="K29" s="42"/>
      <c r="L29" s="42"/>
      <c r="M29" s="42"/>
      <c r="N29" s="42"/>
      <c r="O29" s="42"/>
      <c r="P29" s="42"/>
      <c r="Q29" s="42"/>
      <c r="R29" s="42"/>
      <c r="S29" s="56"/>
      <c r="T29" s="56"/>
      <c r="U29" s="56"/>
      <c r="V29" s="56"/>
      <c r="W29" s="56"/>
      <c r="X29" s="56"/>
      <c r="Y29" s="56"/>
      <c r="Z29" s="56"/>
      <c r="AA29" s="56"/>
      <c r="AB29" s="56"/>
      <c r="AC29" s="56"/>
      <c r="AD29" s="56"/>
      <c r="AE29" s="56"/>
      <c r="AF29" s="56"/>
      <c r="AG29" s="56"/>
      <c r="AH29" s="56"/>
      <c r="AI29" s="56"/>
      <c r="AJ29" s="56"/>
      <c r="AK29" s="56"/>
      <c r="AL29" s="56"/>
    </row>
    <row r="30" spans="1:38" ht="14.25" customHeight="1">
      <c r="A30" s="56"/>
      <c r="B30" s="721"/>
      <c r="C30" s="721"/>
      <c r="D30" s="717"/>
      <c r="E30" s="42"/>
      <c r="F30" s="42"/>
      <c r="G30" s="42"/>
      <c r="H30" s="42"/>
      <c r="I30" s="42"/>
      <c r="J30" s="42"/>
      <c r="K30" s="42"/>
      <c r="L30" s="42"/>
      <c r="M30" s="42"/>
      <c r="N30" s="42"/>
      <c r="O30" s="42"/>
      <c r="P30" s="42"/>
      <c r="Q30" s="42"/>
      <c r="R30" s="42"/>
      <c r="S30" s="56"/>
      <c r="T30" s="56"/>
      <c r="U30" s="56"/>
      <c r="V30" s="56"/>
      <c r="W30" s="56"/>
      <c r="X30" s="56"/>
      <c r="Y30" s="56"/>
      <c r="Z30" s="56"/>
      <c r="AA30" s="56"/>
      <c r="AB30" s="56"/>
      <c r="AC30" s="56"/>
      <c r="AD30" s="56"/>
      <c r="AE30" s="56"/>
      <c r="AF30" s="56"/>
      <c r="AG30" s="56"/>
      <c r="AH30" s="56"/>
      <c r="AI30" s="56"/>
      <c r="AJ30" s="56"/>
      <c r="AK30" s="56"/>
      <c r="AL30" s="56"/>
    </row>
    <row r="31" spans="1:38" ht="14.25" customHeight="1">
      <c r="A31" s="56"/>
      <c r="B31" s="721"/>
      <c r="C31" s="721"/>
      <c r="D31" s="717"/>
      <c r="E31" s="42"/>
      <c r="F31" s="42"/>
      <c r="G31" s="42"/>
      <c r="H31" s="42"/>
      <c r="I31" s="42"/>
      <c r="J31" s="42"/>
      <c r="K31" s="42"/>
      <c r="L31" s="42"/>
      <c r="M31" s="42"/>
      <c r="N31" s="42"/>
      <c r="O31" s="42"/>
      <c r="P31" s="42"/>
      <c r="Q31" s="42"/>
      <c r="R31" s="42"/>
      <c r="S31" s="56"/>
      <c r="T31" s="56"/>
      <c r="U31" s="56"/>
      <c r="V31" s="56"/>
      <c r="W31" s="56"/>
      <c r="X31" s="56"/>
      <c r="Y31" s="56"/>
      <c r="Z31" s="56"/>
      <c r="AA31" s="56"/>
      <c r="AB31" s="56"/>
      <c r="AC31" s="56"/>
      <c r="AD31" s="56"/>
      <c r="AE31" s="56"/>
      <c r="AF31" s="56"/>
      <c r="AG31" s="56"/>
      <c r="AH31" s="56"/>
      <c r="AI31" s="56"/>
      <c r="AJ31" s="56"/>
      <c r="AK31" s="56"/>
      <c r="AL31" s="56"/>
    </row>
    <row r="32" spans="1:38" ht="14.25" customHeight="1">
      <c r="A32" s="56"/>
      <c r="B32" s="721"/>
      <c r="C32" s="721"/>
      <c r="D32" s="717"/>
      <c r="E32" s="42"/>
      <c r="F32" s="42"/>
      <c r="G32" s="42"/>
      <c r="H32" s="42"/>
      <c r="I32" s="42"/>
      <c r="J32" s="42"/>
      <c r="K32" s="42"/>
      <c r="L32" s="42"/>
      <c r="M32" s="42"/>
      <c r="N32" s="42"/>
      <c r="O32" s="42"/>
      <c r="P32" s="42"/>
      <c r="Q32" s="42"/>
      <c r="R32" s="42"/>
      <c r="S32" s="56"/>
      <c r="T32" s="56"/>
      <c r="U32" s="56"/>
      <c r="V32" s="56"/>
      <c r="W32" s="56"/>
      <c r="X32" s="56"/>
      <c r="Y32" s="56"/>
      <c r="Z32" s="56"/>
      <c r="AA32" s="56"/>
      <c r="AB32" s="56"/>
      <c r="AC32" s="56"/>
      <c r="AD32" s="56"/>
      <c r="AE32" s="56"/>
      <c r="AF32" s="56"/>
      <c r="AG32" s="56"/>
      <c r="AH32" s="56"/>
      <c r="AI32" s="56"/>
      <c r="AJ32" s="56"/>
      <c r="AK32" s="56"/>
      <c r="AL32" s="56"/>
    </row>
    <row r="33" spans="1:38" ht="14.25" customHeight="1">
      <c r="A33" s="56"/>
      <c r="B33" s="721"/>
      <c r="C33" s="721"/>
      <c r="D33" s="717"/>
      <c r="E33" s="42"/>
      <c r="F33" s="42"/>
      <c r="G33" s="42"/>
      <c r="H33" s="42"/>
      <c r="I33" s="42"/>
      <c r="J33" s="42"/>
      <c r="K33" s="42"/>
      <c r="L33" s="42"/>
      <c r="M33" s="42"/>
      <c r="N33" s="42"/>
      <c r="O33" s="42"/>
      <c r="P33" s="42"/>
      <c r="Q33" s="42"/>
      <c r="R33" s="42"/>
      <c r="S33" s="56"/>
      <c r="T33" s="56"/>
      <c r="U33" s="56"/>
      <c r="V33" s="56"/>
      <c r="W33" s="56"/>
      <c r="X33" s="56"/>
      <c r="Y33" s="56"/>
      <c r="Z33" s="56"/>
      <c r="AA33" s="56"/>
      <c r="AB33" s="56"/>
      <c r="AC33" s="56"/>
      <c r="AD33" s="56"/>
      <c r="AE33" s="56"/>
      <c r="AF33" s="56"/>
      <c r="AG33" s="56"/>
      <c r="AH33" s="56"/>
      <c r="AI33" s="56"/>
      <c r="AJ33" s="56"/>
      <c r="AK33" s="56"/>
      <c r="AL33" s="56"/>
    </row>
    <row r="34" spans="1:38" ht="14.25" customHeight="1">
      <c r="A34" s="56"/>
      <c r="B34" s="721"/>
      <c r="C34" s="721"/>
      <c r="D34" s="717"/>
      <c r="E34" s="42"/>
      <c r="F34" s="42"/>
      <c r="G34" s="42"/>
      <c r="H34" s="42"/>
      <c r="I34" s="42"/>
      <c r="J34" s="42"/>
      <c r="K34" s="42"/>
      <c r="L34" s="42"/>
      <c r="M34" s="42"/>
      <c r="N34" s="42"/>
      <c r="O34" s="42"/>
      <c r="P34" s="42"/>
      <c r="Q34" s="42"/>
      <c r="R34" s="42"/>
      <c r="S34" s="56"/>
      <c r="T34" s="56"/>
      <c r="U34" s="56"/>
      <c r="V34" s="56"/>
      <c r="W34" s="56"/>
      <c r="X34" s="56"/>
      <c r="Y34" s="56"/>
      <c r="Z34" s="56"/>
      <c r="AA34" s="56"/>
      <c r="AB34" s="56"/>
      <c r="AC34" s="56"/>
      <c r="AD34" s="56"/>
      <c r="AE34" s="56"/>
      <c r="AF34" s="56"/>
      <c r="AG34" s="56"/>
      <c r="AH34" s="56"/>
      <c r="AI34" s="56"/>
      <c r="AJ34" s="56"/>
      <c r="AK34" s="56"/>
      <c r="AL34" s="56"/>
    </row>
    <row r="35" spans="1:38" ht="14.25" customHeight="1">
      <c r="A35" s="56"/>
      <c r="B35" s="721"/>
      <c r="C35" s="721"/>
      <c r="D35" s="717"/>
      <c r="E35" s="42"/>
      <c r="F35" s="42"/>
      <c r="G35" s="42"/>
      <c r="H35" s="42"/>
      <c r="I35" s="42"/>
      <c r="J35" s="42"/>
      <c r="K35" s="42"/>
      <c r="L35" s="42"/>
      <c r="M35" s="42"/>
      <c r="N35" s="42"/>
      <c r="O35" s="42"/>
      <c r="P35" s="42"/>
      <c r="Q35" s="42"/>
      <c r="R35" s="42"/>
      <c r="S35" s="56"/>
      <c r="T35" s="56"/>
      <c r="U35" s="56"/>
      <c r="V35" s="56"/>
      <c r="W35" s="56"/>
      <c r="X35" s="56"/>
      <c r="Y35" s="56"/>
      <c r="Z35" s="56"/>
      <c r="AA35" s="56"/>
      <c r="AB35" s="56"/>
      <c r="AC35" s="56"/>
      <c r="AD35" s="56"/>
      <c r="AE35" s="56"/>
      <c r="AF35" s="56"/>
      <c r="AG35" s="56"/>
      <c r="AH35" s="56"/>
      <c r="AI35" s="56"/>
      <c r="AJ35" s="56"/>
      <c r="AK35" s="56"/>
      <c r="AL35" s="56"/>
    </row>
    <row r="36" spans="1:38" ht="14.25" customHeight="1">
      <c r="A36" s="56"/>
      <c r="B36" s="721"/>
      <c r="C36" s="721"/>
      <c r="D36" s="717"/>
      <c r="E36" s="42"/>
      <c r="F36" s="42"/>
      <c r="G36" s="42"/>
      <c r="H36" s="42"/>
      <c r="I36" s="42"/>
      <c r="J36" s="42"/>
      <c r="K36" s="42"/>
      <c r="L36" s="42"/>
      <c r="M36" s="42"/>
      <c r="N36" s="42"/>
      <c r="O36" s="42"/>
      <c r="P36" s="42"/>
      <c r="Q36" s="42"/>
      <c r="R36" s="42"/>
      <c r="S36" s="56"/>
      <c r="T36" s="56"/>
      <c r="U36" s="56"/>
      <c r="V36" s="56"/>
      <c r="W36" s="56"/>
      <c r="X36" s="56"/>
      <c r="Y36" s="56"/>
      <c r="Z36" s="56"/>
      <c r="AA36" s="56"/>
      <c r="AB36" s="56"/>
      <c r="AC36" s="56"/>
      <c r="AD36" s="56"/>
      <c r="AE36" s="56"/>
      <c r="AF36" s="56"/>
      <c r="AG36" s="56"/>
      <c r="AH36" s="56"/>
      <c r="AI36" s="56"/>
      <c r="AJ36" s="56"/>
      <c r="AK36" s="56"/>
      <c r="AL36" s="56"/>
    </row>
    <row r="37" spans="1:38" ht="14.25" customHeight="1">
      <c r="A37" s="56"/>
      <c r="B37" s="721"/>
      <c r="C37" s="721"/>
      <c r="D37" s="717"/>
      <c r="E37" s="42"/>
      <c r="F37" s="42"/>
      <c r="G37" s="42"/>
      <c r="H37" s="42"/>
      <c r="I37" s="42"/>
      <c r="J37" s="42"/>
      <c r="K37" s="42"/>
      <c r="L37" s="42"/>
      <c r="M37" s="42"/>
      <c r="N37" s="42"/>
      <c r="O37" s="42"/>
      <c r="P37" s="42"/>
      <c r="Q37" s="42"/>
      <c r="R37" s="42"/>
      <c r="S37" s="56"/>
      <c r="T37" s="56"/>
      <c r="U37" s="56"/>
      <c r="V37" s="56"/>
      <c r="W37" s="56"/>
      <c r="X37" s="56"/>
      <c r="Y37" s="56"/>
      <c r="Z37" s="56"/>
      <c r="AA37" s="56"/>
      <c r="AB37" s="56"/>
      <c r="AC37" s="56"/>
      <c r="AD37" s="56"/>
      <c r="AE37" s="56"/>
      <c r="AF37" s="56"/>
      <c r="AG37" s="56"/>
      <c r="AH37" s="56"/>
      <c r="AI37" s="56"/>
      <c r="AJ37" s="56"/>
      <c r="AK37" s="56"/>
      <c r="AL37" s="56"/>
    </row>
    <row r="38" spans="1:38" ht="14.25" customHeight="1">
      <c r="A38" s="56"/>
      <c r="B38" s="721"/>
      <c r="C38" s="721"/>
      <c r="D38" s="717"/>
      <c r="E38" s="42"/>
      <c r="F38" s="42"/>
      <c r="G38" s="42"/>
      <c r="H38" s="42"/>
      <c r="I38" s="42"/>
      <c r="J38" s="42"/>
      <c r="K38" s="42"/>
      <c r="L38" s="42"/>
      <c r="M38" s="42"/>
      <c r="N38" s="42"/>
      <c r="O38" s="42"/>
      <c r="P38" s="42"/>
      <c r="Q38" s="42"/>
      <c r="R38" s="42"/>
      <c r="S38" s="56"/>
      <c r="T38" s="56"/>
      <c r="U38" s="56"/>
      <c r="V38" s="56"/>
      <c r="W38" s="56"/>
      <c r="X38" s="56"/>
      <c r="Y38" s="56"/>
      <c r="Z38" s="56"/>
      <c r="AA38" s="56"/>
      <c r="AB38" s="56"/>
      <c r="AC38" s="56"/>
      <c r="AD38" s="56"/>
      <c r="AE38" s="56"/>
      <c r="AF38" s="56"/>
      <c r="AG38" s="56"/>
      <c r="AH38" s="56"/>
      <c r="AI38" s="56"/>
      <c r="AJ38" s="56"/>
      <c r="AK38" s="56"/>
      <c r="AL38" s="56"/>
    </row>
    <row r="39" spans="1:38" ht="14.25" customHeight="1">
      <c r="A39" s="56"/>
      <c r="B39" s="721"/>
      <c r="C39" s="721"/>
      <c r="D39" s="717"/>
      <c r="E39" s="42"/>
      <c r="F39" s="42"/>
      <c r="G39" s="42"/>
      <c r="H39" s="42"/>
      <c r="I39" s="42"/>
      <c r="J39" s="42"/>
      <c r="K39" s="42"/>
      <c r="L39" s="42"/>
      <c r="M39" s="42"/>
      <c r="N39" s="42"/>
      <c r="O39" s="42"/>
      <c r="P39" s="42"/>
      <c r="Q39" s="42"/>
      <c r="R39" s="42"/>
      <c r="S39" s="56"/>
      <c r="T39" s="56"/>
      <c r="U39" s="56"/>
      <c r="V39" s="56"/>
      <c r="W39" s="56"/>
      <c r="X39" s="56"/>
      <c r="Y39" s="56"/>
      <c r="Z39" s="56"/>
      <c r="AA39" s="56"/>
      <c r="AB39" s="56"/>
      <c r="AC39" s="56"/>
      <c r="AD39" s="56"/>
      <c r="AE39" s="56"/>
      <c r="AF39" s="56"/>
      <c r="AG39" s="56"/>
      <c r="AH39" s="56"/>
      <c r="AI39" s="56"/>
      <c r="AJ39" s="56"/>
      <c r="AK39" s="56"/>
      <c r="AL39" s="56"/>
    </row>
    <row r="40" spans="1:38" ht="14.25" customHeight="1">
      <c r="A40" s="56"/>
      <c r="B40" s="721"/>
      <c r="C40" s="721"/>
      <c r="D40" s="717"/>
      <c r="E40" s="42"/>
      <c r="F40" s="42"/>
      <c r="G40" s="42"/>
      <c r="H40" s="42"/>
      <c r="I40" s="42"/>
      <c r="J40" s="42"/>
      <c r="K40" s="42"/>
      <c r="L40" s="42"/>
      <c r="M40" s="42"/>
      <c r="N40" s="42"/>
      <c r="O40" s="42"/>
      <c r="P40" s="42"/>
      <c r="Q40" s="42"/>
      <c r="R40" s="42"/>
      <c r="S40" s="56"/>
      <c r="T40" s="56"/>
      <c r="U40" s="56"/>
      <c r="V40" s="56"/>
      <c r="W40" s="56"/>
      <c r="X40" s="56"/>
      <c r="Y40" s="56"/>
      <c r="Z40" s="56"/>
      <c r="AA40" s="56"/>
      <c r="AB40" s="56"/>
      <c r="AC40" s="56"/>
      <c r="AD40" s="56"/>
      <c r="AE40" s="56"/>
      <c r="AF40" s="56"/>
      <c r="AG40" s="56"/>
      <c r="AH40" s="56"/>
      <c r="AI40" s="56"/>
      <c r="AJ40" s="56"/>
      <c r="AK40" s="56"/>
      <c r="AL40" s="56"/>
    </row>
    <row r="41" spans="1:38" ht="14.25" customHeight="1">
      <c r="A41" s="56"/>
      <c r="B41" s="721"/>
      <c r="C41" s="721"/>
      <c r="D41" s="717"/>
      <c r="E41" s="42"/>
      <c r="F41" s="42"/>
      <c r="G41" s="42"/>
      <c r="H41" s="42"/>
      <c r="I41" s="42"/>
      <c r="J41" s="42"/>
      <c r="K41" s="42"/>
      <c r="L41" s="42"/>
      <c r="M41" s="42"/>
      <c r="N41" s="42"/>
      <c r="O41" s="42"/>
      <c r="P41" s="42"/>
      <c r="Q41" s="42"/>
      <c r="R41" s="42"/>
      <c r="S41" s="56"/>
      <c r="T41" s="56"/>
      <c r="U41" s="56"/>
      <c r="V41" s="56"/>
      <c r="W41" s="56"/>
      <c r="X41" s="56"/>
      <c r="Y41" s="56"/>
      <c r="Z41" s="56"/>
      <c r="AA41" s="56"/>
      <c r="AB41" s="56"/>
      <c r="AC41" s="56"/>
      <c r="AD41" s="56"/>
      <c r="AE41" s="56"/>
      <c r="AF41" s="56"/>
      <c r="AG41" s="56"/>
      <c r="AH41" s="56"/>
      <c r="AI41" s="56"/>
      <c r="AJ41" s="56"/>
      <c r="AK41" s="56"/>
      <c r="AL41" s="56"/>
    </row>
    <row r="42" spans="1:38" ht="14.25" customHeight="1">
      <c r="A42" s="56"/>
      <c r="B42" s="721"/>
      <c r="C42" s="721"/>
      <c r="D42" s="717"/>
      <c r="E42" s="42"/>
      <c r="F42" s="42"/>
      <c r="G42" s="42"/>
      <c r="H42" s="42"/>
      <c r="I42" s="42"/>
      <c r="J42" s="42"/>
      <c r="K42" s="42"/>
      <c r="L42" s="42"/>
      <c r="M42" s="42"/>
      <c r="N42" s="42"/>
      <c r="O42" s="42"/>
      <c r="P42" s="42"/>
      <c r="Q42" s="42"/>
      <c r="R42" s="42"/>
      <c r="S42" s="56"/>
      <c r="T42" s="56"/>
      <c r="U42" s="56"/>
      <c r="V42" s="56"/>
      <c r="W42" s="56"/>
      <c r="X42" s="56"/>
      <c r="Y42" s="56"/>
      <c r="Z42" s="56"/>
      <c r="AA42" s="56"/>
      <c r="AB42" s="56"/>
      <c r="AC42" s="56"/>
      <c r="AD42" s="56"/>
      <c r="AE42" s="56"/>
      <c r="AF42" s="56"/>
      <c r="AG42" s="56"/>
      <c r="AH42" s="56"/>
      <c r="AI42" s="56"/>
      <c r="AJ42" s="56"/>
      <c r="AK42" s="56"/>
      <c r="AL42" s="56"/>
    </row>
    <row r="43" spans="1:38" ht="14.25" customHeight="1">
      <c r="A43" s="56"/>
      <c r="B43" s="721"/>
      <c r="C43" s="721"/>
      <c r="D43" s="717"/>
      <c r="E43" s="42"/>
      <c r="F43" s="42"/>
      <c r="G43" s="42"/>
      <c r="H43" s="42"/>
      <c r="I43" s="42"/>
      <c r="J43" s="42"/>
      <c r="K43" s="42"/>
      <c r="L43" s="42"/>
      <c r="M43" s="42"/>
      <c r="N43" s="42"/>
      <c r="O43" s="42"/>
      <c r="P43" s="42"/>
      <c r="Q43" s="42"/>
      <c r="R43" s="42"/>
      <c r="S43" s="56"/>
      <c r="T43" s="56"/>
      <c r="U43" s="56"/>
      <c r="V43" s="56"/>
      <c r="W43" s="56"/>
      <c r="X43" s="56"/>
      <c r="Y43" s="56"/>
      <c r="Z43" s="56"/>
      <c r="AA43" s="56"/>
      <c r="AB43" s="56"/>
      <c r="AC43" s="56"/>
      <c r="AD43" s="56"/>
      <c r="AE43" s="56"/>
      <c r="AF43" s="56"/>
      <c r="AG43" s="56"/>
      <c r="AH43" s="56"/>
      <c r="AI43" s="56"/>
      <c r="AJ43" s="56"/>
      <c r="AK43" s="56"/>
      <c r="AL43" s="56"/>
    </row>
    <row r="44" spans="1:38" ht="14.25" customHeight="1">
      <c r="A44" s="56"/>
      <c r="B44" s="721"/>
      <c r="C44" s="721"/>
      <c r="D44" s="717"/>
      <c r="E44" s="42"/>
      <c r="F44" s="42"/>
      <c r="G44" s="42"/>
      <c r="H44" s="42"/>
      <c r="I44" s="42"/>
      <c r="J44" s="42"/>
      <c r="K44" s="42"/>
      <c r="L44" s="42"/>
      <c r="M44" s="42"/>
      <c r="N44" s="42"/>
      <c r="O44" s="42"/>
      <c r="P44" s="42"/>
      <c r="Q44" s="42"/>
      <c r="R44" s="42"/>
      <c r="S44" s="56"/>
      <c r="T44" s="56"/>
      <c r="U44" s="56"/>
      <c r="V44" s="56"/>
      <c r="W44" s="56"/>
      <c r="X44" s="56"/>
      <c r="Y44" s="56"/>
      <c r="Z44" s="56"/>
      <c r="AA44" s="56"/>
      <c r="AB44" s="56"/>
      <c r="AC44" s="56"/>
      <c r="AD44" s="56"/>
      <c r="AE44" s="56"/>
      <c r="AF44" s="56"/>
      <c r="AG44" s="56"/>
      <c r="AH44" s="56"/>
      <c r="AI44" s="56"/>
      <c r="AJ44" s="56"/>
      <c r="AK44" s="56"/>
      <c r="AL44" s="56"/>
    </row>
    <row r="45" spans="1:38" ht="14.25" customHeight="1">
      <c r="A45" s="56"/>
      <c r="B45" s="721"/>
      <c r="C45" s="721"/>
      <c r="D45" s="717"/>
      <c r="E45" s="42"/>
      <c r="F45" s="42"/>
      <c r="G45" s="42"/>
      <c r="H45" s="42"/>
      <c r="I45" s="42"/>
      <c r="J45" s="42"/>
      <c r="K45" s="42"/>
      <c r="L45" s="42"/>
      <c r="M45" s="42"/>
      <c r="N45" s="42"/>
      <c r="O45" s="42"/>
      <c r="P45" s="42"/>
      <c r="Q45" s="42"/>
      <c r="R45" s="42"/>
      <c r="S45" s="56"/>
      <c r="T45" s="56"/>
      <c r="U45" s="56"/>
      <c r="V45" s="56"/>
      <c r="W45" s="56"/>
      <c r="X45" s="56"/>
      <c r="Y45" s="56"/>
      <c r="Z45" s="56"/>
      <c r="AA45" s="56"/>
      <c r="AB45" s="56"/>
      <c r="AC45" s="56"/>
      <c r="AD45" s="56"/>
      <c r="AE45" s="56"/>
      <c r="AF45" s="56"/>
      <c r="AG45" s="56"/>
      <c r="AH45" s="56"/>
      <c r="AI45" s="56"/>
      <c r="AJ45" s="56"/>
      <c r="AK45" s="56"/>
      <c r="AL45" s="56"/>
    </row>
    <row r="46" spans="1:38" ht="14.25" customHeight="1">
      <c r="A46" s="56"/>
      <c r="B46" s="721"/>
      <c r="C46" s="721"/>
      <c r="D46" s="717"/>
      <c r="E46" s="42"/>
      <c r="F46" s="42"/>
      <c r="G46" s="42"/>
      <c r="H46" s="42"/>
      <c r="I46" s="42"/>
      <c r="J46" s="42"/>
      <c r="K46" s="42"/>
      <c r="L46" s="42"/>
      <c r="M46" s="42"/>
      <c r="N46" s="42"/>
      <c r="O46" s="42"/>
      <c r="P46" s="42"/>
      <c r="Q46" s="42"/>
      <c r="R46" s="42"/>
      <c r="S46" s="56"/>
      <c r="T46" s="56"/>
      <c r="U46" s="56"/>
      <c r="V46" s="56"/>
      <c r="W46" s="56"/>
      <c r="X46" s="56"/>
      <c r="Y46" s="56"/>
      <c r="Z46" s="56"/>
      <c r="AA46" s="56"/>
      <c r="AB46" s="56"/>
      <c r="AC46" s="56"/>
      <c r="AD46" s="56"/>
      <c r="AE46" s="56"/>
      <c r="AF46" s="56"/>
      <c r="AG46" s="56"/>
      <c r="AH46" s="56"/>
      <c r="AI46" s="56"/>
      <c r="AJ46" s="56"/>
      <c r="AK46" s="56"/>
      <c r="AL46" s="56"/>
    </row>
    <row r="47" spans="1:38" ht="14.25" customHeight="1">
      <c r="A47" s="56"/>
      <c r="B47" s="721"/>
      <c r="C47" s="721"/>
      <c r="D47" s="717"/>
      <c r="E47" s="42"/>
      <c r="F47" s="42"/>
      <c r="G47" s="42"/>
      <c r="H47" s="42"/>
      <c r="I47" s="42"/>
      <c r="J47" s="42"/>
      <c r="K47" s="42"/>
      <c r="L47" s="42"/>
      <c r="M47" s="42"/>
      <c r="N47" s="42"/>
      <c r="O47" s="42"/>
      <c r="P47" s="42"/>
      <c r="Q47" s="42"/>
      <c r="R47" s="42"/>
      <c r="S47" s="56"/>
      <c r="T47" s="56"/>
      <c r="U47" s="56"/>
      <c r="V47" s="56"/>
      <c r="W47" s="56"/>
      <c r="X47" s="56"/>
      <c r="Y47" s="56"/>
      <c r="Z47" s="56"/>
      <c r="AA47" s="56"/>
      <c r="AB47" s="56"/>
      <c r="AC47" s="56"/>
      <c r="AD47" s="56"/>
      <c r="AE47" s="56"/>
      <c r="AF47" s="56"/>
      <c r="AG47" s="56"/>
      <c r="AH47" s="56"/>
      <c r="AI47" s="56"/>
      <c r="AJ47" s="56"/>
      <c r="AK47" s="56"/>
      <c r="AL47" s="56"/>
    </row>
    <row r="48" spans="1:38" ht="14.25" customHeight="1">
      <c r="A48" s="56"/>
      <c r="B48" s="721"/>
      <c r="C48" s="721"/>
      <c r="D48" s="717"/>
      <c r="E48" s="42"/>
      <c r="F48" s="42"/>
      <c r="G48" s="42"/>
      <c r="H48" s="42"/>
      <c r="I48" s="42"/>
      <c r="J48" s="42"/>
      <c r="K48" s="42"/>
      <c r="L48" s="42"/>
      <c r="M48" s="42"/>
      <c r="N48" s="42"/>
      <c r="O48" s="42"/>
      <c r="P48" s="42"/>
      <c r="Q48" s="42"/>
      <c r="R48" s="42"/>
      <c r="S48" s="56"/>
      <c r="T48" s="56"/>
      <c r="U48" s="56"/>
      <c r="V48" s="56"/>
      <c r="W48" s="56"/>
      <c r="X48" s="56"/>
      <c r="Y48" s="56"/>
      <c r="Z48" s="56"/>
      <c r="AA48" s="56"/>
      <c r="AB48" s="56"/>
      <c r="AC48" s="56"/>
      <c r="AD48" s="56"/>
      <c r="AE48" s="56"/>
      <c r="AF48" s="56"/>
      <c r="AG48" s="56"/>
      <c r="AH48" s="56"/>
      <c r="AI48" s="56"/>
      <c r="AJ48" s="56"/>
      <c r="AK48" s="56"/>
      <c r="AL48" s="56"/>
    </row>
    <row r="49" spans="1:38" ht="14.25" customHeight="1">
      <c r="A49" s="56"/>
      <c r="B49" s="721"/>
      <c r="C49" s="721"/>
      <c r="D49" s="717"/>
      <c r="E49" s="42"/>
      <c r="F49" s="42"/>
      <c r="G49" s="42"/>
      <c r="H49" s="42"/>
      <c r="I49" s="42"/>
      <c r="J49" s="42"/>
      <c r="K49" s="42"/>
      <c r="L49" s="42"/>
      <c r="M49" s="42"/>
      <c r="N49" s="42"/>
      <c r="O49" s="42"/>
      <c r="P49" s="42"/>
      <c r="Q49" s="42"/>
      <c r="R49" s="42"/>
      <c r="S49" s="56"/>
      <c r="T49" s="56"/>
      <c r="U49" s="56"/>
      <c r="V49" s="56"/>
      <c r="W49" s="56"/>
      <c r="X49" s="56"/>
      <c r="Y49" s="56"/>
      <c r="Z49" s="56"/>
      <c r="AA49" s="56"/>
      <c r="AB49" s="56"/>
      <c r="AC49" s="56"/>
      <c r="AD49" s="56"/>
      <c r="AE49" s="56"/>
      <c r="AF49" s="56"/>
      <c r="AG49" s="56"/>
      <c r="AH49" s="56"/>
      <c r="AI49" s="56"/>
      <c r="AJ49" s="56"/>
      <c r="AK49" s="56"/>
      <c r="AL49" s="56"/>
    </row>
    <row r="50" spans="1:38" ht="14.25" customHeight="1">
      <c r="A50" s="56"/>
      <c r="B50" s="721"/>
      <c r="C50" s="721"/>
      <c r="D50" s="717"/>
      <c r="E50" s="42"/>
      <c r="F50" s="42"/>
      <c r="G50" s="42"/>
      <c r="H50" s="42"/>
      <c r="I50" s="42"/>
      <c r="J50" s="42"/>
      <c r="K50" s="42"/>
      <c r="L50" s="42"/>
      <c r="M50" s="42"/>
      <c r="N50" s="42"/>
      <c r="O50" s="42"/>
      <c r="P50" s="42"/>
      <c r="Q50" s="42"/>
      <c r="R50" s="42"/>
      <c r="S50" s="56"/>
      <c r="T50" s="56"/>
      <c r="U50" s="56"/>
      <c r="V50" s="56"/>
      <c r="W50" s="56"/>
      <c r="X50" s="56"/>
      <c r="Y50" s="56"/>
      <c r="Z50" s="56"/>
      <c r="AA50" s="56"/>
      <c r="AB50" s="56"/>
      <c r="AC50" s="56"/>
      <c r="AD50" s="56"/>
      <c r="AE50" s="56"/>
      <c r="AF50" s="56"/>
      <c r="AG50" s="56"/>
      <c r="AH50" s="56"/>
      <c r="AI50" s="56"/>
      <c r="AJ50" s="56"/>
      <c r="AK50" s="56"/>
      <c r="AL50" s="56"/>
    </row>
    <row r="51" spans="1:38" ht="14.25" customHeight="1">
      <c r="A51" s="56"/>
      <c r="B51" s="721"/>
      <c r="C51" s="721"/>
      <c r="D51" s="717"/>
      <c r="E51" s="42"/>
      <c r="F51" s="42"/>
      <c r="G51" s="42"/>
      <c r="H51" s="42"/>
      <c r="I51" s="42"/>
      <c r="J51" s="42"/>
      <c r="K51" s="42"/>
      <c r="L51" s="42"/>
      <c r="M51" s="42"/>
      <c r="N51" s="42"/>
      <c r="O51" s="42"/>
      <c r="P51" s="42"/>
      <c r="Q51" s="42"/>
      <c r="R51" s="42"/>
      <c r="S51" s="56"/>
      <c r="T51" s="56"/>
      <c r="U51" s="56"/>
      <c r="V51" s="56"/>
      <c r="W51" s="56"/>
      <c r="X51" s="56"/>
      <c r="Y51" s="56"/>
      <c r="Z51" s="56"/>
      <c r="AA51" s="56"/>
      <c r="AB51" s="56"/>
      <c r="AC51" s="56"/>
      <c r="AD51" s="56"/>
      <c r="AE51" s="56"/>
      <c r="AF51" s="56"/>
      <c r="AG51" s="56"/>
      <c r="AH51" s="56"/>
      <c r="AI51" s="56"/>
      <c r="AJ51" s="56"/>
      <c r="AK51" s="56"/>
      <c r="AL51" s="56"/>
    </row>
    <row r="52" spans="1:38" ht="14.25" customHeight="1">
      <c r="A52" s="56"/>
      <c r="B52" s="721"/>
      <c r="C52" s="721"/>
      <c r="D52" s="717"/>
      <c r="E52" s="42"/>
      <c r="F52" s="42"/>
      <c r="G52" s="42"/>
      <c r="H52" s="42"/>
      <c r="I52" s="42"/>
      <c r="J52" s="42"/>
      <c r="K52" s="42"/>
      <c r="L52" s="42"/>
      <c r="M52" s="42"/>
      <c r="N52" s="42"/>
      <c r="O52" s="42"/>
      <c r="P52" s="42"/>
      <c r="Q52" s="42"/>
      <c r="R52" s="42"/>
      <c r="S52" s="56"/>
      <c r="T52" s="56"/>
      <c r="U52" s="56"/>
      <c r="V52" s="56"/>
      <c r="W52" s="56"/>
      <c r="X52" s="56"/>
      <c r="Y52" s="56"/>
      <c r="Z52" s="56"/>
      <c r="AA52" s="56"/>
      <c r="AB52" s="56"/>
      <c r="AC52" s="56"/>
      <c r="AD52" s="56"/>
      <c r="AE52" s="56"/>
      <c r="AF52" s="56"/>
      <c r="AG52" s="56"/>
      <c r="AH52" s="56"/>
      <c r="AI52" s="56"/>
      <c r="AJ52" s="56"/>
      <c r="AK52" s="56"/>
      <c r="AL52" s="56"/>
    </row>
    <row r="53" spans="1:38" ht="14.25" customHeight="1">
      <c r="A53" s="56"/>
      <c r="B53" s="721"/>
      <c r="C53" s="721"/>
      <c r="D53" s="717"/>
      <c r="E53" s="42"/>
      <c r="F53" s="42"/>
      <c r="G53" s="42"/>
      <c r="H53" s="42"/>
      <c r="I53" s="42"/>
      <c r="J53" s="42"/>
      <c r="K53" s="42"/>
      <c r="L53" s="42"/>
      <c r="M53" s="42"/>
      <c r="N53" s="42"/>
      <c r="O53" s="42"/>
      <c r="P53" s="42"/>
      <c r="Q53" s="42"/>
      <c r="R53" s="42"/>
      <c r="S53" s="56"/>
      <c r="T53" s="56"/>
      <c r="U53" s="56"/>
      <c r="V53" s="56"/>
      <c r="W53" s="56"/>
      <c r="X53" s="56"/>
      <c r="Y53" s="56"/>
      <c r="Z53" s="56"/>
      <c r="AA53" s="56"/>
      <c r="AB53" s="56"/>
      <c r="AC53" s="56"/>
      <c r="AD53" s="56"/>
      <c r="AE53" s="56"/>
      <c r="AF53" s="56"/>
      <c r="AG53" s="56"/>
      <c r="AH53" s="56"/>
      <c r="AI53" s="56"/>
      <c r="AJ53" s="56"/>
      <c r="AK53" s="56"/>
      <c r="AL53" s="56"/>
    </row>
    <row r="54" spans="1:38" ht="14.25" customHeight="1">
      <c r="A54" s="56"/>
      <c r="B54" s="721"/>
      <c r="C54" s="721"/>
      <c r="D54" s="717"/>
      <c r="E54" s="42"/>
      <c r="F54" s="42"/>
      <c r="G54" s="42"/>
      <c r="H54" s="42"/>
      <c r="I54" s="42"/>
      <c r="J54" s="42"/>
      <c r="K54" s="42"/>
      <c r="L54" s="42"/>
      <c r="M54" s="42"/>
      <c r="N54" s="42"/>
      <c r="O54" s="42"/>
      <c r="P54" s="42"/>
      <c r="Q54" s="42"/>
      <c r="R54" s="42"/>
      <c r="S54" s="56"/>
      <c r="T54" s="56"/>
      <c r="U54" s="56"/>
      <c r="V54" s="56"/>
      <c r="W54" s="56"/>
      <c r="X54" s="56"/>
      <c r="Y54" s="56"/>
      <c r="Z54" s="56"/>
      <c r="AA54" s="56"/>
      <c r="AB54" s="56"/>
      <c r="AC54" s="56"/>
      <c r="AD54" s="56"/>
      <c r="AE54" s="56"/>
      <c r="AF54" s="56"/>
      <c r="AG54" s="56"/>
      <c r="AH54" s="56"/>
      <c r="AI54" s="56"/>
      <c r="AJ54" s="56"/>
      <c r="AK54" s="56"/>
      <c r="AL54" s="56"/>
    </row>
    <row r="55" spans="1:38" ht="14.25" customHeight="1">
      <c r="A55" s="56"/>
      <c r="B55" s="721"/>
      <c r="C55" s="721"/>
      <c r="D55" s="717"/>
      <c r="E55" s="42"/>
      <c r="F55" s="42"/>
      <c r="G55" s="42"/>
      <c r="H55" s="42"/>
      <c r="I55" s="42"/>
      <c r="J55" s="42"/>
      <c r="K55" s="42"/>
      <c r="L55" s="42"/>
      <c r="M55" s="42"/>
      <c r="N55" s="42"/>
      <c r="O55" s="42"/>
      <c r="P55" s="42"/>
      <c r="Q55" s="42"/>
      <c r="R55" s="42"/>
      <c r="S55" s="56"/>
      <c r="T55" s="56"/>
      <c r="U55" s="56"/>
      <c r="V55" s="56"/>
      <c r="W55" s="56"/>
      <c r="X55" s="56"/>
      <c r="Y55" s="56"/>
      <c r="Z55" s="56"/>
      <c r="AA55" s="56"/>
      <c r="AB55" s="56"/>
      <c r="AC55" s="56"/>
      <c r="AD55" s="56"/>
      <c r="AE55" s="56"/>
      <c r="AF55" s="56"/>
      <c r="AG55" s="56"/>
      <c r="AH55" s="56"/>
      <c r="AI55" s="56"/>
      <c r="AJ55" s="56"/>
      <c r="AK55" s="56"/>
      <c r="AL55" s="56"/>
    </row>
    <row r="56" spans="1:38" ht="14.25" customHeight="1">
      <c r="A56" s="56"/>
      <c r="B56" s="721"/>
      <c r="C56" s="721"/>
      <c r="D56" s="717"/>
      <c r="E56" s="42"/>
      <c r="F56" s="42"/>
      <c r="G56" s="42"/>
      <c r="H56" s="42"/>
      <c r="I56" s="42"/>
      <c r="J56" s="42"/>
      <c r="K56" s="42"/>
      <c r="L56" s="42"/>
      <c r="M56" s="42"/>
      <c r="N56" s="42"/>
      <c r="O56" s="42"/>
      <c r="P56" s="42"/>
      <c r="Q56" s="42"/>
      <c r="R56" s="42"/>
      <c r="S56" s="56"/>
      <c r="T56" s="56"/>
      <c r="U56" s="56"/>
      <c r="V56" s="56"/>
      <c r="W56" s="56"/>
      <c r="X56" s="56"/>
      <c r="Y56" s="56"/>
      <c r="Z56" s="56"/>
      <c r="AA56" s="56"/>
      <c r="AB56" s="56"/>
      <c r="AC56" s="56"/>
      <c r="AD56" s="56"/>
      <c r="AE56" s="56"/>
      <c r="AF56" s="56"/>
      <c r="AG56" s="56"/>
      <c r="AH56" s="56"/>
      <c r="AI56" s="56"/>
      <c r="AJ56" s="56"/>
      <c r="AK56" s="56"/>
      <c r="AL56" s="56"/>
    </row>
    <row r="57" spans="1:38" ht="14.25" customHeight="1">
      <c r="A57" s="56"/>
      <c r="B57" s="721"/>
      <c r="C57" s="721"/>
      <c r="D57" s="717"/>
      <c r="E57" s="42"/>
      <c r="F57" s="42"/>
      <c r="G57" s="42"/>
      <c r="H57" s="42"/>
      <c r="I57" s="42"/>
      <c r="J57" s="42"/>
      <c r="K57" s="42"/>
      <c r="L57" s="42"/>
      <c r="M57" s="42"/>
      <c r="N57" s="42"/>
      <c r="O57" s="42"/>
      <c r="P57" s="42"/>
      <c r="Q57" s="42"/>
      <c r="R57" s="42"/>
      <c r="S57" s="56"/>
      <c r="T57" s="56"/>
      <c r="U57" s="56"/>
      <c r="V57" s="56"/>
      <c r="W57" s="56"/>
      <c r="X57" s="56"/>
      <c r="Y57" s="56"/>
      <c r="Z57" s="56"/>
      <c r="AA57" s="56"/>
      <c r="AB57" s="56"/>
      <c r="AC57" s="56"/>
      <c r="AD57" s="56"/>
      <c r="AE57" s="56"/>
      <c r="AF57" s="56"/>
      <c r="AG57" s="56"/>
      <c r="AH57" s="56"/>
      <c r="AI57" s="56"/>
      <c r="AJ57" s="56"/>
      <c r="AK57" s="56"/>
      <c r="AL57" s="56"/>
    </row>
    <row r="58" spans="1:38" ht="14.25" customHeight="1">
      <c r="A58" s="56"/>
      <c r="B58" s="721"/>
      <c r="C58" s="721"/>
      <c r="D58" s="717"/>
      <c r="E58" s="42"/>
      <c r="F58" s="42"/>
      <c r="G58" s="42"/>
      <c r="H58" s="42"/>
      <c r="I58" s="42"/>
      <c r="J58" s="42"/>
      <c r="K58" s="42"/>
      <c r="L58" s="42"/>
      <c r="M58" s="42"/>
      <c r="N58" s="42"/>
      <c r="O58" s="42"/>
      <c r="P58" s="42"/>
      <c r="Q58" s="42"/>
      <c r="R58" s="42"/>
      <c r="S58" s="56"/>
      <c r="T58" s="56"/>
      <c r="U58" s="56"/>
      <c r="V58" s="56"/>
      <c r="W58" s="56"/>
      <c r="X58" s="56"/>
      <c r="Y58" s="56"/>
      <c r="Z58" s="56"/>
      <c r="AA58" s="56"/>
      <c r="AB58" s="56"/>
      <c r="AC58" s="56"/>
      <c r="AD58" s="56"/>
      <c r="AE58" s="56"/>
      <c r="AF58" s="56"/>
      <c r="AG58" s="56"/>
      <c r="AH58" s="56"/>
      <c r="AI58" s="56"/>
      <c r="AJ58" s="56"/>
      <c r="AK58" s="56"/>
      <c r="AL58" s="56"/>
    </row>
    <row r="59" spans="1:38" ht="14.25" customHeight="1">
      <c r="A59" s="56"/>
      <c r="B59" s="721"/>
      <c r="C59" s="721"/>
      <c r="D59" s="717"/>
      <c r="E59" s="42"/>
      <c r="F59" s="42"/>
      <c r="G59" s="42"/>
      <c r="H59" s="42"/>
      <c r="I59" s="42"/>
      <c r="J59" s="42"/>
      <c r="K59" s="42"/>
      <c r="L59" s="42"/>
      <c r="M59" s="42"/>
      <c r="N59" s="42"/>
      <c r="O59" s="42"/>
      <c r="P59" s="42"/>
      <c r="Q59" s="42"/>
      <c r="R59" s="42"/>
      <c r="S59" s="56"/>
      <c r="T59" s="56"/>
      <c r="U59" s="56"/>
      <c r="V59" s="56"/>
      <c r="W59" s="56"/>
      <c r="X59" s="56"/>
      <c r="Y59" s="56"/>
      <c r="Z59" s="56"/>
      <c r="AA59" s="56"/>
      <c r="AB59" s="56"/>
      <c r="AC59" s="56"/>
      <c r="AD59" s="56"/>
      <c r="AE59" s="56"/>
      <c r="AF59" s="56"/>
      <c r="AG59" s="56"/>
      <c r="AH59" s="56"/>
      <c r="AI59" s="56"/>
      <c r="AJ59" s="56"/>
      <c r="AK59" s="56"/>
      <c r="AL59" s="56"/>
    </row>
    <row r="60" spans="1:38" ht="14.25" customHeight="1">
      <c r="A60" s="56"/>
      <c r="B60" s="721"/>
      <c r="C60" s="721"/>
      <c r="D60" s="717"/>
      <c r="E60" s="42"/>
      <c r="F60" s="42"/>
      <c r="G60" s="42"/>
      <c r="H60" s="42"/>
      <c r="I60" s="42"/>
      <c r="J60" s="42"/>
      <c r="K60" s="42"/>
      <c r="L60" s="42"/>
      <c r="M60" s="42"/>
      <c r="N60" s="42"/>
      <c r="O60" s="42"/>
      <c r="P60" s="42"/>
      <c r="Q60" s="42"/>
      <c r="R60" s="42"/>
      <c r="S60" s="56"/>
      <c r="T60" s="56"/>
      <c r="U60" s="56"/>
      <c r="V60" s="56"/>
      <c r="W60" s="56"/>
      <c r="X60" s="56"/>
      <c r="Y60" s="56"/>
      <c r="Z60" s="56"/>
      <c r="AA60" s="56"/>
      <c r="AB60" s="56"/>
      <c r="AC60" s="56"/>
      <c r="AD60" s="56"/>
      <c r="AE60" s="56"/>
      <c r="AF60" s="56"/>
      <c r="AG60" s="56"/>
      <c r="AH60" s="56"/>
      <c r="AI60" s="56"/>
      <c r="AJ60" s="56"/>
      <c r="AK60" s="56"/>
      <c r="AL60" s="56"/>
    </row>
    <row r="61" spans="1:38" ht="14.25" customHeight="1">
      <c r="A61" s="56"/>
      <c r="B61" s="721"/>
      <c r="C61" s="721"/>
      <c r="D61" s="717"/>
      <c r="E61" s="42"/>
      <c r="F61" s="42"/>
      <c r="G61" s="42"/>
      <c r="H61" s="42"/>
      <c r="I61" s="42"/>
      <c r="J61" s="42"/>
      <c r="K61" s="42"/>
      <c r="L61" s="42"/>
      <c r="M61" s="42"/>
      <c r="N61" s="42"/>
      <c r="O61" s="42"/>
      <c r="P61" s="42"/>
      <c r="Q61" s="42"/>
      <c r="R61" s="42"/>
      <c r="S61" s="56"/>
      <c r="T61" s="56"/>
      <c r="U61" s="56"/>
      <c r="V61" s="56"/>
      <c r="W61" s="56"/>
      <c r="X61" s="56"/>
      <c r="Y61" s="56"/>
      <c r="Z61" s="56"/>
      <c r="AA61" s="56"/>
      <c r="AB61" s="56"/>
      <c r="AC61" s="56"/>
      <c r="AD61" s="56"/>
      <c r="AE61" s="56"/>
      <c r="AF61" s="56"/>
      <c r="AG61" s="56"/>
      <c r="AH61" s="56"/>
      <c r="AI61" s="56"/>
      <c r="AJ61" s="56"/>
      <c r="AK61" s="56"/>
      <c r="AL61" s="56"/>
    </row>
    <row r="62" spans="1:38" ht="14.25" customHeight="1">
      <c r="A62" s="56"/>
      <c r="B62" s="721"/>
      <c r="C62" s="721"/>
      <c r="D62" s="717"/>
      <c r="E62" s="42"/>
      <c r="F62" s="42"/>
      <c r="G62" s="42"/>
      <c r="H62" s="42"/>
      <c r="I62" s="42"/>
      <c r="J62" s="42"/>
      <c r="K62" s="42"/>
      <c r="L62" s="42"/>
      <c r="M62" s="42"/>
      <c r="N62" s="42"/>
      <c r="O62" s="42"/>
      <c r="P62" s="42"/>
      <c r="Q62" s="42"/>
      <c r="R62" s="42"/>
      <c r="S62" s="56"/>
      <c r="T62" s="56"/>
      <c r="U62" s="56"/>
      <c r="V62" s="56"/>
      <c r="W62" s="56"/>
      <c r="X62" s="56"/>
      <c r="Y62" s="56"/>
      <c r="Z62" s="56"/>
      <c r="AA62" s="56"/>
      <c r="AB62" s="56"/>
      <c r="AC62" s="56"/>
      <c r="AD62" s="56"/>
      <c r="AE62" s="56"/>
      <c r="AF62" s="56"/>
      <c r="AG62" s="56"/>
      <c r="AH62" s="56"/>
      <c r="AI62" s="56"/>
      <c r="AJ62" s="56"/>
      <c r="AK62" s="56"/>
      <c r="AL62" s="56"/>
    </row>
    <row r="63" spans="1:38" ht="14.25" customHeight="1">
      <c r="A63" s="56"/>
      <c r="B63" s="721"/>
      <c r="C63" s="721"/>
      <c r="D63" s="717"/>
      <c r="E63" s="42"/>
      <c r="F63" s="42"/>
      <c r="G63" s="42"/>
      <c r="H63" s="42"/>
      <c r="I63" s="42"/>
      <c r="J63" s="42"/>
      <c r="K63" s="42"/>
      <c r="L63" s="42"/>
      <c r="M63" s="42"/>
      <c r="N63" s="42"/>
      <c r="O63" s="42"/>
      <c r="P63" s="42"/>
      <c r="Q63" s="42"/>
      <c r="R63" s="42"/>
      <c r="S63" s="56"/>
      <c r="T63" s="56"/>
      <c r="U63" s="56"/>
      <c r="V63" s="56"/>
      <c r="W63" s="56"/>
      <c r="X63" s="56"/>
      <c r="Y63" s="56"/>
      <c r="Z63" s="56"/>
      <c r="AA63" s="56"/>
      <c r="AB63" s="56"/>
      <c r="AC63" s="56"/>
      <c r="AD63" s="56"/>
      <c r="AE63" s="56"/>
      <c r="AF63" s="56"/>
      <c r="AG63" s="56"/>
      <c r="AH63" s="56"/>
      <c r="AI63" s="56"/>
      <c r="AJ63" s="56"/>
      <c r="AK63" s="56"/>
      <c r="AL63" s="56"/>
    </row>
    <row r="64" spans="1:38" ht="14.25" customHeight="1">
      <c r="A64" s="56"/>
      <c r="B64" s="721"/>
      <c r="C64" s="721"/>
      <c r="D64" s="717"/>
      <c r="E64" s="42"/>
      <c r="F64" s="42"/>
      <c r="G64" s="42"/>
      <c r="H64" s="42"/>
      <c r="I64" s="42"/>
      <c r="J64" s="42"/>
      <c r="K64" s="42"/>
      <c r="L64" s="42"/>
      <c r="M64" s="42"/>
      <c r="N64" s="42"/>
      <c r="O64" s="42"/>
      <c r="P64" s="42"/>
      <c r="Q64" s="42"/>
      <c r="R64" s="42"/>
      <c r="S64" s="56"/>
      <c r="T64" s="56"/>
      <c r="U64" s="56"/>
      <c r="V64" s="56"/>
      <c r="W64" s="56"/>
      <c r="X64" s="56"/>
      <c r="Y64" s="56"/>
      <c r="Z64" s="56"/>
      <c r="AA64" s="56"/>
      <c r="AB64" s="56"/>
      <c r="AC64" s="56"/>
      <c r="AD64" s="56"/>
      <c r="AE64" s="56"/>
      <c r="AF64" s="56"/>
      <c r="AG64" s="56"/>
      <c r="AH64" s="56"/>
      <c r="AI64" s="56"/>
      <c r="AJ64" s="56"/>
      <c r="AK64" s="56"/>
      <c r="AL64" s="56"/>
    </row>
    <row r="65" spans="1:38" ht="14.25" customHeight="1">
      <c r="A65" s="56"/>
      <c r="B65" s="721"/>
      <c r="C65" s="721"/>
      <c r="D65" s="717"/>
      <c r="E65" s="42"/>
      <c r="F65" s="42"/>
      <c r="G65" s="42"/>
      <c r="H65" s="42"/>
      <c r="I65" s="42"/>
      <c r="J65" s="42"/>
      <c r="K65" s="42"/>
      <c r="L65" s="42"/>
      <c r="M65" s="42"/>
      <c r="N65" s="42"/>
      <c r="O65" s="42"/>
      <c r="P65" s="42"/>
      <c r="Q65" s="42"/>
      <c r="R65" s="42"/>
      <c r="S65" s="56"/>
      <c r="T65" s="56"/>
      <c r="U65" s="56"/>
      <c r="V65" s="56"/>
      <c r="W65" s="56"/>
      <c r="X65" s="56"/>
      <c r="Y65" s="56"/>
      <c r="Z65" s="56"/>
      <c r="AA65" s="56"/>
      <c r="AB65" s="56"/>
      <c r="AC65" s="56"/>
      <c r="AD65" s="56"/>
      <c r="AE65" s="56"/>
      <c r="AF65" s="56"/>
      <c r="AG65" s="56"/>
      <c r="AH65" s="56"/>
      <c r="AI65" s="56"/>
      <c r="AJ65" s="56"/>
      <c r="AK65" s="56"/>
      <c r="AL65" s="56"/>
    </row>
    <row r="66" spans="1:38" ht="14.25" customHeight="1">
      <c r="A66" s="56"/>
      <c r="B66" s="721"/>
      <c r="C66" s="721"/>
      <c r="D66" s="717"/>
      <c r="E66" s="42"/>
      <c r="F66" s="42"/>
      <c r="G66" s="42"/>
      <c r="H66" s="42"/>
      <c r="I66" s="42"/>
      <c r="J66" s="42"/>
      <c r="K66" s="42"/>
      <c r="L66" s="42"/>
      <c r="M66" s="42"/>
      <c r="N66" s="42"/>
      <c r="O66" s="42"/>
      <c r="P66" s="42"/>
      <c r="Q66" s="42"/>
      <c r="R66" s="42"/>
      <c r="S66" s="56"/>
      <c r="T66" s="56"/>
      <c r="U66" s="56"/>
      <c r="V66" s="56"/>
      <c r="W66" s="56"/>
      <c r="X66" s="56"/>
      <c r="Y66" s="56"/>
      <c r="Z66" s="56"/>
      <c r="AA66" s="56"/>
      <c r="AB66" s="56"/>
      <c r="AC66" s="56"/>
      <c r="AD66" s="56"/>
      <c r="AE66" s="56"/>
      <c r="AF66" s="56"/>
      <c r="AG66" s="56"/>
      <c r="AH66" s="56"/>
      <c r="AI66" s="56"/>
      <c r="AJ66" s="56"/>
      <c r="AK66" s="56"/>
      <c r="AL66" s="56"/>
    </row>
    <row r="67" spans="1:38" ht="14.25" customHeight="1">
      <c r="A67" s="56"/>
      <c r="B67" s="721"/>
      <c r="C67" s="721"/>
      <c r="D67" s="717"/>
      <c r="E67" s="42"/>
      <c r="F67" s="42"/>
      <c r="G67" s="42"/>
      <c r="H67" s="42"/>
      <c r="I67" s="42"/>
      <c r="J67" s="42"/>
      <c r="K67" s="42"/>
      <c r="L67" s="42"/>
      <c r="M67" s="42"/>
      <c r="N67" s="42"/>
      <c r="O67" s="42"/>
      <c r="P67" s="42"/>
      <c r="Q67" s="42"/>
      <c r="R67" s="42"/>
      <c r="S67" s="56"/>
      <c r="T67" s="56"/>
      <c r="U67" s="56"/>
      <c r="V67" s="56"/>
      <c r="W67" s="56"/>
      <c r="X67" s="56"/>
      <c r="Y67" s="56"/>
      <c r="Z67" s="56"/>
      <c r="AA67" s="56"/>
      <c r="AB67" s="56"/>
      <c r="AC67" s="56"/>
      <c r="AD67" s="56"/>
      <c r="AE67" s="56"/>
      <c r="AF67" s="56"/>
      <c r="AG67" s="56"/>
      <c r="AH67" s="56"/>
      <c r="AI67" s="56"/>
      <c r="AJ67" s="56"/>
      <c r="AK67" s="56"/>
      <c r="AL67" s="56"/>
    </row>
    <row r="68" spans="1:38" ht="14.25" customHeight="1">
      <c r="A68" s="56"/>
      <c r="B68" s="721"/>
      <c r="C68" s="721"/>
      <c r="D68" s="717"/>
      <c r="E68" s="42"/>
      <c r="F68" s="42"/>
      <c r="G68" s="42"/>
      <c r="H68" s="42"/>
      <c r="I68" s="42"/>
      <c r="J68" s="42"/>
      <c r="K68" s="42"/>
      <c r="L68" s="42"/>
      <c r="M68" s="42"/>
      <c r="N68" s="42"/>
      <c r="O68" s="42"/>
      <c r="P68" s="42"/>
      <c r="Q68" s="42"/>
      <c r="R68" s="42"/>
      <c r="S68" s="56"/>
      <c r="T68" s="56"/>
      <c r="U68" s="56"/>
      <c r="V68" s="56"/>
      <c r="W68" s="56"/>
      <c r="X68" s="56"/>
      <c r="Y68" s="56"/>
      <c r="Z68" s="56"/>
      <c r="AA68" s="56"/>
      <c r="AB68" s="56"/>
      <c r="AC68" s="56"/>
      <c r="AD68" s="56"/>
      <c r="AE68" s="56"/>
      <c r="AF68" s="56"/>
      <c r="AG68" s="56"/>
      <c r="AH68" s="56"/>
      <c r="AI68" s="56"/>
      <c r="AJ68" s="56"/>
      <c r="AK68" s="56"/>
      <c r="AL68" s="56"/>
    </row>
    <row r="69" spans="1:38" ht="14.25" customHeight="1">
      <c r="A69" s="56"/>
      <c r="B69" s="721"/>
      <c r="C69" s="721"/>
      <c r="D69" s="717"/>
      <c r="E69" s="42"/>
      <c r="F69" s="42"/>
      <c r="G69" s="42"/>
      <c r="H69" s="42"/>
      <c r="I69" s="42"/>
      <c r="J69" s="42"/>
      <c r="K69" s="42"/>
      <c r="L69" s="42"/>
      <c r="M69" s="42"/>
      <c r="N69" s="42"/>
      <c r="O69" s="42"/>
      <c r="P69" s="42"/>
      <c r="Q69" s="42"/>
      <c r="R69" s="42"/>
      <c r="S69" s="56"/>
      <c r="T69" s="56"/>
      <c r="U69" s="56"/>
      <c r="V69" s="56"/>
      <c r="W69" s="56"/>
      <c r="X69" s="56"/>
      <c r="Y69" s="56"/>
      <c r="Z69" s="56"/>
      <c r="AA69" s="56"/>
      <c r="AB69" s="56"/>
      <c r="AC69" s="56"/>
      <c r="AD69" s="56"/>
      <c r="AE69" s="56"/>
      <c r="AF69" s="56"/>
      <c r="AG69" s="56"/>
      <c r="AH69" s="56"/>
      <c r="AI69" s="56"/>
      <c r="AJ69" s="56"/>
      <c r="AK69" s="56"/>
      <c r="AL69" s="56"/>
    </row>
    <row r="70" spans="1:38" ht="14.25" customHeight="1">
      <c r="A70" s="56"/>
      <c r="B70" s="721"/>
      <c r="C70" s="721"/>
      <c r="D70" s="717"/>
      <c r="E70" s="42"/>
      <c r="F70" s="42"/>
      <c r="G70" s="42"/>
      <c r="H70" s="42"/>
      <c r="I70" s="42"/>
      <c r="J70" s="42"/>
      <c r="K70" s="42"/>
      <c r="L70" s="42"/>
      <c r="M70" s="42"/>
      <c r="N70" s="42"/>
      <c r="O70" s="42"/>
      <c r="P70" s="42"/>
      <c r="Q70" s="42"/>
      <c r="R70" s="42"/>
      <c r="S70" s="56"/>
      <c r="T70" s="56"/>
      <c r="U70" s="56"/>
      <c r="V70" s="56"/>
      <c r="W70" s="56"/>
      <c r="X70" s="56"/>
      <c r="Y70" s="56"/>
      <c r="Z70" s="56"/>
      <c r="AA70" s="56"/>
      <c r="AB70" s="56"/>
      <c r="AC70" s="56"/>
      <c r="AD70" s="56"/>
      <c r="AE70" s="56"/>
      <c r="AF70" s="56"/>
      <c r="AG70" s="56"/>
      <c r="AH70" s="56"/>
      <c r="AI70" s="56"/>
      <c r="AJ70" s="56"/>
      <c r="AK70" s="56"/>
      <c r="AL70" s="56"/>
    </row>
    <row r="71" spans="1:38" ht="14.25" customHeight="1">
      <c r="A71" s="56"/>
      <c r="B71" s="721"/>
      <c r="C71" s="721"/>
      <c r="D71" s="717"/>
      <c r="E71" s="42"/>
      <c r="F71" s="42"/>
      <c r="G71" s="42"/>
      <c r="H71" s="42"/>
      <c r="I71" s="42"/>
      <c r="J71" s="42"/>
      <c r="K71" s="42"/>
      <c r="L71" s="42"/>
      <c r="M71" s="42"/>
      <c r="N71" s="42"/>
      <c r="O71" s="42"/>
      <c r="P71" s="42"/>
      <c r="Q71" s="42"/>
      <c r="R71" s="42"/>
      <c r="S71" s="56"/>
      <c r="T71" s="56"/>
      <c r="U71" s="56"/>
      <c r="V71" s="56"/>
      <c r="W71" s="56"/>
      <c r="X71" s="56"/>
      <c r="Y71" s="56"/>
      <c r="Z71" s="56"/>
      <c r="AA71" s="56"/>
      <c r="AB71" s="56"/>
      <c r="AC71" s="56"/>
      <c r="AD71" s="56"/>
      <c r="AE71" s="56"/>
      <c r="AF71" s="56"/>
      <c r="AG71" s="56"/>
      <c r="AH71" s="56"/>
      <c r="AI71" s="56"/>
      <c r="AJ71" s="56"/>
      <c r="AK71" s="56"/>
      <c r="AL71" s="56"/>
    </row>
    <row r="72" spans="1:38" ht="14.25" customHeight="1">
      <c r="A72" s="56"/>
      <c r="B72" s="721"/>
      <c r="C72" s="721"/>
      <c r="D72" s="717"/>
      <c r="E72" s="42"/>
      <c r="F72" s="42"/>
      <c r="G72" s="42"/>
      <c r="H72" s="42"/>
      <c r="I72" s="42"/>
      <c r="J72" s="42"/>
      <c r="K72" s="42"/>
      <c r="L72" s="42"/>
      <c r="M72" s="42"/>
      <c r="N72" s="42"/>
      <c r="O72" s="42"/>
      <c r="P72" s="42"/>
      <c r="Q72" s="42"/>
      <c r="R72" s="42"/>
      <c r="S72" s="56"/>
      <c r="T72" s="56"/>
      <c r="U72" s="56"/>
      <c r="V72" s="56"/>
      <c r="W72" s="56"/>
      <c r="X72" s="56"/>
      <c r="Y72" s="56"/>
      <c r="Z72" s="56"/>
      <c r="AA72" s="56"/>
      <c r="AB72" s="56"/>
      <c r="AC72" s="56"/>
      <c r="AD72" s="56"/>
      <c r="AE72" s="56"/>
      <c r="AF72" s="56"/>
      <c r="AG72" s="56"/>
      <c r="AH72" s="56"/>
      <c r="AI72" s="56"/>
      <c r="AJ72" s="56"/>
      <c r="AK72" s="56"/>
      <c r="AL72" s="56"/>
    </row>
    <row r="73" spans="1:38" ht="14.25" customHeight="1">
      <c r="A73" s="56"/>
      <c r="B73" s="721"/>
      <c r="C73" s="721"/>
      <c r="D73" s="717"/>
      <c r="E73" s="42"/>
      <c r="F73" s="42"/>
      <c r="G73" s="42"/>
      <c r="H73" s="42"/>
      <c r="I73" s="42"/>
      <c r="J73" s="42"/>
      <c r="K73" s="42"/>
      <c r="L73" s="42"/>
      <c r="M73" s="42"/>
      <c r="N73" s="42"/>
      <c r="O73" s="42"/>
      <c r="P73" s="42"/>
      <c r="Q73" s="42"/>
      <c r="R73" s="42"/>
      <c r="S73" s="56"/>
      <c r="T73" s="56"/>
      <c r="U73" s="56"/>
      <c r="V73" s="56"/>
      <c r="W73" s="56"/>
      <c r="X73" s="56"/>
      <c r="Y73" s="56"/>
      <c r="Z73" s="56"/>
      <c r="AA73" s="56"/>
      <c r="AB73" s="56"/>
      <c r="AC73" s="56"/>
      <c r="AD73" s="56"/>
      <c r="AE73" s="56"/>
      <c r="AF73" s="56"/>
      <c r="AG73" s="56"/>
      <c r="AH73" s="56"/>
      <c r="AI73" s="56"/>
      <c r="AJ73" s="56"/>
      <c r="AK73" s="56"/>
      <c r="AL73" s="56"/>
    </row>
    <row r="74" spans="1:38" ht="14.25" customHeight="1">
      <c r="A74" s="56"/>
      <c r="B74" s="721"/>
      <c r="C74" s="721"/>
      <c r="D74" s="717"/>
      <c r="E74" s="42"/>
      <c r="F74" s="42"/>
      <c r="G74" s="42"/>
      <c r="H74" s="42"/>
      <c r="I74" s="42"/>
      <c r="J74" s="42"/>
      <c r="K74" s="42"/>
      <c r="L74" s="42"/>
      <c r="M74" s="42"/>
      <c r="N74" s="42"/>
      <c r="O74" s="42"/>
      <c r="P74" s="42"/>
      <c r="Q74" s="42"/>
      <c r="R74" s="42"/>
      <c r="S74" s="56"/>
      <c r="T74" s="56"/>
      <c r="U74" s="56"/>
      <c r="V74" s="56"/>
      <c r="W74" s="56"/>
      <c r="X74" s="56"/>
      <c r="Y74" s="56"/>
      <c r="Z74" s="56"/>
      <c r="AA74" s="56"/>
      <c r="AB74" s="56"/>
      <c r="AC74" s="56"/>
      <c r="AD74" s="56"/>
      <c r="AE74" s="56"/>
      <c r="AF74" s="56"/>
      <c r="AG74" s="56"/>
      <c r="AH74" s="56"/>
      <c r="AI74" s="56"/>
      <c r="AJ74" s="56"/>
      <c r="AK74" s="56"/>
      <c r="AL74" s="56"/>
    </row>
    <row r="75" spans="1:38" ht="14.25" customHeight="1">
      <c r="A75" s="56"/>
      <c r="B75" s="721"/>
      <c r="C75" s="721"/>
      <c r="D75" s="717"/>
      <c r="E75" s="42"/>
      <c r="F75" s="42"/>
      <c r="G75" s="42"/>
      <c r="H75" s="42"/>
      <c r="I75" s="42"/>
      <c r="J75" s="42"/>
      <c r="K75" s="42"/>
      <c r="L75" s="42"/>
      <c r="M75" s="42"/>
      <c r="N75" s="42"/>
      <c r="O75" s="42"/>
      <c r="P75" s="42"/>
      <c r="Q75" s="42"/>
      <c r="R75" s="42"/>
      <c r="S75" s="56"/>
      <c r="T75" s="56"/>
      <c r="U75" s="56"/>
      <c r="V75" s="56"/>
      <c r="W75" s="56"/>
      <c r="X75" s="56"/>
      <c r="Y75" s="56"/>
      <c r="Z75" s="56"/>
      <c r="AA75" s="56"/>
      <c r="AB75" s="56"/>
      <c r="AC75" s="56"/>
      <c r="AD75" s="56"/>
      <c r="AE75" s="56"/>
      <c r="AF75" s="56"/>
      <c r="AG75" s="56"/>
      <c r="AH75" s="56"/>
      <c r="AI75" s="56"/>
      <c r="AJ75" s="56"/>
      <c r="AK75" s="56"/>
      <c r="AL75" s="56"/>
    </row>
    <row r="76" spans="1:38" ht="14.25" customHeight="1">
      <c r="A76" s="56"/>
      <c r="B76" s="721"/>
      <c r="C76" s="721"/>
      <c r="D76" s="717"/>
      <c r="E76" s="42"/>
      <c r="F76" s="42"/>
      <c r="G76" s="42"/>
      <c r="H76" s="42"/>
      <c r="I76" s="42"/>
      <c r="J76" s="42"/>
      <c r="K76" s="42"/>
      <c r="L76" s="42"/>
      <c r="M76" s="42"/>
      <c r="N76" s="42"/>
      <c r="O76" s="42"/>
      <c r="P76" s="42"/>
      <c r="Q76" s="42"/>
      <c r="R76" s="42"/>
      <c r="S76" s="56"/>
      <c r="T76" s="56"/>
      <c r="U76" s="56"/>
      <c r="V76" s="56"/>
      <c r="W76" s="56"/>
      <c r="X76" s="56"/>
      <c r="Y76" s="56"/>
      <c r="Z76" s="56"/>
      <c r="AA76" s="56"/>
      <c r="AB76" s="56"/>
      <c r="AC76" s="56"/>
      <c r="AD76" s="56"/>
      <c r="AE76" s="56"/>
      <c r="AF76" s="56"/>
      <c r="AG76" s="56"/>
      <c r="AH76" s="56"/>
      <c r="AI76" s="56"/>
      <c r="AJ76" s="56"/>
      <c r="AK76" s="56"/>
      <c r="AL76" s="56"/>
    </row>
    <row r="77" spans="1:38" ht="14.25" customHeight="1">
      <c r="A77" s="56"/>
      <c r="B77" s="721"/>
      <c r="C77" s="721"/>
      <c r="D77" s="717"/>
      <c r="E77" s="42"/>
      <c r="F77" s="42"/>
      <c r="G77" s="42"/>
      <c r="H77" s="42"/>
      <c r="I77" s="42"/>
      <c r="J77" s="42"/>
      <c r="K77" s="42"/>
      <c r="L77" s="42"/>
      <c r="M77" s="42"/>
      <c r="N77" s="42"/>
      <c r="O77" s="42"/>
      <c r="P77" s="42"/>
      <c r="Q77" s="42"/>
      <c r="R77" s="42"/>
      <c r="S77" s="56"/>
      <c r="T77" s="56"/>
      <c r="U77" s="56"/>
      <c r="V77" s="56"/>
      <c r="W77" s="56"/>
      <c r="X77" s="56"/>
      <c r="Y77" s="56"/>
      <c r="Z77" s="56"/>
      <c r="AA77" s="56"/>
      <c r="AB77" s="56"/>
      <c r="AC77" s="56"/>
      <c r="AD77" s="56"/>
      <c r="AE77" s="56"/>
      <c r="AF77" s="56"/>
      <c r="AG77" s="56"/>
      <c r="AH77" s="56"/>
      <c r="AI77" s="56"/>
      <c r="AJ77" s="56"/>
      <c r="AK77" s="56"/>
      <c r="AL77" s="56"/>
    </row>
    <row r="78" spans="1:38" ht="14.25" customHeight="1">
      <c r="A78" s="56"/>
      <c r="B78" s="721"/>
      <c r="C78" s="721"/>
      <c r="D78" s="717"/>
      <c r="E78" s="42"/>
      <c r="F78" s="42"/>
      <c r="G78" s="42"/>
      <c r="H78" s="42"/>
      <c r="I78" s="42"/>
      <c r="J78" s="42"/>
      <c r="K78" s="42"/>
      <c r="L78" s="42"/>
      <c r="M78" s="42"/>
      <c r="N78" s="42"/>
      <c r="O78" s="42"/>
      <c r="P78" s="42"/>
      <c r="Q78" s="42"/>
      <c r="R78" s="42"/>
      <c r="S78" s="56"/>
      <c r="T78" s="56"/>
      <c r="U78" s="56"/>
      <c r="V78" s="56"/>
      <c r="W78" s="56"/>
      <c r="X78" s="56"/>
      <c r="Y78" s="56"/>
      <c r="Z78" s="56"/>
      <c r="AA78" s="56"/>
      <c r="AB78" s="56"/>
      <c r="AC78" s="56"/>
      <c r="AD78" s="56"/>
      <c r="AE78" s="56"/>
      <c r="AF78" s="56"/>
      <c r="AG78" s="56"/>
      <c r="AH78" s="56"/>
      <c r="AI78" s="56"/>
      <c r="AJ78" s="56"/>
      <c r="AK78" s="56"/>
      <c r="AL78" s="56"/>
    </row>
    <row r="79" spans="1:38" ht="14.25" customHeight="1">
      <c r="A79" s="56"/>
      <c r="B79" s="721"/>
      <c r="C79" s="721"/>
      <c r="D79" s="717"/>
      <c r="E79" s="42"/>
      <c r="F79" s="42"/>
      <c r="G79" s="42"/>
      <c r="H79" s="42"/>
      <c r="I79" s="42"/>
      <c r="J79" s="42"/>
      <c r="K79" s="42"/>
      <c r="L79" s="42"/>
      <c r="M79" s="42"/>
      <c r="N79" s="42"/>
      <c r="O79" s="42"/>
      <c r="P79" s="42"/>
      <c r="Q79" s="42"/>
      <c r="R79" s="42"/>
      <c r="S79" s="56"/>
      <c r="T79" s="56"/>
      <c r="U79" s="56"/>
      <c r="V79" s="56"/>
      <c r="W79" s="56"/>
      <c r="X79" s="56"/>
      <c r="Y79" s="56"/>
      <c r="Z79" s="56"/>
      <c r="AA79" s="56"/>
      <c r="AB79" s="56"/>
      <c r="AC79" s="56"/>
      <c r="AD79" s="56"/>
      <c r="AE79" s="56"/>
      <c r="AF79" s="56"/>
      <c r="AG79" s="56"/>
      <c r="AH79" s="56"/>
      <c r="AI79" s="56"/>
      <c r="AJ79" s="56"/>
      <c r="AK79" s="56"/>
      <c r="AL79" s="56"/>
    </row>
    <row r="80" spans="1:38" ht="14.25" customHeight="1">
      <c r="A80" s="56"/>
      <c r="B80" s="721"/>
      <c r="C80" s="721"/>
      <c r="D80" s="717"/>
      <c r="E80" s="42"/>
      <c r="F80" s="42"/>
      <c r="G80" s="42"/>
      <c r="H80" s="42"/>
      <c r="I80" s="42"/>
      <c r="J80" s="42"/>
      <c r="K80" s="42"/>
      <c r="L80" s="42"/>
      <c r="M80" s="42"/>
      <c r="N80" s="42"/>
      <c r="O80" s="42"/>
      <c r="P80" s="42"/>
      <c r="Q80" s="42"/>
      <c r="R80" s="42"/>
      <c r="S80" s="56"/>
      <c r="T80" s="56"/>
      <c r="U80" s="56"/>
      <c r="V80" s="56"/>
      <c r="W80" s="56"/>
      <c r="X80" s="56"/>
      <c r="Y80" s="56"/>
      <c r="Z80" s="56"/>
      <c r="AA80" s="56"/>
      <c r="AB80" s="56"/>
      <c r="AC80" s="56"/>
      <c r="AD80" s="56"/>
      <c r="AE80" s="56"/>
      <c r="AF80" s="56"/>
      <c r="AG80" s="56"/>
      <c r="AH80" s="56"/>
      <c r="AI80" s="56"/>
      <c r="AJ80" s="56"/>
      <c r="AK80" s="56"/>
      <c r="AL80" s="56"/>
    </row>
    <row r="81" spans="1:38" ht="14.25" customHeight="1">
      <c r="A81" s="56"/>
      <c r="B81" s="721"/>
      <c r="C81" s="721"/>
      <c r="D81" s="717"/>
      <c r="E81" s="42"/>
      <c r="F81" s="42"/>
      <c r="G81" s="42"/>
      <c r="H81" s="42"/>
      <c r="I81" s="42"/>
      <c r="J81" s="42"/>
      <c r="K81" s="42"/>
      <c r="L81" s="42"/>
      <c r="M81" s="42"/>
      <c r="N81" s="42"/>
      <c r="O81" s="42"/>
      <c r="P81" s="42"/>
      <c r="Q81" s="42"/>
      <c r="R81" s="42"/>
      <c r="S81" s="56"/>
      <c r="T81" s="56"/>
      <c r="U81" s="56"/>
      <c r="V81" s="56"/>
      <c r="W81" s="56"/>
      <c r="X81" s="56"/>
      <c r="Y81" s="56"/>
      <c r="Z81" s="56"/>
      <c r="AA81" s="56"/>
      <c r="AB81" s="56"/>
      <c r="AC81" s="56"/>
      <c r="AD81" s="56"/>
      <c r="AE81" s="56"/>
      <c r="AF81" s="56"/>
      <c r="AG81" s="56"/>
      <c r="AH81" s="56"/>
      <c r="AI81" s="56"/>
      <c r="AJ81" s="56"/>
      <c r="AK81" s="56"/>
      <c r="AL81" s="56"/>
    </row>
    <row r="82" spans="1:38" ht="14.25" customHeight="1">
      <c r="A82" s="56"/>
      <c r="B82" s="721"/>
      <c r="C82" s="721"/>
      <c r="D82" s="717"/>
      <c r="E82" s="42"/>
      <c r="F82" s="42"/>
      <c r="G82" s="42"/>
      <c r="H82" s="42"/>
      <c r="I82" s="42"/>
      <c r="J82" s="42"/>
      <c r="K82" s="42"/>
      <c r="L82" s="42"/>
      <c r="M82" s="42"/>
      <c r="N82" s="42"/>
      <c r="O82" s="42"/>
      <c r="P82" s="42"/>
      <c r="Q82" s="42"/>
      <c r="R82" s="42"/>
      <c r="S82" s="56"/>
      <c r="T82" s="56"/>
      <c r="U82" s="56"/>
      <c r="V82" s="56"/>
      <c r="W82" s="56"/>
      <c r="X82" s="56"/>
      <c r="Y82" s="56"/>
      <c r="Z82" s="56"/>
      <c r="AA82" s="56"/>
      <c r="AB82" s="56"/>
      <c r="AC82" s="56"/>
      <c r="AD82" s="56"/>
      <c r="AE82" s="56"/>
      <c r="AF82" s="56"/>
      <c r="AG82" s="56"/>
      <c r="AH82" s="56"/>
      <c r="AI82" s="56"/>
      <c r="AJ82" s="56"/>
      <c r="AK82" s="56"/>
      <c r="AL82" s="56"/>
    </row>
    <row r="83" spans="1:38" ht="14.25" customHeight="1">
      <c r="A83" s="56"/>
      <c r="B83" s="721"/>
      <c r="C83" s="721"/>
      <c r="D83" s="717"/>
      <c r="E83" s="42"/>
      <c r="F83" s="42"/>
      <c r="G83" s="42"/>
      <c r="H83" s="42"/>
      <c r="I83" s="42"/>
      <c r="J83" s="42"/>
      <c r="K83" s="42"/>
      <c r="L83" s="42"/>
      <c r="M83" s="42"/>
      <c r="N83" s="42"/>
      <c r="O83" s="42"/>
      <c r="P83" s="42"/>
      <c r="Q83" s="42"/>
      <c r="R83" s="42"/>
      <c r="S83" s="56"/>
      <c r="T83" s="56"/>
      <c r="U83" s="56"/>
      <c r="V83" s="56"/>
      <c r="W83" s="56"/>
      <c r="X83" s="56"/>
      <c r="Y83" s="56"/>
      <c r="Z83" s="56"/>
      <c r="AA83" s="56"/>
      <c r="AB83" s="56"/>
      <c r="AC83" s="56"/>
      <c r="AD83" s="56"/>
      <c r="AE83" s="56"/>
      <c r="AF83" s="56"/>
      <c r="AG83" s="56"/>
      <c r="AH83" s="56"/>
      <c r="AI83" s="56"/>
      <c r="AJ83" s="56"/>
      <c r="AK83" s="56"/>
      <c r="AL83" s="56"/>
    </row>
    <row r="84" spans="1:38" ht="14.25" customHeight="1">
      <c r="A84" s="56"/>
      <c r="B84" s="721"/>
      <c r="C84" s="721"/>
      <c r="D84" s="717"/>
      <c r="E84" s="42"/>
      <c r="F84" s="42"/>
      <c r="G84" s="42"/>
      <c r="H84" s="42"/>
      <c r="I84" s="42"/>
      <c r="J84" s="42"/>
      <c r="K84" s="42"/>
      <c r="L84" s="42"/>
      <c r="M84" s="42"/>
      <c r="N84" s="42"/>
      <c r="O84" s="42"/>
      <c r="P84" s="42"/>
      <c r="Q84" s="42"/>
      <c r="R84" s="42"/>
      <c r="S84" s="56"/>
      <c r="T84" s="56"/>
      <c r="U84" s="56"/>
      <c r="V84" s="56"/>
      <c r="W84" s="56"/>
      <c r="X84" s="56"/>
      <c r="Y84" s="56"/>
      <c r="Z84" s="56"/>
      <c r="AA84" s="56"/>
      <c r="AB84" s="56"/>
      <c r="AC84" s="56"/>
      <c r="AD84" s="56"/>
      <c r="AE84" s="56"/>
      <c r="AF84" s="56"/>
      <c r="AG84" s="56"/>
      <c r="AH84" s="56"/>
      <c r="AI84" s="56"/>
      <c r="AJ84" s="56"/>
      <c r="AK84" s="56"/>
      <c r="AL84" s="56"/>
    </row>
    <row r="85" spans="1:38" ht="14.25" customHeight="1">
      <c r="A85" s="56"/>
      <c r="B85" s="721"/>
      <c r="C85" s="721"/>
      <c r="D85" s="717"/>
      <c r="E85" s="42"/>
      <c r="F85" s="42"/>
      <c r="G85" s="42"/>
      <c r="H85" s="42"/>
      <c r="I85" s="42"/>
      <c r="J85" s="42"/>
      <c r="K85" s="42"/>
      <c r="L85" s="42"/>
      <c r="M85" s="42"/>
      <c r="N85" s="42"/>
      <c r="O85" s="42"/>
      <c r="P85" s="42"/>
      <c r="Q85" s="42"/>
      <c r="R85" s="42"/>
      <c r="S85" s="56"/>
      <c r="T85" s="56"/>
      <c r="U85" s="56"/>
      <c r="V85" s="56"/>
      <c r="W85" s="56"/>
      <c r="X85" s="56"/>
      <c r="Y85" s="56"/>
      <c r="Z85" s="56"/>
      <c r="AA85" s="56"/>
      <c r="AB85" s="56"/>
      <c r="AC85" s="56"/>
      <c r="AD85" s="56"/>
      <c r="AE85" s="56"/>
      <c r="AF85" s="56"/>
      <c r="AG85" s="56"/>
      <c r="AH85" s="56"/>
      <c r="AI85" s="56"/>
      <c r="AJ85" s="56"/>
      <c r="AK85" s="56"/>
      <c r="AL85" s="56"/>
    </row>
    <row r="86" spans="1:38" ht="14.25" customHeight="1">
      <c r="A86" s="56"/>
      <c r="B86" s="721"/>
      <c r="C86" s="721"/>
      <c r="D86" s="717"/>
      <c r="E86" s="42"/>
      <c r="F86" s="42"/>
      <c r="G86" s="42"/>
      <c r="H86" s="42"/>
      <c r="I86" s="42"/>
      <c r="J86" s="42"/>
      <c r="K86" s="42"/>
      <c r="L86" s="42"/>
      <c r="M86" s="42"/>
      <c r="N86" s="42"/>
      <c r="O86" s="42"/>
      <c r="P86" s="42"/>
      <c r="Q86" s="42"/>
      <c r="R86" s="42"/>
      <c r="S86" s="56"/>
      <c r="T86" s="56"/>
      <c r="U86" s="56"/>
      <c r="V86" s="56"/>
      <c r="W86" s="56"/>
      <c r="X86" s="56"/>
      <c r="Y86" s="56"/>
      <c r="Z86" s="56"/>
      <c r="AA86" s="56"/>
      <c r="AB86" s="56"/>
      <c r="AC86" s="56"/>
      <c r="AD86" s="56"/>
      <c r="AE86" s="56"/>
      <c r="AF86" s="56"/>
      <c r="AG86" s="56"/>
      <c r="AH86" s="56"/>
      <c r="AI86" s="56"/>
      <c r="AJ86" s="56"/>
      <c r="AK86" s="56"/>
      <c r="AL86" s="56"/>
    </row>
    <row r="87" spans="1:38" ht="14.25" customHeight="1">
      <c r="A87" s="56"/>
      <c r="B87" s="721"/>
      <c r="C87" s="721"/>
      <c r="D87" s="717"/>
      <c r="E87" s="42"/>
      <c r="F87" s="42"/>
      <c r="G87" s="42"/>
      <c r="H87" s="42"/>
      <c r="I87" s="42"/>
      <c r="J87" s="42"/>
      <c r="K87" s="42"/>
      <c r="L87" s="42"/>
      <c r="M87" s="42"/>
      <c r="N87" s="42"/>
      <c r="O87" s="42"/>
      <c r="P87" s="42"/>
      <c r="Q87" s="42"/>
      <c r="R87" s="42"/>
      <c r="S87" s="56"/>
      <c r="T87" s="56"/>
      <c r="U87" s="56"/>
      <c r="V87" s="56"/>
      <c r="W87" s="56"/>
      <c r="X87" s="56"/>
      <c r="Y87" s="56"/>
      <c r="Z87" s="56"/>
      <c r="AA87" s="56"/>
      <c r="AB87" s="56"/>
      <c r="AC87" s="56"/>
      <c r="AD87" s="56"/>
      <c r="AE87" s="56"/>
      <c r="AF87" s="56"/>
      <c r="AG87" s="56"/>
      <c r="AH87" s="56"/>
      <c r="AI87" s="56"/>
      <c r="AJ87" s="56"/>
      <c r="AK87" s="56"/>
      <c r="AL87" s="56"/>
    </row>
    <row r="88" spans="1:38" ht="14.25" customHeight="1">
      <c r="A88" s="56"/>
      <c r="B88" s="721"/>
      <c r="C88" s="721"/>
      <c r="D88" s="717"/>
      <c r="E88" s="42"/>
      <c r="F88" s="42"/>
      <c r="G88" s="42"/>
      <c r="H88" s="42"/>
      <c r="I88" s="42"/>
      <c r="J88" s="42"/>
      <c r="K88" s="42"/>
      <c r="L88" s="42"/>
      <c r="M88" s="42"/>
      <c r="N88" s="42"/>
      <c r="O88" s="42"/>
      <c r="P88" s="42"/>
      <c r="Q88" s="42"/>
      <c r="R88" s="42"/>
      <c r="S88" s="56"/>
      <c r="T88" s="56"/>
      <c r="U88" s="56"/>
      <c r="V88" s="56"/>
      <c r="W88" s="56"/>
      <c r="X88" s="56"/>
      <c r="Y88" s="56"/>
      <c r="Z88" s="56"/>
      <c r="AA88" s="56"/>
      <c r="AB88" s="56"/>
      <c r="AC88" s="56"/>
      <c r="AD88" s="56"/>
      <c r="AE88" s="56"/>
      <c r="AF88" s="56"/>
      <c r="AG88" s="56"/>
      <c r="AH88" s="56"/>
      <c r="AI88" s="56"/>
      <c r="AJ88" s="56"/>
      <c r="AK88" s="56"/>
      <c r="AL88" s="56"/>
    </row>
    <row r="89" spans="1:38" ht="14.25" customHeight="1">
      <c r="A89" s="56"/>
      <c r="B89" s="721"/>
      <c r="C89" s="721"/>
      <c r="D89" s="717"/>
      <c r="E89" s="42"/>
      <c r="F89" s="42"/>
      <c r="G89" s="42"/>
      <c r="H89" s="42"/>
      <c r="I89" s="42"/>
      <c r="J89" s="42"/>
      <c r="K89" s="42"/>
      <c r="L89" s="42"/>
      <c r="M89" s="42"/>
      <c r="N89" s="42"/>
      <c r="O89" s="42"/>
      <c r="P89" s="42"/>
      <c r="Q89" s="42"/>
      <c r="R89" s="42"/>
      <c r="S89" s="56"/>
      <c r="T89" s="56"/>
      <c r="U89" s="56"/>
      <c r="V89" s="56"/>
      <c r="W89" s="56"/>
      <c r="X89" s="56"/>
      <c r="Y89" s="56"/>
      <c r="Z89" s="56"/>
      <c r="AA89" s="56"/>
      <c r="AB89" s="56"/>
      <c r="AC89" s="56"/>
      <c r="AD89" s="56"/>
      <c r="AE89" s="56"/>
      <c r="AF89" s="56"/>
      <c r="AG89" s="56"/>
      <c r="AH89" s="56"/>
      <c r="AI89" s="56"/>
      <c r="AJ89" s="56"/>
      <c r="AK89" s="56"/>
      <c r="AL89" s="56"/>
    </row>
    <row r="90" spans="1:38" ht="14.25" customHeight="1">
      <c r="A90" s="56"/>
      <c r="B90" s="721"/>
      <c r="C90" s="721"/>
      <c r="D90" s="717"/>
      <c r="E90" s="42"/>
      <c r="F90" s="42"/>
      <c r="G90" s="42"/>
      <c r="H90" s="42"/>
      <c r="I90" s="42"/>
      <c r="J90" s="42"/>
      <c r="K90" s="42"/>
      <c r="L90" s="42"/>
      <c r="M90" s="42"/>
      <c r="N90" s="42"/>
      <c r="O90" s="42"/>
      <c r="P90" s="42"/>
      <c r="Q90" s="42"/>
      <c r="R90" s="42"/>
      <c r="S90" s="56"/>
      <c r="T90" s="56"/>
      <c r="U90" s="56"/>
      <c r="V90" s="56"/>
      <c r="W90" s="56"/>
      <c r="X90" s="56"/>
      <c r="Y90" s="56"/>
      <c r="Z90" s="56"/>
      <c r="AA90" s="56"/>
      <c r="AB90" s="56"/>
      <c r="AC90" s="56"/>
      <c r="AD90" s="56"/>
      <c r="AE90" s="56"/>
      <c r="AF90" s="56"/>
      <c r="AG90" s="56"/>
      <c r="AH90" s="56"/>
      <c r="AI90" s="56"/>
      <c r="AJ90" s="56"/>
      <c r="AK90" s="56"/>
      <c r="AL90" s="56"/>
    </row>
    <row r="91" spans="1:38" ht="14.25" customHeight="1">
      <c r="A91" s="56"/>
      <c r="B91" s="721"/>
      <c r="C91" s="721"/>
      <c r="D91" s="717"/>
      <c r="E91" s="42"/>
      <c r="F91" s="42"/>
      <c r="G91" s="42"/>
      <c r="H91" s="42"/>
      <c r="I91" s="42"/>
      <c r="J91" s="42"/>
      <c r="K91" s="42"/>
      <c r="L91" s="42"/>
      <c r="M91" s="42"/>
      <c r="N91" s="42"/>
      <c r="O91" s="42"/>
      <c r="P91" s="42"/>
      <c r="Q91" s="42"/>
      <c r="R91" s="42"/>
      <c r="S91" s="56"/>
      <c r="T91" s="56"/>
      <c r="U91" s="56"/>
      <c r="V91" s="56"/>
      <c r="W91" s="56"/>
      <c r="X91" s="56"/>
      <c r="Y91" s="56"/>
      <c r="Z91" s="56"/>
      <c r="AA91" s="56"/>
      <c r="AB91" s="56"/>
      <c r="AC91" s="56"/>
      <c r="AD91" s="56"/>
      <c r="AE91" s="56"/>
      <c r="AF91" s="56"/>
      <c r="AG91" s="56"/>
      <c r="AH91" s="56"/>
      <c r="AI91" s="56"/>
      <c r="AJ91" s="56"/>
      <c r="AK91" s="56"/>
      <c r="AL91" s="56"/>
    </row>
    <row r="92" spans="1:38" ht="14.25" customHeight="1">
      <c r="A92" s="56"/>
      <c r="B92" s="721"/>
      <c r="C92" s="721"/>
      <c r="D92" s="717"/>
      <c r="E92" s="42"/>
      <c r="F92" s="42"/>
      <c r="G92" s="42"/>
      <c r="H92" s="42"/>
      <c r="I92" s="42"/>
      <c r="J92" s="42"/>
      <c r="K92" s="42"/>
      <c r="L92" s="42"/>
      <c r="M92" s="42"/>
      <c r="N92" s="42"/>
      <c r="O92" s="42"/>
      <c r="P92" s="42"/>
      <c r="Q92" s="42"/>
      <c r="R92" s="42"/>
      <c r="S92" s="56"/>
      <c r="T92" s="56"/>
      <c r="U92" s="56"/>
      <c r="V92" s="56"/>
      <c r="W92" s="56"/>
      <c r="X92" s="56"/>
      <c r="Y92" s="56"/>
      <c r="Z92" s="56"/>
      <c r="AA92" s="56"/>
      <c r="AB92" s="56"/>
      <c r="AC92" s="56"/>
      <c r="AD92" s="56"/>
      <c r="AE92" s="56"/>
      <c r="AF92" s="56"/>
      <c r="AG92" s="56"/>
      <c r="AH92" s="56"/>
      <c r="AI92" s="56"/>
      <c r="AJ92" s="56"/>
      <c r="AK92" s="56"/>
      <c r="AL92" s="56"/>
    </row>
    <row r="93" spans="1:38" ht="14.25" customHeight="1">
      <c r="A93" s="56"/>
      <c r="B93" s="721"/>
      <c r="C93" s="721"/>
      <c r="D93" s="717"/>
      <c r="E93" s="42"/>
      <c r="F93" s="42"/>
      <c r="G93" s="42"/>
      <c r="H93" s="42"/>
      <c r="I93" s="42"/>
      <c r="J93" s="42"/>
      <c r="K93" s="42"/>
      <c r="L93" s="42"/>
      <c r="M93" s="42"/>
      <c r="N93" s="42"/>
      <c r="O93" s="42"/>
      <c r="P93" s="42"/>
      <c r="Q93" s="42"/>
      <c r="R93" s="42"/>
      <c r="S93" s="56"/>
      <c r="T93" s="56"/>
      <c r="U93" s="56"/>
      <c r="V93" s="56"/>
      <c r="W93" s="56"/>
      <c r="X93" s="56"/>
      <c r="Y93" s="56"/>
      <c r="Z93" s="56"/>
      <c r="AA93" s="56"/>
      <c r="AB93" s="56"/>
      <c r="AC93" s="56"/>
      <c r="AD93" s="56"/>
      <c r="AE93" s="56"/>
      <c r="AF93" s="56"/>
      <c r="AG93" s="56"/>
      <c r="AH93" s="56"/>
      <c r="AI93" s="56"/>
      <c r="AJ93" s="56"/>
      <c r="AK93" s="56"/>
      <c r="AL93" s="56"/>
    </row>
    <row r="94" spans="1:38" ht="14.25" customHeight="1">
      <c r="A94" s="56"/>
      <c r="B94" s="721"/>
      <c r="C94" s="721"/>
      <c r="D94" s="717"/>
      <c r="E94" s="42"/>
      <c r="F94" s="42"/>
      <c r="G94" s="42"/>
      <c r="H94" s="42"/>
      <c r="I94" s="42"/>
      <c r="J94" s="42"/>
      <c r="K94" s="42"/>
      <c r="L94" s="42"/>
      <c r="M94" s="42"/>
      <c r="N94" s="42"/>
      <c r="O94" s="42"/>
      <c r="P94" s="42"/>
      <c r="Q94" s="42"/>
      <c r="R94" s="42"/>
      <c r="S94" s="56"/>
      <c r="T94" s="56"/>
      <c r="U94" s="56"/>
      <c r="V94" s="56"/>
      <c r="W94" s="56"/>
      <c r="X94" s="56"/>
      <c r="Y94" s="56"/>
      <c r="Z94" s="56"/>
      <c r="AA94" s="56"/>
      <c r="AB94" s="56"/>
      <c r="AC94" s="56"/>
      <c r="AD94" s="56"/>
      <c r="AE94" s="56"/>
      <c r="AF94" s="56"/>
      <c r="AG94" s="56"/>
      <c r="AH94" s="56"/>
      <c r="AI94" s="56"/>
      <c r="AJ94" s="56"/>
      <c r="AK94" s="56"/>
      <c r="AL94" s="56"/>
    </row>
    <row r="95" spans="1:38" ht="14.25" customHeight="1">
      <c r="A95" s="56"/>
      <c r="B95" s="721"/>
      <c r="C95" s="721"/>
      <c r="D95" s="717"/>
      <c r="E95" s="42"/>
      <c r="F95" s="42"/>
      <c r="G95" s="42"/>
      <c r="H95" s="42"/>
      <c r="I95" s="42"/>
      <c r="J95" s="42"/>
      <c r="K95" s="42"/>
      <c r="L95" s="42"/>
      <c r="M95" s="42"/>
      <c r="N95" s="42"/>
      <c r="O95" s="42"/>
      <c r="P95" s="42"/>
      <c r="Q95" s="42"/>
      <c r="R95" s="42"/>
      <c r="S95" s="56"/>
      <c r="T95" s="56"/>
      <c r="U95" s="56"/>
      <c r="V95" s="56"/>
      <c r="W95" s="56"/>
      <c r="X95" s="56"/>
      <c r="Y95" s="56"/>
      <c r="Z95" s="56"/>
      <c r="AA95" s="56"/>
      <c r="AB95" s="56"/>
      <c r="AC95" s="56"/>
      <c r="AD95" s="56"/>
      <c r="AE95" s="56"/>
      <c r="AF95" s="56"/>
      <c r="AG95" s="56"/>
      <c r="AH95" s="56"/>
      <c r="AI95" s="56"/>
      <c r="AJ95" s="56"/>
      <c r="AK95" s="56"/>
      <c r="AL95" s="56"/>
    </row>
    <row r="96" spans="1:38" ht="14.25" customHeight="1">
      <c r="A96" s="56"/>
      <c r="B96" s="721"/>
      <c r="C96" s="721"/>
      <c r="D96" s="717"/>
      <c r="E96" s="42"/>
      <c r="F96" s="42"/>
      <c r="G96" s="42"/>
      <c r="H96" s="42"/>
      <c r="I96" s="42"/>
      <c r="J96" s="42"/>
      <c r="K96" s="42"/>
      <c r="L96" s="42"/>
      <c r="M96" s="42"/>
      <c r="N96" s="42"/>
      <c r="O96" s="42"/>
      <c r="P96" s="42"/>
      <c r="Q96" s="42"/>
      <c r="R96" s="42"/>
      <c r="S96" s="56"/>
      <c r="T96" s="56"/>
      <c r="U96" s="56"/>
      <c r="V96" s="56"/>
      <c r="W96" s="56"/>
      <c r="X96" s="56"/>
      <c r="Y96" s="56"/>
      <c r="Z96" s="56"/>
      <c r="AA96" s="56"/>
      <c r="AB96" s="56"/>
      <c r="AC96" s="56"/>
      <c r="AD96" s="56"/>
      <c r="AE96" s="56"/>
      <c r="AF96" s="56"/>
      <c r="AG96" s="56"/>
      <c r="AH96" s="56"/>
      <c r="AI96" s="56"/>
      <c r="AJ96" s="56"/>
      <c r="AK96" s="56"/>
      <c r="AL96" s="56"/>
    </row>
    <row r="97" spans="1:38" ht="14.25" customHeight="1">
      <c r="A97" s="56"/>
      <c r="B97" s="721"/>
      <c r="C97" s="721"/>
      <c r="D97" s="717"/>
      <c r="E97" s="42"/>
      <c r="F97" s="42"/>
      <c r="G97" s="42"/>
      <c r="H97" s="42"/>
      <c r="I97" s="42"/>
      <c r="J97" s="42"/>
      <c r="K97" s="42"/>
      <c r="L97" s="42"/>
      <c r="M97" s="42"/>
      <c r="N97" s="42"/>
      <c r="O97" s="42"/>
      <c r="P97" s="42"/>
      <c r="Q97" s="42"/>
      <c r="R97" s="42"/>
      <c r="S97" s="56"/>
      <c r="T97" s="56"/>
      <c r="U97" s="56"/>
      <c r="V97" s="56"/>
      <c r="W97" s="56"/>
      <c r="X97" s="56"/>
      <c r="Y97" s="56"/>
      <c r="Z97" s="56"/>
      <c r="AA97" s="56"/>
      <c r="AB97" s="56"/>
      <c r="AC97" s="56"/>
      <c r="AD97" s="56"/>
      <c r="AE97" s="56"/>
      <c r="AF97" s="56"/>
      <c r="AG97" s="56"/>
      <c r="AH97" s="56"/>
      <c r="AI97" s="56"/>
      <c r="AJ97" s="56"/>
      <c r="AK97" s="56"/>
      <c r="AL97" s="56"/>
    </row>
    <row r="98" spans="1:38" ht="14.25" customHeight="1">
      <c r="A98" s="56"/>
      <c r="B98" s="721"/>
      <c r="C98" s="721"/>
      <c r="D98" s="717"/>
      <c r="E98" s="42"/>
      <c r="F98" s="42"/>
      <c r="G98" s="42"/>
      <c r="H98" s="42"/>
      <c r="I98" s="42"/>
      <c r="J98" s="42"/>
      <c r="K98" s="42"/>
      <c r="L98" s="42"/>
      <c r="M98" s="42"/>
      <c r="N98" s="42"/>
      <c r="O98" s="42"/>
      <c r="P98" s="42"/>
      <c r="Q98" s="42"/>
      <c r="R98" s="42"/>
      <c r="S98" s="56"/>
      <c r="T98" s="56"/>
      <c r="U98" s="56"/>
      <c r="V98" s="56"/>
      <c r="W98" s="56"/>
      <c r="X98" s="56"/>
      <c r="Y98" s="56"/>
      <c r="Z98" s="56"/>
      <c r="AA98" s="56"/>
      <c r="AB98" s="56"/>
      <c r="AC98" s="56"/>
      <c r="AD98" s="56"/>
      <c r="AE98" s="56"/>
      <c r="AF98" s="56"/>
      <c r="AG98" s="56"/>
      <c r="AH98" s="56"/>
      <c r="AI98" s="56"/>
      <c r="AJ98" s="56"/>
      <c r="AK98" s="56"/>
      <c r="AL98" s="56"/>
    </row>
    <row r="99" spans="1:38" ht="14.25" customHeight="1">
      <c r="A99" s="56"/>
      <c r="B99" s="721"/>
      <c r="C99" s="721"/>
      <c r="D99" s="717"/>
      <c r="E99" s="42"/>
      <c r="F99" s="42"/>
      <c r="G99" s="42"/>
      <c r="H99" s="42"/>
      <c r="I99" s="42"/>
      <c r="J99" s="42"/>
      <c r="K99" s="42"/>
      <c r="L99" s="42"/>
      <c r="M99" s="42"/>
      <c r="N99" s="42"/>
      <c r="O99" s="42"/>
      <c r="P99" s="42"/>
      <c r="Q99" s="42"/>
      <c r="R99" s="42"/>
      <c r="S99" s="56"/>
      <c r="T99" s="56"/>
      <c r="U99" s="56"/>
      <c r="V99" s="56"/>
      <c r="W99" s="56"/>
      <c r="X99" s="56"/>
      <c r="Y99" s="56"/>
      <c r="Z99" s="56"/>
      <c r="AA99" s="56"/>
      <c r="AB99" s="56"/>
      <c r="AC99" s="56"/>
      <c r="AD99" s="56"/>
      <c r="AE99" s="56"/>
      <c r="AF99" s="56"/>
      <c r="AG99" s="56"/>
      <c r="AH99" s="56"/>
      <c r="AI99" s="56"/>
      <c r="AJ99" s="56"/>
      <c r="AK99" s="56"/>
      <c r="AL99" s="56"/>
    </row>
    <row r="100" spans="1:38" ht="14.25" customHeight="1">
      <c r="A100" s="56"/>
      <c r="B100" s="721"/>
      <c r="C100" s="721"/>
      <c r="D100" s="717"/>
      <c r="E100" s="42"/>
      <c r="F100" s="42"/>
      <c r="G100" s="42"/>
      <c r="H100" s="42"/>
      <c r="I100" s="42"/>
      <c r="J100" s="42"/>
      <c r="K100" s="42"/>
      <c r="L100" s="42"/>
      <c r="M100" s="42"/>
      <c r="N100" s="42"/>
      <c r="O100" s="42"/>
      <c r="P100" s="42"/>
      <c r="Q100" s="42"/>
      <c r="R100" s="42"/>
      <c r="S100" s="56"/>
      <c r="T100" s="56"/>
      <c r="U100" s="56"/>
      <c r="V100" s="56"/>
      <c r="W100" s="56"/>
      <c r="X100" s="56"/>
      <c r="Y100" s="56"/>
      <c r="Z100" s="56"/>
      <c r="AA100" s="56"/>
      <c r="AB100" s="56"/>
      <c r="AC100" s="56"/>
      <c r="AD100" s="56"/>
      <c r="AE100" s="56"/>
      <c r="AF100" s="56"/>
      <c r="AG100" s="56"/>
      <c r="AH100" s="56"/>
      <c r="AI100" s="56"/>
      <c r="AJ100" s="56"/>
      <c r="AK100" s="56"/>
      <c r="AL100" s="56"/>
    </row>
    <row r="101" spans="1:38" ht="14.25" customHeight="1">
      <c r="A101" s="56"/>
      <c r="B101" s="721"/>
      <c r="C101" s="721"/>
      <c r="D101" s="717"/>
      <c r="E101" s="42"/>
      <c r="F101" s="42"/>
      <c r="G101" s="42"/>
      <c r="H101" s="42"/>
      <c r="I101" s="42"/>
      <c r="J101" s="42"/>
      <c r="K101" s="42"/>
      <c r="L101" s="42"/>
      <c r="M101" s="42"/>
      <c r="N101" s="42"/>
      <c r="O101" s="42"/>
      <c r="P101" s="42"/>
      <c r="Q101" s="42"/>
      <c r="R101" s="42"/>
      <c r="S101" s="56"/>
      <c r="T101" s="56"/>
      <c r="U101" s="56"/>
      <c r="V101" s="56"/>
      <c r="W101" s="56"/>
      <c r="X101" s="56"/>
      <c r="Y101" s="56"/>
      <c r="Z101" s="56"/>
      <c r="AA101" s="56"/>
      <c r="AB101" s="56"/>
      <c r="AC101" s="56"/>
      <c r="AD101" s="56"/>
      <c r="AE101" s="56"/>
      <c r="AF101" s="56"/>
      <c r="AG101" s="56"/>
      <c r="AH101" s="56"/>
      <c r="AI101" s="56"/>
      <c r="AJ101" s="56"/>
      <c r="AK101" s="56"/>
      <c r="AL101" s="56"/>
    </row>
    <row r="102" spans="1:38" ht="14.25" customHeight="1">
      <c r="A102" s="56"/>
      <c r="B102" s="721"/>
      <c r="C102" s="721"/>
      <c r="D102" s="717"/>
      <c r="E102" s="42"/>
      <c r="F102" s="42"/>
      <c r="G102" s="42"/>
      <c r="H102" s="42"/>
      <c r="I102" s="42"/>
      <c r="J102" s="42"/>
      <c r="K102" s="42"/>
      <c r="L102" s="42"/>
      <c r="M102" s="42"/>
      <c r="N102" s="42"/>
      <c r="O102" s="42"/>
      <c r="P102" s="42"/>
      <c r="Q102" s="42"/>
      <c r="R102" s="42"/>
      <c r="S102" s="56"/>
      <c r="T102" s="56"/>
      <c r="U102" s="56"/>
      <c r="V102" s="56"/>
      <c r="W102" s="56"/>
      <c r="X102" s="56"/>
      <c r="Y102" s="56"/>
      <c r="Z102" s="56"/>
      <c r="AA102" s="56"/>
      <c r="AB102" s="56"/>
      <c r="AC102" s="56"/>
      <c r="AD102" s="56"/>
      <c r="AE102" s="56"/>
      <c r="AF102" s="56"/>
      <c r="AG102" s="56"/>
      <c r="AH102" s="56"/>
      <c r="AI102" s="56"/>
      <c r="AJ102" s="56"/>
      <c r="AK102" s="56"/>
      <c r="AL102" s="56"/>
    </row>
    <row r="103" spans="1:38" ht="14.25" customHeight="1">
      <c r="A103" s="56"/>
      <c r="B103" s="721"/>
      <c r="C103" s="721"/>
      <c r="D103" s="717"/>
      <c r="E103" s="42"/>
      <c r="F103" s="42"/>
      <c r="G103" s="42"/>
      <c r="H103" s="42"/>
      <c r="I103" s="42"/>
      <c r="J103" s="42"/>
      <c r="K103" s="42"/>
      <c r="L103" s="42"/>
      <c r="M103" s="42"/>
      <c r="N103" s="42"/>
      <c r="O103" s="42"/>
      <c r="P103" s="42"/>
      <c r="Q103" s="42"/>
      <c r="R103" s="42"/>
      <c r="S103" s="56"/>
      <c r="T103" s="56"/>
      <c r="U103" s="56"/>
      <c r="V103" s="56"/>
      <c r="W103" s="56"/>
      <c r="X103" s="56"/>
      <c r="Y103" s="56"/>
      <c r="Z103" s="56"/>
      <c r="AA103" s="56"/>
      <c r="AB103" s="56"/>
      <c r="AC103" s="56"/>
      <c r="AD103" s="56"/>
      <c r="AE103" s="56"/>
      <c r="AF103" s="56"/>
      <c r="AG103" s="56"/>
      <c r="AH103" s="56"/>
      <c r="AI103" s="56"/>
      <c r="AJ103" s="56"/>
      <c r="AK103" s="56"/>
      <c r="AL103" s="56"/>
    </row>
    <row r="104" spans="1:38" ht="14.25" customHeight="1">
      <c r="A104" s="56"/>
      <c r="B104" s="721"/>
      <c r="C104" s="721"/>
      <c r="D104" s="717"/>
      <c r="E104" s="42"/>
      <c r="F104" s="42"/>
      <c r="G104" s="42"/>
      <c r="H104" s="42"/>
      <c r="I104" s="42"/>
      <c r="J104" s="42"/>
      <c r="K104" s="42"/>
      <c r="L104" s="42"/>
      <c r="M104" s="42"/>
      <c r="N104" s="42"/>
      <c r="O104" s="42"/>
      <c r="P104" s="42"/>
      <c r="Q104" s="42"/>
      <c r="R104" s="42"/>
      <c r="S104" s="56"/>
      <c r="T104" s="56"/>
      <c r="U104" s="56"/>
      <c r="V104" s="56"/>
      <c r="W104" s="56"/>
      <c r="X104" s="56"/>
      <c r="Y104" s="56"/>
      <c r="Z104" s="56"/>
      <c r="AA104" s="56"/>
      <c r="AB104" s="56"/>
      <c r="AC104" s="56"/>
      <c r="AD104" s="56"/>
      <c r="AE104" s="56"/>
      <c r="AF104" s="56"/>
      <c r="AG104" s="56"/>
      <c r="AH104" s="56"/>
      <c r="AI104" s="56"/>
      <c r="AJ104" s="56"/>
      <c r="AK104" s="56"/>
      <c r="AL104" s="56"/>
    </row>
    <row r="105" spans="1:38" ht="14.25" customHeight="1">
      <c r="A105" s="56"/>
      <c r="B105" s="721"/>
      <c r="C105" s="721"/>
      <c r="D105" s="717"/>
      <c r="E105" s="42"/>
      <c r="F105" s="42"/>
      <c r="G105" s="42"/>
      <c r="H105" s="42"/>
      <c r="I105" s="42"/>
      <c r="J105" s="42"/>
      <c r="K105" s="42"/>
      <c r="L105" s="42"/>
      <c r="M105" s="42"/>
      <c r="N105" s="42"/>
      <c r="O105" s="42"/>
      <c r="P105" s="42"/>
      <c r="Q105" s="42"/>
      <c r="R105" s="42"/>
      <c r="S105" s="56"/>
      <c r="T105" s="56"/>
      <c r="U105" s="56"/>
      <c r="V105" s="56"/>
      <c r="W105" s="56"/>
      <c r="X105" s="56"/>
      <c r="Y105" s="56"/>
      <c r="Z105" s="56"/>
      <c r="AA105" s="56"/>
      <c r="AB105" s="56"/>
      <c r="AC105" s="56"/>
      <c r="AD105" s="56"/>
      <c r="AE105" s="56"/>
      <c r="AF105" s="56"/>
      <c r="AG105" s="56"/>
      <c r="AH105" s="56"/>
      <c r="AI105" s="56"/>
      <c r="AJ105" s="56"/>
      <c r="AK105" s="56"/>
      <c r="AL105" s="56"/>
    </row>
    <row r="106" spans="1:38" ht="14.25" customHeight="1">
      <c r="A106" s="56"/>
      <c r="B106" s="721"/>
      <c r="C106" s="721"/>
      <c r="D106" s="717"/>
      <c r="E106" s="42"/>
      <c r="F106" s="42"/>
      <c r="G106" s="42"/>
      <c r="H106" s="42"/>
      <c r="I106" s="42"/>
      <c r="J106" s="42"/>
      <c r="K106" s="42"/>
      <c r="L106" s="42"/>
      <c r="M106" s="42"/>
      <c r="N106" s="42"/>
      <c r="O106" s="42"/>
      <c r="P106" s="42"/>
      <c r="Q106" s="42"/>
      <c r="R106" s="42"/>
      <c r="S106" s="56"/>
      <c r="T106" s="56"/>
      <c r="U106" s="56"/>
      <c r="V106" s="56"/>
      <c r="W106" s="56"/>
      <c r="X106" s="56"/>
      <c r="Y106" s="56"/>
      <c r="Z106" s="56"/>
      <c r="AA106" s="56"/>
      <c r="AB106" s="56"/>
      <c r="AC106" s="56"/>
      <c r="AD106" s="56"/>
      <c r="AE106" s="56"/>
      <c r="AF106" s="56"/>
      <c r="AG106" s="56"/>
      <c r="AH106" s="56"/>
      <c r="AI106" s="56"/>
      <c r="AJ106" s="56"/>
      <c r="AK106" s="56"/>
      <c r="AL106" s="56"/>
    </row>
    <row r="107" spans="1:38" ht="14.25" customHeight="1">
      <c r="A107" s="56"/>
      <c r="B107" s="721"/>
      <c r="C107" s="721"/>
      <c r="D107" s="717"/>
      <c r="E107" s="42"/>
      <c r="F107" s="42"/>
      <c r="G107" s="42"/>
      <c r="H107" s="42"/>
      <c r="I107" s="42"/>
      <c r="J107" s="42"/>
      <c r="K107" s="42"/>
      <c r="L107" s="42"/>
      <c r="M107" s="42"/>
      <c r="N107" s="42"/>
      <c r="O107" s="42"/>
      <c r="P107" s="42"/>
      <c r="Q107" s="42"/>
      <c r="R107" s="42"/>
      <c r="S107" s="56"/>
      <c r="T107" s="56"/>
      <c r="U107" s="56"/>
      <c r="V107" s="56"/>
      <c r="W107" s="56"/>
      <c r="X107" s="56"/>
      <c r="Y107" s="56"/>
      <c r="Z107" s="56"/>
      <c r="AA107" s="56"/>
      <c r="AB107" s="56"/>
      <c r="AC107" s="56"/>
      <c r="AD107" s="56"/>
      <c r="AE107" s="56"/>
      <c r="AF107" s="56"/>
      <c r="AG107" s="56"/>
      <c r="AH107" s="56"/>
      <c r="AI107" s="56"/>
      <c r="AJ107" s="56"/>
      <c r="AK107" s="56"/>
      <c r="AL107" s="56"/>
    </row>
    <row r="108" spans="1:38" ht="14.25" customHeight="1">
      <c r="A108" s="56"/>
      <c r="B108" s="721"/>
      <c r="C108" s="721"/>
      <c r="D108" s="717"/>
      <c r="E108" s="42"/>
      <c r="F108" s="42"/>
      <c r="G108" s="42"/>
      <c r="H108" s="42"/>
      <c r="I108" s="42"/>
      <c r="J108" s="42"/>
      <c r="K108" s="42"/>
      <c r="L108" s="42"/>
      <c r="M108" s="42"/>
      <c r="N108" s="42"/>
      <c r="O108" s="42"/>
      <c r="P108" s="42"/>
      <c r="Q108" s="42"/>
      <c r="R108" s="42"/>
      <c r="S108" s="56"/>
      <c r="T108" s="56"/>
      <c r="U108" s="56"/>
      <c r="V108" s="56"/>
      <c r="W108" s="56"/>
      <c r="X108" s="56"/>
      <c r="Y108" s="56"/>
      <c r="Z108" s="56"/>
      <c r="AA108" s="56"/>
      <c r="AB108" s="56"/>
      <c r="AC108" s="56"/>
      <c r="AD108" s="56"/>
      <c r="AE108" s="56"/>
      <c r="AF108" s="56"/>
      <c r="AG108" s="56"/>
      <c r="AH108" s="56"/>
      <c r="AI108" s="56"/>
      <c r="AJ108" s="56"/>
      <c r="AK108" s="56"/>
      <c r="AL108" s="56"/>
    </row>
    <row r="109" spans="1:38" ht="14.25" customHeight="1">
      <c r="A109" s="56"/>
      <c r="B109" s="721"/>
      <c r="C109" s="721"/>
      <c r="D109" s="717"/>
      <c r="E109" s="42"/>
      <c r="F109" s="42"/>
      <c r="G109" s="42"/>
      <c r="H109" s="42"/>
      <c r="I109" s="42"/>
      <c r="J109" s="42"/>
      <c r="K109" s="42"/>
      <c r="L109" s="42"/>
      <c r="M109" s="42"/>
      <c r="N109" s="42"/>
      <c r="O109" s="42"/>
      <c r="P109" s="42"/>
      <c r="Q109" s="42"/>
      <c r="R109" s="42"/>
      <c r="S109" s="56"/>
      <c r="T109" s="56"/>
      <c r="U109" s="56"/>
      <c r="V109" s="56"/>
      <c r="W109" s="56"/>
      <c r="X109" s="56"/>
      <c r="Y109" s="56"/>
      <c r="Z109" s="56"/>
      <c r="AA109" s="56"/>
      <c r="AB109" s="56"/>
      <c r="AC109" s="56"/>
      <c r="AD109" s="56"/>
      <c r="AE109" s="56"/>
      <c r="AF109" s="56"/>
      <c r="AG109" s="56"/>
      <c r="AH109" s="56"/>
      <c r="AI109" s="56"/>
      <c r="AJ109" s="56"/>
      <c r="AK109" s="56"/>
      <c r="AL109" s="56"/>
    </row>
    <row r="110" spans="1:38" ht="14.25" customHeight="1">
      <c r="A110" s="56"/>
      <c r="B110" s="721"/>
      <c r="C110" s="721"/>
      <c r="D110" s="717"/>
      <c r="E110" s="42"/>
      <c r="F110" s="42"/>
      <c r="G110" s="42"/>
      <c r="H110" s="42"/>
      <c r="I110" s="42"/>
      <c r="J110" s="42"/>
      <c r="K110" s="42"/>
      <c r="L110" s="42"/>
      <c r="M110" s="42"/>
      <c r="N110" s="42"/>
      <c r="O110" s="42"/>
      <c r="P110" s="42"/>
      <c r="Q110" s="42"/>
      <c r="R110" s="42"/>
      <c r="S110" s="56"/>
      <c r="T110" s="56"/>
      <c r="U110" s="56"/>
      <c r="V110" s="56"/>
      <c r="W110" s="56"/>
      <c r="X110" s="56"/>
      <c r="Y110" s="56"/>
      <c r="Z110" s="56"/>
      <c r="AA110" s="56"/>
      <c r="AB110" s="56"/>
      <c r="AC110" s="56"/>
      <c r="AD110" s="56"/>
      <c r="AE110" s="56"/>
      <c r="AF110" s="56"/>
      <c r="AG110" s="56"/>
      <c r="AH110" s="56"/>
      <c r="AI110" s="56"/>
      <c r="AJ110" s="56"/>
      <c r="AK110" s="56"/>
      <c r="AL110" s="56"/>
    </row>
    <row r="111" spans="1:38" ht="14.25" customHeight="1">
      <c r="A111" s="56"/>
      <c r="B111" s="721"/>
      <c r="C111" s="721"/>
      <c r="D111" s="717"/>
      <c r="E111" s="42"/>
      <c r="F111" s="42"/>
      <c r="G111" s="42"/>
      <c r="H111" s="42"/>
      <c r="I111" s="42"/>
      <c r="J111" s="42"/>
      <c r="K111" s="42"/>
      <c r="L111" s="42"/>
      <c r="M111" s="42"/>
      <c r="N111" s="42"/>
      <c r="O111" s="42"/>
      <c r="P111" s="42"/>
      <c r="Q111" s="42"/>
      <c r="R111" s="42"/>
      <c r="S111" s="56"/>
      <c r="T111" s="56"/>
      <c r="U111" s="56"/>
      <c r="V111" s="56"/>
      <c r="W111" s="56"/>
      <c r="X111" s="56"/>
      <c r="Y111" s="56"/>
      <c r="Z111" s="56"/>
      <c r="AA111" s="56"/>
      <c r="AB111" s="56"/>
      <c r="AC111" s="56"/>
      <c r="AD111" s="56"/>
      <c r="AE111" s="56"/>
      <c r="AF111" s="56"/>
      <c r="AG111" s="56"/>
      <c r="AH111" s="56"/>
      <c r="AI111" s="56"/>
      <c r="AJ111" s="56"/>
      <c r="AK111" s="56"/>
      <c r="AL111" s="56"/>
    </row>
    <row r="112" spans="1:38" ht="14.25" customHeight="1">
      <c r="A112" s="56"/>
      <c r="B112" s="721"/>
      <c r="C112" s="721"/>
      <c r="D112" s="717"/>
      <c r="E112" s="42"/>
      <c r="F112" s="42"/>
      <c r="G112" s="42"/>
      <c r="H112" s="42"/>
      <c r="I112" s="42"/>
      <c r="J112" s="42"/>
      <c r="K112" s="42"/>
      <c r="L112" s="42"/>
      <c r="M112" s="42"/>
      <c r="N112" s="42"/>
      <c r="O112" s="42"/>
      <c r="P112" s="42"/>
      <c r="Q112" s="42"/>
      <c r="R112" s="42"/>
      <c r="S112" s="56"/>
      <c r="T112" s="56"/>
      <c r="U112" s="56"/>
      <c r="V112" s="56"/>
      <c r="W112" s="56"/>
      <c r="X112" s="56"/>
      <c r="Y112" s="56"/>
      <c r="Z112" s="56"/>
      <c r="AA112" s="56"/>
      <c r="AB112" s="56"/>
      <c r="AC112" s="56"/>
      <c r="AD112" s="56"/>
      <c r="AE112" s="56"/>
      <c r="AF112" s="56"/>
      <c r="AG112" s="56"/>
      <c r="AH112" s="56"/>
      <c r="AI112" s="56"/>
      <c r="AJ112" s="56"/>
      <c r="AK112" s="56"/>
      <c r="AL112" s="56"/>
    </row>
    <row r="113" spans="1:38" ht="14.25" customHeight="1">
      <c r="A113" s="56"/>
      <c r="B113" s="721"/>
      <c r="C113" s="721"/>
      <c r="D113" s="717"/>
      <c r="E113" s="42"/>
      <c r="F113" s="42"/>
      <c r="G113" s="42"/>
      <c r="H113" s="42"/>
      <c r="I113" s="42"/>
      <c r="J113" s="42"/>
      <c r="K113" s="42"/>
      <c r="L113" s="42"/>
      <c r="M113" s="42"/>
      <c r="N113" s="42"/>
      <c r="O113" s="42"/>
      <c r="P113" s="42"/>
      <c r="Q113" s="42"/>
      <c r="R113" s="42"/>
      <c r="S113" s="56"/>
      <c r="T113" s="56"/>
      <c r="U113" s="56"/>
      <c r="V113" s="56"/>
      <c r="W113" s="56"/>
      <c r="X113" s="56"/>
      <c r="Y113" s="56"/>
      <c r="Z113" s="56"/>
      <c r="AA113" s="56"/>
      <c r="AB113" s="56"/>
      <c r="AC113" s="56"/>
      <c r="AD113" s="56"/>
      <c r="AE113" s="56"/>
      <c r="AF113" s="56"/>
      <c r="AG113" s="56"/>
      <c r="AH113" s="56"/>
      <c r="AI113" s="56"/>
      <c r="AJ113" s="56"/>
      <c r="AK113" s="56"/>
      <c r="AL113" s="56"/>
    </row>
    <row r="114" spans="1:38" ht="14.25" customHeight="1">
      <c r="A114" s="56"/>
      <c r="B114" s="721"/>
      <c r="C114" s="721"/>
      <c r="D114" s="717"/>
      <c r="E114" s="42"/>
      <c r="F114" s="42"/>
      <c r="G114" s="42"/>
      <c r="H114" s="42"/>
      <c r="I114" s="42"/>
      <c r="J114" s="42"/>
      <c r="K114" s="42"/>
      <c r="L114" s="42"/>
      <c r="M114" s="42"/>
      <c r="N114" s="42"/>
      <c r="O114" s="42"/>
      <c r="P114" s="42"/>
      <c r="Q114" s="42"/>
      <c r="R114" s="42"/>
      <c r="S114" s="56"/>
      <c r="T114" s="56"/>
      <c r="U114" s="56"/>
      <c r="V114" s="56"/>
      <c r="W114" s="56"/>
      <c r="X114" s="56"/>
      <c r="Y114" s="56"/>
      <c r="Z114" s="56"/>
      <c r="AA114" s="56"/>
      <c r="AB114" s="56"/>
      <c r="AC114" s="56"/>
      <c r="AD114" s="56"/>
      <c r="AE114" s="56"/>
      <c r="AF114" s="56"/>
      <c r="AG114" s="56"/>
      <c r="AH114" s="56"/>
      <c r="AI114" s="56"/>
      <c r="AJ114" s="56"/>
      <c r="AK114" s="56"/>
      <c r="AL114" s="56"/>
    </row>
    <row r="115" spans="1:38" ht="14.25" customHeight="1">
      <c r="A115" s="56"/>
      <c r="B115" s="721"/>
      <c r="C115" s="721"/>
      <c r="D115" s="717"/>
      <c r="E115" s="42"/>
      <c r="F115" s="42"/>
      <c r="G115" s="42"/>
      <c r="H115" s="42"/>
      <c r="I115" s="42"/>
      <c r="J115" s="42"/>
      <c r="K115" s="42"/>
      <c r="L115" s="42"/>
      <c r="M115" s="42"/>
      <c r="N115" s="42"/>
      <c r="O115" s="42"/>
      <c r="P115" s="42"/>
      <c r="Q115" s="42"/>
      <c r="R115" s="42"/>
      <c r="S115" s="56"/>
      <c r="T115" s="56"/>
      <c r="U115" s="56"/>
      <c r="V115" s="56"/>
      <c r="W115" s="56"/>
      <c r="X115" s="56"/>
      <c r="Y115" s="56"/>
      <c r="Z115" s="56"/>
      <c r="AA115" s="56"/>
      <c r="AB115" s="56"/>
      <c r="AC115" s="56"/>
      <c r="AD115" s="56"/>
      <c r="AE115" s="56"/>
      <c r="AF115" s="56"/>
      <c r="AG115" s="56"/>
      <c r="AH115" s="56"/>
      <c r="AI115" s="56"/>
      <c r="AJ115" s="56"/>
      <c r="AK115" s="56"/>
      <c r="AL115" s="56"/>
    </row>
    <row r="116" spans="1:38" ht="14.25" customHeight="1">
      <c r="A116" s="56"/>
      <c r="B116" s="721"/>
      <c r="C116" s="721"/>
      <c r="D116" s="717"/>
      <c r="E116" s="42"/>
      <c r="F116" s="42"/>
      <c r="G116" s="42"/>
      <c r="H116" s="42"/>
      <c r="I116" s="42"/>
      <c r="J116" s="42"/>
      <c r="K116" s="42"/>
      <c r="L116" s="42"/>
      <c r="M116" s="42"/>
      <c r="N116" s="42"/>
      <c r="O116" s="42"/>
      <c r="P116" s="42"/>
      <c r="Q116" s="42"/>
      <c r="R116" s="42"/>
      <c r="S116" s="56"/>
      <c r="T116" s="56"/>
      <c r="U116" s="56"/>
      <c r="V116" s="56"/>
      <c r="W116" s="56"/>
      <c r="X116" s="56"/>
      <c r="Y116" s="56"/>
      <c r="Z116" s="56"/>
      <c r="AA116" s="56"/>
      <c r="AB116" s="56"/>
      <c r="AC116" s="56"/>
      <c r="AD116" s="56"/>
      <c r="AE116" s="56"/>
      <c r="AF116" s="56"/>
      <c r="AG116" s="56"/>
      <c r="AH116" s="56"/>
      <c r="AI116" s="56"/>
      <c r="AJ116" s="56"/>
      <c r="AK116" s="56"/>
      <c r="AL116" s="56"/>
    </row>
    <row r="117" spans="1:38" ht="14.25" customHeight="1">
      <c r="A117" s="56"/>
      <c r="B117" s="721"/>
      <c r="C117" s="721"/>
      <c r="D117" s="717"/>
      <c r="E117" s="42"/>
      <c r="F117" s="42"/>
      <c r="G117" s="42"/>
      <c r="H117" s="42"/>
      <c r="I117" s="42"/>
      <c r="J117" s="42"/>
      <c r="K117" s="42"/>
      <c r="L117" s="42"/>
      <c r="M117" s="42"/>
      <c r="N117" s="42"/>
      <c r="O117" s="42"/>
      <c r="P117" s="42"/>
      <c r="Q117" s="42"/>
      <c r="R117" s="42"/>
      <c r="S117" s="56"/>
      <c r="T117" s="56"/>
      <c r="U117" s="56"/>
      <c r="V117" s="56"/>
      <c r="W117" s="56"/>
      <c r="X117" s="56"/>
      <c r="Y117" s="56"/>
      <c r="Z117" s="56"/>
      <c r="AA117" s="56"/>
      <c r="AB117" s="56"/>
      <c r="AC117" s="56"/>
      <c r="AD117" s="56"/>
      <c r="AE117" s="56"/>
      <c r="AF117" s="56"/>
      <c r="AG117" s="56"/>
      <c r="AH117" s="56"/>
      <c r="AI117" s="56"/>
      <c r="AJ117" s="56"/>
      <c r="AK117" s="56"/>
      <c r="AL117" s="56"/>
    </row>
    <row r="118" spans="1:38" ht="14.25" customHeight="1">
      <c r="A118" s="56"/>
      <c r="B118" s="721"/>
      <c r="C118" s="721"/>
      <c r="D118" s="717"/>
      <c r="E118" s="42"/>
      <c r="F118" s="42"/>
      <c r="G118" s="42"/>
      <c r="H118" s="42"/>
      <c r="I118" s="42"/>
      <c r="J118" s="42"/>
      <c r="K118" s="42"/>
      <c r="L118" s="42"/>
      <c r="M118" s="42"/>
      <c r="N118" s="42"/>
      <c r="O118" s="42"/>
      <c r="P118" s="42"/>
      <c r="Q118" s="42"/>
      <c r="R118" s="42"/>
      <c r="S118" s="56"/>
      <c r="T118" s="56"/>
      <c r="U118" s="56"/>
      <c r="V118" s="56"/>
      <c r="W118" s="56"/>
      <c r="X118" s="56"/>
      <c r="Y118" s="56"/>
      <c r="Z118" s="56"/>
      <c r="AA118" s="56"/>
      <c r="AB118" s="56"/>
      <c r="AC118" s="56"/>
      <c r="AD118" s="56"/>
      <c r="AE118" s="56"/>
      <c r="AF118" s="56"/>
      <c r="AG118" s="56"/>
      <c r="AH118" s="56"/>
      <c r="AI118" s="56"/>
      <c r="AJ118" s="56"/>
      <c r="AK118" s="56"/>
      <c r="AL118" s="56"/>
    </row>
    <row r="119" spans="1:38" ht="14.25" customHeight="1">
      <c r="A119" s="56"/>
      <c r="B119" s="721"/>
      <c r="C119" s="721"/>
      <c r="D119" s="717"/>
      <c r="E119" s="42"/>
      <c r="F119" s="42"/>
      <c r="G119" s="42"/>
      <c r="H119" s="42"/>
      <c r="I119" s="42"/>
      <c r="J119" s="42"/>
      <c r="K119" s="42"/>
      <c r="L119" s="42"/>
      <c r="M119" s="42"/>
      <c r="N119" s="42"/>
      <c r="O119" s="42"/>
      <c r="P119" s="42"/>
      <c r="Q119" s="42"/>
      <c r="R119" s="42"/>
      <c r="S119" s="56"/>
      <c r="T119" s="56"/>
      <c r="U119" s="56"/>
      <c r="V119" s="56"/>
      <c r="W119" s="56"/>
      <c r="X119" s="56"/>
      <c r="Y119" s="56"/>
      <c r="Z119" s="56"/>
      <c r="AA119" s="56"/>
      <c r="AB119" s="56"/>
      <c r="AC119" s="56"/>
      <c r="AD119" s="56"/>
      <c r="AE119" s="56"/>
      <c r="AF119" s="56"/>
      <c r="AG119" s="56"/>
      <c r="AH119" s="56"/>
      <c r="AI119" s="56"/>
      <c r="AJ119" s="56"/>
      <c r="AK119" s="56"/>
      <c r="AL119" s="56"/>
    </row>
    <row r="120" spans="1:38" ht="14.25" customHeight="1">
      <c r="A120" s="56"/>
      <c r="B120" s="721"/>
      <c r="C120" s="721"/>
      <c r="D120" s="717"/>
      <c r="E120" s="42"/>
      <c r="F120" s="42"/>
      <c r="G120" s="42"/>
      <c r="H120" s="42"/>
      <c r="I120" s="42"/>
      <c r="J120" s="42"/>
      <c r="K120" s="42"/>
      <c r="L120" s="42"/>
      <c r="M120" s="42"/>
      <c r="N120" s="42"/>
      <c r="O120" s="42"/>
      <c r="P120" s="42"/>
      <c r="Q120" s="42"/>
      <c r="R120" s="42"/>
      <c r="S120" s="56"/>
      <c r="T120" s="56"/>
      <c r="U120" s="56"/>
      <c r="V120" s="56"/>
      <c r="W120" s="56"/>
      <c r="X120" s="56"/>
      <c r="Y120" s="56"/>
      <c r="Z120" s="56"/>
      <c r="AA120" s="56"/>
      <c r="AB120" s="56"/>
      <c r="AC120" s="56"/>
      <c r="AD120" s="56"/>
      <c r="AE120" s="56"/>
      <c r="AF120" s="56"/>
      <c r="AG120" s="56"/>
      <c r="AH120" s="56"/>
      <c r="AI120" s="56"/>
      <c r="AJ120" s="56"/>
      <c r="AK120" s="56"/>
      <c r="AL120" s="56"/>
    </row>
    <row r="121" spans="1:38" ht="14.25" customHeight="1">
      <c r="A121" s="56"/>
      <c r="B121" s="721"/>
      <c r="C121" s="721"/>
      <c r="D121" s="717"/>
      <c r="E121" s="42"/>
      <c r="F121" s="42"/>
      <c r="G121" s="42"/>
      <c r="H121" s="42"/>
      <c r="I121" s="42"/>
      <c r="J121" s="42"/>
      <c r="K121" s="42"/>
      <c r="L121" s="42"/>
      <c r="M121" s="42"/>
      <c r="N121" s="42"/>
      <c r="O121" s="42"/>
      <c r="P121" s="42"/>
      <c r="Q121" s="42"/>
      <c r="R121" s="42"/>
      <c r="S121" s="56"/>
      <c r="T121" s="56"/>
      <c r="U121" s="56"/>
      <c r="V121" s="56"/>
      <c r="W121" s="56"/>
      <c r="X121" s="56"/>
      <c r="Y121" s="56"/>
      <c r="Z121" s="56"/>
      <c r="AA121" s="56"/>
      <c r="AB121" s="56"/>
      <c r="AC121" s="56"/>
      <c r="AD121" s="56"/>
      <c r="AE121" s="56"/>
      <c r="AF121" s="56"/>
      <c r="AG121" s="56"/>
      <c r="AH121" s="56"/>
      <c r="AI121" s="56"/>
      <c r="AJ121" s="56"/>
      <c r="AK121" s="56"/>
      <c r="AL121" s="56"/>
    </row>
    <row r="122" spans="1:38" ht="14.25" customHeight="1">
      <c r="A122" s="56"/>
      <c r="B122" s="721"/>
      <c r="C122" s="721"/>
      <c r="D122" s="717"/>
      <c r="E122" s="42"/>
      <c r="F122" s="42"/>
      <c r="G122" s="42"/>
      <c r="H122" s="42"/>
      <c r="I122" s="42"/>
      <c r="J122" s="42"/>
      <c r="K122" s="42"/>
      <c r="L122" s="42"/>
      <c r="M122" s="42"/>
      <c r="N122" s="42"/>
      <c r="O122" s="42"/>
      <c r="P122" s="42"/>
      <c r="Q122" s="42"/>
      <c r="R122" s="42"/>
      <c r="S122" s="56"/>
      <c r="T122" s="56"/>
      <c r="U122" s="56"/>
      <c r="V122" s="56"/>
      <c r="W122" s="56"/>
      <c r="X122" s="56"/>
      <c r="Y122" s="56"/>
      <c r="Z122" s="56"/>
      <c r="AA122" s="56"/>
      <c r="AB122" s="56"/>
      <c r="AC122" s="56"/>
      <c r="AD122" s="56"/>
      <c r="AE122" s="56"/>
      <c r="AF122" s="56"/>
      <c r="AG122" s="56"/>
      <c r="AH122" s="56"/>
      <c r="AI122" s="56"/>
      <c r="AJ122" s="56"/>
      <c r="AK122" s="56"/>
      <c r="AL122" s="56"/>
    </row>
    <row r="123" spans="1:38" ht="14.25" customHeight="1">
      <c r="A123" s="56"/>
      <c r="B123" s="721"/>
      <c r="C123" s="721"/>
      <c r="D123" s="717"/>
      <c r="E123" s="42"/>
      <c r="F123" s="42"/>
      <c r="G123" s="42"/>
      <c r="H123" s="42"/>
      <c r="I123" s="42"/>
      <c r="J123" s="42"/>
      <c r="K123" s="42"/>
      <c r="L123" s="42"/>
      <c r="M123" s="42"/>
      <c r="N123" s="42"/>
      <c r="O123" s="42"/>
      <c r="P123" s="42"/>
      <c r="Q123" s="42"/>
      <c r="R123" s="42"/>
      <c r="S123" s="56"/>
      <c r="T123" s="56"/>
      <c r="U123" s="56"/>
      <c r="V123" s="56"/>
      <c r="W123" s="56"/>
      <c r="X123" s="56"/>
      <c r="Y123" s="56"/>
      <c r="Z123" s="56"/>
      <c r="AA123" s="56"/>
      <c r="AB123" s="56"/>
      <c r="AC123" s="56"/>
      <c r="AD123" s="56"/>
      <c r="AE123" s="56"/>
      <c r="AF123" s="56"/>
      <c r="AG123" s="56"/>
      <c r="AH123" s="56"/>
      <c r="AI123" s="56"/>
      <c r="AJ123" s="56"/>
      <c r="AK123" s="56"/>
      <c r="AL123" s="56"/>
    </row>
    <row r="124" spans="1:38" ht="14.25" customHeight="1">
      <c r="A124" s="56"/>
      <c r="B124" s="721"/>
      <c r="C124" s="721"/>
      <c r="D124" s="717"/>
      <c r="E124" s="42"/>
      <c r="F124" s="42"/>
      <c r="G124" s="42"/>
      <c r="H124" s="42"/>
      <c r="I124" s="42"/>
      <c r="J124" s="42"/>
      <c r="K124" s="42"/>
      <c r="L124" s="42"/>
      <c r="M124" s="42"/>
      <c r="N124" s="42"/>
      <c r="O124" s="42"/>
      <c r="P124" s="42"/>
      <c r="Q124" s="42"/>
      <c r="R124" s="42"/>
      <c r="S124" s="56"/>
      <c r="T124" s="56"/>
      <c r="U124" s="56"/>
      <c r="V124" s="56"/>
      <c r="W124" s="56"/>
      <c r="X124" s="56"/>
      <c r="Y124" s="56"/>
      <c r="Z124" s="56"/>
      <c r="AA124" s="56"/>
      <c r="AB124" s="56"/>
      <c r="AC124" s="56"/>
      <c r="AD124" s="56"/>
      <c r="AE124" s="56"/>
      <c r="AF124" s="56"/>
      <c r="AG124" s="56"/>
      <c r="AH124" s="56"/>
      <c r="AI124" s="56"/>
      <c r="AJ124" s="56"/>
      <c r="AK124" s="56"/>
      <c r="AL124" s="56"/>
    </row>
    <row r="125" spans="1:38" ht="14.25" customHeight="1">
      <c r="A125" s="56"/>
      <c r="B125" s="721"/>
      <c r="C125" s="721"/>
      <c r="D125" s="717"/>
      <c r="E125" s="42"/>
      <c r="F125" s="42"/>
      <c r="G125" s="42"/>
      <c r="H125" s="42"/>
      <c r="I125" s="42"/>
      <c r="J125" s="42"/>
      <c r="K125" s="42"/>
      <c r="L125" s="42"/>
      <c r="M125" s="42"/>
      <c r="N125" s="42"/>
      <c r="O125" s="42"/>
      <c r="P125" s="42"/>
      <c r="Q125" s="42"/>
      <c r="R125" s="42"/>
      <c r="S125" s="56"/>
      <c r="T125" s="56"/>
      <c r="U125" s="56"/>
      <c r="V125" s="56"/>
      <c r="W125" s="56"/>
      <c r="X125" s="56"/>
      <c r="Y125" s="56"/>
      <c r="Z125" s="56"/>
      <c r="AA125" s="56"/>
      <c r="AB125" s="56"/>
      <c r="AC125" s="56"/>
      <c r="AD125" s="56"/>
      <c r="AE125" s="56"/>
      <c r="AF125" s="56"/>
      <c r="AG125" s="56"/>
      <c r="AH125" s="56"/>
      <c r="AI125" s="56"/>
      <c r="AJ125" s="56"/>
      <c r="AK125" s="56"/>
      <c r="AL125" s="56"/>
    </row>
    <row r="126" spans="1:38" ht="14.25" customHeight="1">
      <c r="A126" s="56"/>
      <c r="B126" s="721"/>
      <c r="C126" s="721"/>
      <c r="D126" s="717"/>
      <c r="E126" s="42"/>
      <c r="F126" s="42"/>
      <c r="G126" s="42"/>
      <c r="H126" s="42"/>
      <c r="I126" s="42"/>
      <c r="J126" s="42"/>
      <c r="K126" s="42"/>
      <c r="L126" s="42"/>
      <c r="M126" s="42"/>
      <c r="N126" s="42"/>
      <c r="O126" s="42"/>
      <c r="P126" s="42"/>
      <c r="Q126" s="42"/>
      <c r="R126" s="42"/>
      <c r="S126" s="56"/>
      <c r="T126" s="56"/>
      <c r="U126" s="56"/>
      <c r="V126" s="56"/>
      <c r="W126" s="56"/>
      <c r="X126" s="56"/>
      <c r="Y126" s="56"/>
      <c r="Z126" s="56"/>
      <c r="AA126" s="56"/>
      <c r="AB126" s="56"/>
      <c r="AC126" s="56"/>
      <c r="AD126" s="56"/>
      <c r="AE126" s="56"/>
      <c r="AF126" s="56"/>
      <c r="AG126" s="56"/>
      <c r="AH126" s="56"/>
      <c r="AI126" s="56"/>
      <c r="AJ126" s="56"/>
      <c r="AK126" s="56"/>
      <c r="AL126" s="56"/>
    </row>
    <row r="127" spans="1:38" ht="14.25" customHeight="1">
      <c r="A127" s="56"/>
      <c r="B127" s="721"/>
      <c r="C127" s="721"/>
      <c r="D127" s="717"/>
      <c r="E127" s="42"/>
      <c r="F127" s="42"/>
      <c r="G127" s="42"/>
      <c r="H127" s="42"/>
      <c r="I127" s="42"/>
      <c r="J127" s="42"/>
      <c r="K127" s="42"/>
      <c r="L127" s="42"/>
      <c r="M127" s="42"/>
      <c r="N127" s="42"/>
      <c r="O127" s="42"/>
      <c r="P127" s="42"/>
      <c r="Q127" s="42"/>
      <c r="R127" s="42"/>
      <c r="S127" s="56"/>
      <c r="T127" s="56"/>
      <c r="U127" s="56"/>
      <c r="V127" s="56"/>
      <c r="W127" s="56"/>
      <c r="X127" s="56"/>
      <c r="Y127" s="56"/>
      <c r="Z127" s="56"/>
      <c r="AA127" s="56"/>
      <c r="AB127" s="56"/>
      <c r="AC127" s="56"/>
      <c r="AD127" s="56"/>
      <c r="AE127" s="56"/>
      <c r="AF127" s="56"/>
      <c r="AG127" s="56"/>
      <c r="AH127" s="56"/>
      <c r="AI127" s="56"/>
      <c r="AJ127" s="56"/>
      <c r="AK127" s="56"/>
      <c r="AL127" s="56"/>
    </row>
    <row r="128" spans="1:38" ht="14.25" customHeight="1">
      <c r="A128" s="56"/>
      <c r="B128" s="721"/>
      <c r="C128" s="721"/>
      <c r="D128" s="717"/>
      <c r="E128" s="42"/>
      <c r="F128" s="42"/>
      <c r="G128" s="42"/>
      <c r="H128" s="42"/>
      <c r="I128" s="42"/>
      <c r="J128" s="42"/>
      <c r="K128" s="42"/>
      <c r="L128" s="42"/>
      <c r="M128" s="42"/>
      <c r="N128" s="42"/>
      <c r="O128" s="42"/>
      <c r="P128" s="42"/>
      <c r="Q128" s="42"/>
      <c r="R128" s="42"/>
      <c r="S128" s="56"/>
      <c r="T128" s="56"/>
      <c r="U128" s="56"/>
      <c r="V128" s="56"/>
      <c r="W128" s="56"/>
      <c r="X128" s="56"/>
      <c r="Y128" s="56"/>
      <c r="Z128" s="56"/>
      <c r="AA128" s="56"/>
      <c r="AB128" s="56"/>
      <c r="AC128" s="56"/>
      <c r="AD128" s="56"/>
      <c r="AE128" s="56"/>
      <c r="AF128" s="56"/>
      <c r="AG128" s="56"/>
      <c r="AH128" s="56"/>
      <c r="AI128" s="56"/>
      <c r="AJ128" s="56"/>
      <c r="AK128" s="56"/>
      <c r="AL128" s="56"/>
    </row>
    <row r="129" spans="1:38" ht="14.25" customHeight="1">
      <c r="A129" s="56"/>
      <c r="B129" s="721"/>
      <c r="C129" s="721"/>
      <c r="D129" s="717"/>
      <c r="E129" s="42"/>
      <c r="F129" s="42"/>
      <c r="G129" s="42"/>
      <c r="H129" s="42"/>
      <c r="I129" s="42"/>
      <c r="J129" s="42"/>
      <c r="K129" s="42"/>
      <c r="L129" s="42"/>
      <c r="M129" s="42"/>
      <c r="N129" s="42"/>
      <c r="O129" s="42"/>
      <c r="P129" s="42"/>
      <c r="Q129" s="42"/>
      <c r="R129" s="42"/>
      <c r="S129" s="56"/>
      <c r="T129" s="56"/>
      <c r="U129" s="56"/>
      <c r="V129" s="56"/>
      <c r="W129" s="56"/>
      <c r="X129" s="56"/>
      <c r="Y129" s="56"/>
      <c r="Z129" s="56"/>
      <c r="AA129" s="56"/>
      <c r="AB129" s="56"/>
      <c r="AC129" s="56"/>
      <c r="AD129" s="56"/>
      <c r="AE129" s="56"/>
      <c r="AF129" s="56"/>
      <c r="AG129" s="56"/>
      <c r="AH129" s="56"/>
      <c r="AI129" s="56"/>
      <c r="AJ129" s="56"/>
      <c r="AK129" s="56"/>
      <c r="AL129" s="56"/>
    </row>
    <row r="130" spans="1:38" ht="14.25" customHeight="1">
      <c r="A130" s="56"/>
      <c r="B130" s="721"/>
      <c r="C130" s="721"/>
      <c r="D130" s="717"/>
      <c r="E130" s="42"/>
      <c r="F130" s="42"/>
      <c r="G130" s="42"/>
      <c r="H130" s="42"/>
      <c r="I130" s="42"/>
      <c r="J130" s="42"/>
      <c r="K130" s="42"/>
      <c r="L130" s="42"/>
      <c r="M130" s="42"/>
      <c r="N130" s="42"/>
      <c r="O130" s="42"/>
      <c r="P130" s="42"/>
      <c r="Q130" s="42"/>
      <c r="R130" s="42"/>
      <c r="S130" s="56"/>
      <c r="T130" s="56"/>
      <c r="U130" s="56"/>
      <c r="V130" s="56"/>
      <c r="W130" s="56"/>
      <c r="X130" s="56"/>
      <c r="Y130" s="56"/>
      <c r="Z130" s="56"/>
      <c r="AA130" s="56"/>
      <c r="AB130" s="56"/>
      <c r="AC130" s="56"/>
      <c r="AD130" s="56"/>
      <c r="AE130" s="56"/>
      <c r="AF130" s="56"/>
      <c r="AG130" s="56"/>
      <c r="AH130" s="56"/>
      <c r="AI130" s="56"/>
      <c r="AJ130" s="56"/>
      <c r="AK130" s="56"/>
      <c r="AL130" s="56"/>
    </row>
    <row r="131" spans="1:38" ht="14.25" customHeight="1">
      <c r="A131" s="56"/>
      <c r="B131" s="721"/>
      <c r="C131" s="721"/>
      <c r="D131" s="717"/>
      <c r="E131" s="42"/>
      <c r="F131" s="42"/>
      <c r="G131" s="42"/>
      <c r="H131" s="42"/>
      <c r="I131" s="42"/>
      <c r="J131" s="42"/>
      <c r="K131" s="42"/>
      <c r="L131" s="42"/>
      <c r="M131" s="42"/>
      <c r="N131" s="42"/>
      <c r="O131" s="42"/>
      <c r="P131" s="42"/>
      <c r="Q131" s="42"/>
      <c r="R131" s="42"/>
      <c r="S131" s="56"/>
      <c r="T131" s="56"/>
      <c r="U131" s="56"/>
      <c r="V131" s="56"/>
      <c r="W131" s="56"/>
      <c r="X131" s="56"/>
      <c r="Y131" s="56"/>
      <c r="Z131" s="56"/>
      <c r="AA131" s="56"/>
      <c r="AB131" s="56"/>
      <c r="AC131" s="56"/>
      <c r="AD131" s="56"/>
      <c r="AE131" s="56"/>
      <c r="AF131" s="56"/>
      <c r="AG131" s="56"/>
      <c r="AH131" s="56"/>
      <c r="AI131" s="56"/>
      <c r="AJ131" s="56"/>
      <c r="AK131" s="56"/>
      <c r="AL131" s="56"/>
    </row>
    <row r="132" spans="1:38" ht="14.25" customHeight="1">
      <c r="A132" s="56"/>
      <c r="B132" s="721"/>
      <c r="C132" s="721"/>
      <c r="D132" s="717"/>
      <c r="E132" s="42"/>
      <c r="F132" s="42"/>
      <c r="G132" s="42"/>
      <c r="H132" s="42"/>
      <c r="I132" s="42"/>
      <c r="J132" s="42"/>
      <c r="K132" s="42"/>
      <c r="L132" s="42"/>
      <c r="M132" s="42"/>
      <c r="N132" s="42"/>
      <c r="O132" s="42"/>
      <c r="P132" s="42"/>
      <c r="Q132" s="42"/>
      <c r="R132" s="42"/>
      <c r="S132" s="56"/>
      <c r="T132" s="56"/>
      <c r="U132" s="56"/>
      <c r="V132" s="56"/>
      <c r="W132" s="56"/>
      <c r="X132" s="56"/>
      <c r="Y132" s="56"/>
      <c r="Z132" s="56"/>
      <c r="AA132" s="56"/>
      <c r="AB132" s="56"/>
      <c r="AC132" s="56"/>
      <c r="AD132" s="56"/>
      <c r="AE132" s="56"/>
      <c r="AF132" s="56"/>
      <c r="AG132" s="56"/>
      <c r="AH132" s="56"/>
      <c r="AI132" s="56"/>
      <c r="AJ132" s="56"/>
      <c r="AK132" s="56"/>
      <c r="AL132" s="56"/>
    </row>
    <row r="133" spans="1:38" ht="14.25" customHeight="1">
      <c r="A133" s="56"/>
      <c r="B133" s="721"/>
      <c r="C133" s="721"/>
      <c r="D133" s="717"/>
      <c r="E133" s="42"/>
      <c r="F133" s="42"/>
      <c r="G133" s="42"/>
      <c r="H133" s="42"/>
      <c r="I133" s="42"/>
      <c r="J133" s="42"/>
      <c r="K133" s="42"/>
      <c r="L133" s="42"/>
      <c r="M133" s="42"/>
      <c r="N133" s="42"/>
      <c r="O133" s="42"/>
      <c r="P133" s="42"/>
      <c r="Q133" s="42"/>
      <c r="R133" s="42"/>
      <c r="S133" s="56"/>
      <c r="T133" s="56"/>
      <c r="U133" s="56"/>
      <c r="V133" s="56"/>
      <c r="W133" s="56"/>
      <c r="X133" s="56"/>
      <c r="Y133" s="56"/>
      <c r="Z133" s="56"/>
      <c r="AA133" s="56"/>
      <c r="AB133" s="56"/>
      <c r="AC133" s="56"/>
      <c r="AD133" s="56"/>
      <c r="AE133" s="56"/>
      <c r="AF133" s="56"/>
      <c r="AG133" s="56"/>
      <c r="AH133" s="56"/>
      <c r="AI133" s="56"/>
      <c r="AJ133" s="56"/>
      <c r="AK133" s="56"/>
      <c r="AL133" s="56"/>
    </row>
    <row r="134" spans="1:38" ht="14.25" customHeight="1">
      <c r="A134" s="56"/>
      <c r="B134" s="721"/>
      <c r="C134" s="721"/>
      <c r="D134" s="717"/>
      <c r="E134" s="42"/>
      <c r="F134" s="42"/>
      <c r="G134" s="42"/>
      <c r="H134" s="42"/>
      <c r="I134" s="42"/>
      <c r="J134" s="42"/>
      <c r="K134" s="42"/>
      <c r="L134" s="42"/>
      <c r="M134" s="42"/>
      <c r="N134" s="42"/>
      <c r="O134" s="42"/>
      <c r="P134" s="42"/>
      <c r="Q134" s="42"/>
      <c r="R134" s="42"/>
      <c r="S134" s="56"/>
      <c r="T134" s="56"/>
      <c r="U134" s="56"/>
      <c r="V134" s="56"/>
      <c r="W134" s="56"/>
      <c r="X134" s="56"/>
      <c r="Y134" s="56"/>
      <c r="Z134" s="56"/>
      <c r="AA134" s="56"/>
      <c r="AB134" s="56"/>
      <c r="AC134" s="56"/>
      <c r="AD134" s="56"/>
      <c r="AE134" s="56"/>
      <c r="AF134" s="56"/>
      <c r="AG134" s="56"/>
      <c r="AH134" s="56"/>
      <c r="AI134" s="56"/>
      <c r="AJ134" s="56"/>
      <c r="AK134" s="56"/>
      <c r="AL134" s="56"/>
    </row>
    <row r="135" spans="1:38" ht="14.25" customHeight="1">
      <c r="A135" s="56"/>
      <c r="B135" s="721"/>
      <c r="C135" s="721"/>
      <c r="D135" s="717"/>
      <c r="E135" s="42"/>
      <c r="F135" s="42"/>
      <c r="G135" s="42"/>
      <c r="H135" s="42"/>
      <c r="I135" s="42"/>
      <c r="J135" s="42"/>
      <c r="K135" s="42"/>
      <c r="L135" s="42"/>
      <c r="M135" s="42"/>
      <c r="N135" s="42"/>
      <c r="O135" s="42"/>
      <c r="P135" s="42"/>
      <c r="Q135" s="42"/>
      <c r="R135" s="42"/>
      <c r="S135" s="56"/>
      <c r="T135" s="56"/>
      <c r="U135" s="56"/>
      <c r="V135" s="56"/>
      <c r="W135" s="56"/>
      <c r="X135" s="56"/>
      <c r="Y135" s="56"/>
      <c r="Z135" s="56"/>
      <c r="AA135" s="56"/>
      <c r="AB135" s="56"/>
      <c r="AC135" s="56"/>
      <c r="AD135" s="56"/>
      <c r="AE135" s="56"/>
      <c r="AF135" s="56"/>
      <c r="AG135" s="56"/>
      <c r="AH135" s="56"/>
      <c r="AI135" s="56"/>
      <c r="AJ135" s="56"/>
      <c r="AK135" s="56"/>
      <c r="AL135" s="56"/>
    </row>
    <row r="136" spans="1:38" ht="14.25" customHeight="1">
      <c r="A136" s="56"/>
      <c r="B136" s="721"/>
      <c r="C136" s="721"/>
      <c r="D136" s="717"/>
      <c r="E136" s="42"/>
      <c r="F136" s="42"/>
      <c r="G136" s="42"/>
      <c r="H136" s="42"/>
      <c r="I136" s="42"/>
      <c r="J136" s="42"/>
      <c r="K136" s="42"/>
      <c r="L136" s="42"/>
      <c r="M136" s="42"/>
      <c r="N136" s="42"/>
      <c r="O136" s="42"/>
      <c r="P136" s="42"/>
      <c r="Q136" s="42"/>
      <c r="R136" s="42"/>
      <c r="S136" s="56"/>
      <c r="T136" s="56"/>
      <c r="U136" s="56"/>
      <c r="V136" s="56"/>
      <c r="W136" s="56"/>
      <c r="X136" s="56"/>
      <c r="Y136" s="56"/>
      <c r="Z136" s="56"/>
      <c r="AA136" s="56"/>
      <c r="AB136" s="56"/>
      <c r="AC136" s="56"/>
      <c r="AD136" s="56"/>
      <c r="AE136" s="56"/>
      <c r="AF136" s="56"/>
      <c r="AG136" s="56"/>
      <c r="AH136" s="56"/>
      <c r="AI136" s="56"/>
      <c r="AJ136" s="56"/>
      <c r="AK136" s="56"/>
      <c r="AL136" s="56"/>
    </row>
    <row r="137" spans="1:38" ht="14.25" customHeight="1">
      <c r="A137" s="56"/>
      <c r="B137" s="721"/>
      <c r="C137" s="721"/>
      <c r="D137" s="717"/>
      <c r="E137" s="42"/>
      <c r="F137" s="42"/>
      <c r="G137" s="42"/>
      <c r="H137" s="42"/>
      <c r="I137" s="42"/>
      <c r="J137" s="42"/>
      <c r="K137" s="42"/>
      <c r="L137" s="42"/>
      <c r="M137" s="42"/>
      <c r="N137" s="42"/>
      <c r="O137" s="42"/>
      <c r="P137" s="42"/>
      <c r="Q137" s="42"/>
      <c r="R137" s="42"/>
      <c r="S137" s="56"/>
      <c r="T137" s="56"/>
      <c r="U137" s="56"/>
      <c r="V137" s="56"/>
      <c r="W137" s="56"/>
      <c r="X137" s="56"/>
      <c r="Y137" s="56"/>
      <c r="Z137" s="56"/>
      <c r="AA137" s="56"/>
      <c r="AB137" s="56"/>
      <c r="AC137" s="56"/>
      <c r="AD137" s="56"/>
      <c r="AE137" s="56"/>
      <c r="AF137" s="56"/>
      <c r="AG137" s="56"/>
      <c r="AH137" s="56"/>
      <c r="AI137" s="56"/>
      <c r="AJ137" s="56"/>
      <c r="AK137" s="56"/>
      <c r="AL137" s="56"/>
    </row>
    <row r="138" spans="1:38" ht="14.25" customHeight="1">
      <c r="A138" s="56"/>
      <c r="B138" s="721"/>
      <c r="C138" s="721"/>
      <c r="D138" s="717"/>
      <c r="E138" s="42"/>
      <c r="F138" s="42"/>
      <c r="G138" s="42"/>
      <c r="H138" s="42"/>
      <c r="I138" s="42"/>
      <c r="J138" s="42"/>
      <c r="K138" s="42"/>
      <c r="L138" s="42"/>
      <c r="M138" s="42"/>
      <c r="N138" s="42"/>
      <c r="O138" s="42"/>
      <c r="P138" s="42"/>
      <c r="Q138" s="42"/>
      <c r="R138" s="42"/>
      <c r="S138" s="56"/>
      <c r="T138" s="56"/>
      <c r="U138" s="56"/>
      <c r="V138" s="56"/>
      <c r="W138" s="56"/>
      <c r="X138" s="56"/>
      <c r="Y138" s="56"/>
      <c r="Z138" s="56"/>
      <c r="AA138" s="56"/>
      <c r="AB138" s="56"/>
      <c r="AC138" s="56"/>
      <c r="AD138" s="56"/>
      <c r="AE138" s="56"/>
      <c r="AF138" s="56"/>
      <c r="AG138" s="56"/>
      <c r="AH138" s="56"/>
      <c r="AI138" s="56"/>
      <c r="AJ138" s="56"/>
      <c r="AK138" s="56"/>
      <c r="AL138" s="56"/>
    </row>
    <row r="139" spans="1:38" ht="14.25" customHeight="1">
      <c r="A139" s="56"/>
      <c r="B139" s="721"/>
      <c r="C139" s="721"/>
      <c r="D139" s="717"/>
      <c r="E139" s="42"/>
      <c r="F139" s="42"/>
      <c r="G139" s="42"/>
      <c r="H139" s="42"/>
      <c r="I139" s="42"/>
      <c r="J139" s="42"/>
      <c r="K139" s="42"/>
      <c r="L139" s="42"/>
      <c r="M139" s="42"/>
      <c r="N139" s="42"/>
      <c r="O139" s="42"/>
      <c r="P139" s="42"/>
      <c r="Q139" s="42"/>
      <c r="R139" s="42"/>
      <c r="S139" s="56"/>
      <c r="T139" s="56"/>
      <c r="U139" s="56"/>
      <c r="V139" s="56"/>
      <c r="W139" s="56"/>
      <c r="X139" s="56"/>
      <c r="Y139" s="56"/>
      <c r="Z139" s="56"/>
      <c r="AA139" s="56"/>
      <c r="AB139" s="56"/>
      <c r="AC139" s="56"/>
      <c r="AD139" s="56"/>
      <c r="AE139" s="56"/>
      <c r="AF139" s="56"/>
      <c r="AG139" s="56"/>
      <c r="AH139" s="56"/>
      <c r="AI139" s="56"/>
      <c r="AJ139" s="56"/>
      <c r="AK139" s="56"/>
      <c r="AL139" s="56"/>
    </row>
    <row r="140" spans="1:38" ht="14.25" customHeight="1">
      <c r="A140" s="56"/>
      <c r="B140" s="721"/>
      <c r="C140" s="721"/>
      <c r="D140" s="717"/>
      <c r="E140" s="42"/>
      <c r="F140" s="42"/>
      <c r="G140" s="42"/>
      <c r="H140" s="42"/>
      <c r="I140" s="42"/>
      <c r="J140" s="42"/>
      <c r="K140" s="42"/>
      <c r="L140" s="42"/>
      <c r="M140" s="42"/>
      <c r="N140" s="42"/>
      <c r="O140" s="42"/>
      <c r="P140" s="42"/>
      <c r="Q140" s="42"/>
      <c r="R140" s="42"/>
      <c r="S140" s="56"/>
      <c r="T140" s="56"/>
      <c r="U140" s="56"/>
      <c r="V140" s="56"/>
      <c r="W140" s="56"/>
      <c r="X140" s="56"/>
      <c r="Y140" s="56"/>
      <c r="Z140" s="56"/>
      <c r="AA140" s="56"/>
      <c r="AB140" s="56"/>
      <c r="AC140" s="56"/>
      <c r="AD140" s="56"/>
      <c r="AE140" s="56"/>
      <c r="AF140" s="56"/>
      <c r="AG140" s="56"/>
      <c r="AH140" s="56"/>
      <c r="AI140" s="56"/>
      <c r="AJ140" s="56"/>
      <c r="AK140" s="56"/>
      <c r="AL140" s="56"/>
    </row>
    <row r="141" spans="1:38" ht="14.25" customHeight="1">
      <c r="A141" s="56"/>
      <c r="B141" s="721"/>
      <c r="C141" s="721"/>
      <c r="D141" s="717"/>
      <c r="E141" s="42"/>
      <c r="F141" s="42"/>
      <c r="G141" s="42"/>
      <c r="H141" s="42"/>
      <c r="I141" s="42"/>
      <c r="J141" s="42"/>
      <c r="K141" s="42"/>
      <c r="L141" s="42"/>
      <c r="M141" s="42"/>
      <c r="N141" s="42"/>
      <c r="O141" s="42"/>
      <c r="P141" s="42"/>
      <c r="Q141" s="42"/>
      <c r="R141" s="42"/>
      <c r="S141" s="56"/>
      <c r="T141" s="56"/>
      <c r="U141" s="56"/>
      <c r="V141" s="56"/>
      <c r="W141" s="56"/>
      <c r="X141" s="56"/>
      <c r="Y141" s="56"/>
      <c r="Z141" s="56"/>
      <c r="AA141" s="56"/>
      <c r="AB141" s="56"/>
      <c r="AC141" s="56"/>
      <c r="AD141" s="56"/>
      <c r="AE141" s="56"/>
      <c r="AF141" s="56"/>
      <c r="AG141" s="56"/>
      <c r="AH141" s="56"/>
      <c r="AI141" s="56"/>
      <c r="AJ141" s="56"/>
      <c r="AK141" s="56"/>
      <c r="AL141" s="56"/>
    </row>
    <row r="142" spans="1:38" ht="14.25" customHeight="1">
      <c r="A142" s="56"/>
      <c r="B142" s="721"/>
      <c r="C142" s="721"/>
      <c r="D142" s="717"/>
      <c r="E142" s="42"/>
      <c r="F142" s="42"/>
      <c r="G142" s="42"/>
      <c r="H142" s="42"/>
      <c r="I142" s="42"/>
      <c r="J142" s="42"/>
      <c r="K142" s="42"/>
      <c r="L142" s="42"/>
      <c r="M142" s="42"/>
      <c r="N142" s="42"/>
      <c r="O142" s="42"/>
      <c r="P142" s="42"/>
      <c r="Q142" s="42"/>
      <c r="R142" s="42"/>
      <c r="S142" s="56"/>
      <c r="T142" s="56"/>
      <c r="U142" s="56"/>
      <c r="V142" s="56"/>
      <c r="W142" s="56"/>
      <c r="X142" s="56"/>
      <c r="Y142" s="56"/>
      <c r="Z142" s="56"/>
      <c r="AA142" s="56"/>
      <c r="AB142" s="56"/>
      <c r="AC142" s="56"/>
      <c r="AD142" s="56"/>
      <c r="AE142" s="56"/>
      <c r="AF142" s="56"/>
      <c r="AG142" s="56"/>
      <c r="AH142" s="56"/>
      <c r="AI142" s="56"/>
      <c r="AJ142" s="56"/>
      <c r="AK142" s="56"/>
      <c r="AL142" s="56"/>
    </row>
    <row r="143" spans="1:38" ht="14.25" customHeight="1">
      <c r="A143" s="56"/>
      <c r="B143" s="721"/>
      <c r="C143" s="721"/>
      <c r="D143" s="717"/>
      <c r="E143" s="42"/>
      <c r="F143" s="42"/>
      <c r="G143" s="42"/>
      <c r="H143" s="42"/>
      <c r="I143" s="42"/>
      <c r="J143" s="42"/>
      <c r="K143" s="42"/>
      <c r="L143" s="42"/>
      <c r="M143" s="42"/>
      <c r="N143" s="42"/>
      <c r="O143" s="42"/>
      <c r="P143" s="42"/>
      <c r="Q143" s="42"/>
      <c r="R143" s="42"/>
      <c r="S143" s="56"/>
      <c r="T143" s="56"/>
      <c r="U143" s="56"/>
      <c r="V143" s="56"/>
      <c r="W143" s="56"/>
      <c r="X143" s="56"/>
      <c r="Y143" s="56"/>
      <c r="Z143" s="56"/>
      <c r="AA143" s="56"/>
      <c r="AB143" s="56"/>
      <c r="AC143" s="56"/>
      <c r="AD143" s="56"/>
      <c r="AE143" s="56"/>
      <c r="AF143" s="56"/>
      <c r="AG143" s="56"/>
      <c r="AH143" s="56"/>
      <c r="AI143" s="56"/>
      <c r="AJ143" s="56"/>
      <c r="AK143" s="56"/>
      <c r="AL143" s="56"/>
    </row>
    <row r="144" spans="1:38" ht="14.25" customHeight="1">
      <c r="A144" s="56"/>
      <c r="B144" s="721"/>
      <c r="C144" s="721"/>
      <c r="D144" s="717"/>
      <c r="E144" s="42"/>
      <c r="F144" s="42"/>
      <c r="G144" s="42"/>
      <c r="H144" s="42"/>
      <c r="I144" s="42"/>
      <c r="J144" s="42"/>
      <c r="K144" s="42"/>
      <c r="L144" s="42"/>
      <c r="M144" s="42"/>
      <c r="N144" s="42"/>
      <c r="O144" s="42"/>
      <c r="P144" s="42"/>
      <c r="Q144" s="42"/>
      <c r="R144" s="42"/>
      <c r="S144" s="56"/>
      <c r="T144" s="56"/>
      <c r="U144" s="56"/>
      <c r="V144" s="56"/>
      <c r="W144" s="56"/>
      <c r="X144" s="56"/>
      <c r="Y144" s="56"/>
      <c r="Z144" s="56"/>
      <c r="AA144" s="56"/>
      <c r="AB144" s="56"/>
      <c r="AC144" s="56"/>
      <c r="AD144" s="56"/>
      <c r="AE144" s="56"/>
      <c r="AF144" s="56"/>
      <c r="AG144" s="56"/>
      <c r="AH144" s="56"/>
      <c r="AI144" s="56"/>
      <c r="AJ144" s="56"/>
      <c r="AK144" s="56"/>
      <c r="AL144" s="56"/>
    </row>
    <row r="145" spans="1:38" ht="14.25" customHeight="1">
      <c r="A145" s="56"/>
      <c r="B145" s="721"/>
      <c r="C145" s="721"/>
      <c r="D145" s="717"/>
      <c r="E145" s="42"/>
      <c r="F145" s="42"/>
      <c r="G145" s="42"/>
      <c r="H145" s="42"/>
      <c r="I145" s="42"/>
      <c r="J145" s="42"/>
      <c r="K145" s="42"/>
      <c r="L145" s="42"/>
      <c r="M145" s="42"/>
      <c r="N145" s="42"/>
      <c r="O145" s="42"/>
      <c r="P145" s="42"/>
      <c r="Q145" s="42"/>
      <c r="R145" s="42"/>
      <c r="S145" s="56"/>
      <c r="T145" s="56"/>
      <c r="U145" s="56"/>
      <c r="V145" s="56"/>
      <c r="W145" s="56"/>
      <c r="X145" s="56"/>
      <c r="Y145" s="56"/>
      <c r="Z145" s="56"/>
      <c r="AA145" s="56"/>
      <c r="AB145" s="56"/>
      <c r="AC145" s="56"/>
      <c r="AD145" s="56"/>
      <c r="AE145" s="56"/>
      <c r="AF145" s="56"/>
      <c r="AG145" s="56"/>
      <c r="AH145" s="56"/>
      <c r="AI145" s="56"/>
      <c r="AJ145" s="56"/>
      <c r="AK145" s="56"/>
      <c r="AL145" s="56"/>
    </row>
    <row r="146" spans="1:38" ht="14.25" customHeight="1">
      <c r="A146" s="56"/>
      <c r="B146" s="721"/>
      <c r="C146" s="721"/>
      <c r="D146" s="717"/>
      <c r="E146" s="42"/>
      <c r="F146" s="42"/>
      <c r="G146" s="42"/>
      <c r="H146" s="42"/>
      <c r="I146" s="42"/>
      <c r="J146" s="42"/>
      <c r="K146" s="42"/>
      <c r="L146" s="42"/>
      <c r="M146" s="42"/>
      <c r="N146" s="42"/>
      <c r="O146" s="42"/>
      <c r="P146" s="42"/>
      <c r="Q146" s="42"/>
      <c r="R146" s="42"/>
      <c r="S146" s="56"/>
      <c r="T146" s="56"/>
      <c r="U146" s="56"/>
      <c r="V146" s="56"/>
      <c r="W146" s="56"/>
      <c r="X146" s="56"/>
      <c r="Y146" s="56"/>
      <c r="Z146" s="56"/>
      <c r="AA146" s="56"/>
      <c r="AB146" s="56"/>
      <c r="AC146" s="56"/>
      <c r="AD146" s="56"/>
      <c r="AE146" s="56"/>
      <c r="AF146" s="56"/>
      <c r="AG146" s="56"/>
      <c r="AH146" s="56"/>
      <c r="AI146" s="56"/>
      <c r="AJ146" s="56"/>
      <c r="AK146" s="56"/>
      <c r="AL146" s="56"/>
    </row>
    <row r="147" spans="1:38" ht="14.25" customHeight="1">
      <c r="A147" s="56"/>
      <c r="B147" s="721"/>
      <c r="C147" s="721"/>
      <c r="D147" s="717"/>
      <c r="E147" s="42"/>
      <c r="F147" s="42"/>
      <c r="G147" s="42"/>
      <c r="H147" s="42"/>
      <c r="I147" s="42"/>
      <c r="J147" s="42"/>
      <c r="K147" s="42"/>
      <c r="L147" s="42"/>
      <c r="M147" s="42"/>
      <c r="N147" s="42"/>
      <c r="O147" s="42"/>
      <c r="P147" s="42"/>
      <c r="Q147" s="42"/>
      <c r="R147" s="42"/>
      <c r="S147" s="56"/>
      <c r="T147" s="56"/>
      <c r="U147" s="56"/>
      <c r="V147" s="56"/>
      <c r="W147" s="56"/>
      <c r="X147" s="56"/>
      <c r="Y147" s="56"/>
      <c r="Z147" s="56"/>
      <c r="AA147" s="56"/>
      <c r="AB147" s="56"/>
      <c r="AC147" s="56"/>
      <c r="AD147" s="56"/>
      <c r="AE147" s="56"/>
      <c r="AF147" s="56"/>
      <c r="AG147" s="56"/>
      <c r="AH147" s="56"/>
      <c r="AI147" s="56"/>
      <c r="AJ147" s="56"/>
      <c r="AK147" s="56"/>
      <c r="AL147" s="56"/>
    </row>
    <row r="148" spans="1:38" ht="14.25" customHeight="1">
      <c r="A148" s="56"/>
      <c r="B148" s="721"/>
      <c r="C148" s="721"/>
      <c r="D148" s="717"/>
      <c r="E148" s="42"/>
      <c r="F148" s="42"/>
      <c r="G148" s="42"/>
      <c r="H148" s="42"/>
      <c r="I148" s="42"/>
      <c r="J148" s="42"/>
      <c r="K148" s="42"/>
      <c r="L148" s="42"/>
      <c r="M148" s="42"/>
      <c r="N148" s="42"/>
      <c r="O148" s="42"/>
      <c r="P148" s="42"/>
      <c r="Q148" s="42"/>
      <c r="R148" s="42"/>
      <c r="S148" s="56"/>
      <c r="T148" s="56"/>
      <c r="U148" s="56"/>
      <c r="V148" s="56"/>
      <c r="W148" s="56"/>
      <c r="X148" s="56"/>
      <c r="Y148" s="56"/>
      <c r="Z148" s="56"/>
      <c r="AA148" s="56"/>
      <c r="AB148" s="56"/>
      <c r="AC148" s="56"/>
      <c r="AD148" s="56"/>
      <c r="AE148" s="56"/>
      <c r="AF148" s="56"/>
      <c r="AG148" s="56"/>
      <c r="AH148" s="56"/>
      <c r="AI148" s="56"/>
      <c r="AJ148" s="56"/>
      <c r="AK148" s="56"/>
      <c r="AL148" s="56"/>
    </row>
    <row r="149" spans="1:38" ht="14.25" customHeight="1">
      <c r="A149" s="56"/>
      <c r="B149" s="721"/>
      <c r="C149" s="721"/>
      <c r="D149" s="717"/>
      <c r="E149" s="42"/>
      <c r="F149" s="42"/>
      <c r="G149" s="42"/>
      <c r="H149" s="42"/>
      <c r="I149" s="42"/>
      <c r="J149" s="42"/>
      <c r="K149" s="42"/>
      <c r="L149" s="42"/>
      <c r="M149" s="42"/>
      <c r="N149" s="42"/>
      <c r="O149" s="42"/>
      <c r="P149" s="42"/>
      <c r="Q149" s="42"/>
      <c r="R149" s="42"/>
      <c r="S149" s="56"/>
      <c r="T149" s="56"/>
      <c r="U149" s="56"/>
      <c r="V149" s="56"/>
      <c r="W149" s="56"/>
      <c r="X149" s="56"/>
      <c r="Y149" s="56"/>
      <c r="Z149" s="56"/>
      <c r="AA149" s="56"/>
      <c r="AB149" s="56"/>
      <c r="AC149" s="56"/>
      <c r="AD149" s="56"/>
      <c r="AE149" s="56"/>
      <c r="AF149" s="56"/>
      <c r="AG149" s="56"/>
      <c r="AH149" s="56"/>
      <c r="AI149" s="56"/>
      <c r="AJ149" s="56"/>
      <c r="AK149" s="56"/>
      <c r="AL149" s="56"/>
    </row>
    <row r="150" spans="1:38" ht="14.25" customHeight="1">
      <c r="A150" s="56"/>
      <c r="B150" s="721"/>
      <c r="C150" s="721"/>
      <c r="D150" s="717"/>
      <c r="E150" s="42"/>
      <c r="F150" s="42"/>
      <c r="G150" s="42"/>
      <c r="H150" s="42"/>
      <c r="I150" s="42"/>
      <c r="J150" s="42"/>
      <c r="K150" s="42"/>
      <c r="L150" s="42"/>
      <c r="M150" s="42"/>
      <c r="N150" s="42"/>
      <c r="O150" s="42"/>
      <c r="P150" s="42"/>
      <c r="Q150" s="42"/>
      <c r="R150" s="42"/>
      <c r="S150" s="56"/>
      <c r="T150" s="56"/>
      <c r="U150" s="56"/>
      <c r="V150" s="56"/>
      <c r="W150" s="56"/>
      <c r="X150" s="56"/>
      <c r="Y150" s="56"/>
      <c r="Z150" s="56"/>
      <c r="AA150" s="56"/>
      <c r="AB150" s="56"/>
      <c r="AC150" s="56"/>
      <c r="AD150" s="56"/>
      <c r="AE150" s="56"/>
      <c r="AF150" s="56"/>
      <c r="AG150" s="56"/>
      <c r="AH150" s="56"/>
      <c r="AI150" s="56"/>
      <c r="AJ150" s="56"/>
      <c r="AK150" s="56"/>
      <c r="AL150" s="56"/>
    </row>
    <row r="151" spans="1:38" ht="14.25" customHeight="1">
      <c r="A151" s="56"/>
      <c r="B151" s="721"/>
      <c r="C151" s="721"/>
      <c r="D151" s="717"/>
      <c r="E151" s="42"/>
      <c r="F151" s="42"/>
      <c r="G151" s="42"/>
      <c r="H151" s="42"/>
      <c r="I151" s="42"/>
      <c r="J151" s="42"/>
      <c r="K151" s="42"/>
      <c r="L151" s="42"/>
      <c r="M151" s="42"/>
      <c r="N151" s="42"/>
      <c r="O151" s="42"/>
      <c r="P151" s="42"/>
      <c r="Q151" s="42"/>
      <c r="R151" s="42"/>
      <c r="S151" s="56"/>
      <c r="T151" s="56"/>
      <c r="U151" s="56"/>
      <c r="V151" s="56"/>
      <c r="W151" s="56"/>
      <c r="X151" s="56"/>
      <c r="Y151" s="56"/>
      <c r="Z151" s="56"/>
      <c r="AA151" s="56"/>
      <c r="AB151" s="56"/>
      <c r="AC151" s="56"/>
      <c r="AD151" s="56"/>
      <c r="AE151" s="56"/>
      <c r="AF151" s="56"/>
      <c r="AG151" s="56"/>
      <c r="AH151" s="56"/>
      <c r="AI151" s="56"/>
      <c r="AJ151" s="56"/>
      <c r="AK151" s="56"/>
      <c r="AL151" s="56"/>
    </row>
    <row r="152" spans="1:38" ht="14.25" customHeight="1">
      <c r="A152" s="56"/>
      <c r="B152" s="721"/>
      <c r="C152" s="721"/>
      <c r="D152" s="717"/>
      <c r="E152" s="42"/>
      <c r="F152" s="42"/>
      <c r="G152" s="42"/>
      <c r="H152" s="42"/>
      <c r="I152" s="42"/>
      <c r="J152" s="42"/>
      <c r="K152" s="42"/>
      <c r="L152" s="42"/>
      <c r="M152" s="42"/>
      <c r="N152" s="42"/>
      <c r="O152" s="42"/>
      <c r="P152" s="42"/>
      <c r="Q152" s="42"/>
      <c r="R152" s="42"/>
      <c r="S152" s="56"/>
      <c r="T152" s="56"/>
      <c r="U152" s="56"/>
      <c r="V152" s="56"/>
      <c r="W152" s="56"/>
      <c r="X152" s="56"/>
      <c r="Y152" s="56"/>
      <c r="Z152" s="56"/>
      <c r="AA152" s="56"/>
      <c r="AB152" s="56"/>
      <c r="AC152" s="56"/>
      <c r="AD152" s="56"/>
      <c r="AE152" s="56"/>
      <c r="AF152" s="56"/>
      <c r="AG152" s="56"/>
      <c r="AH152" s="56"/>
      <c r="AI152" s="56"/>
      <c r="AJ152" s="56"/>
      <c r="AK152" s="56"/>
      <c r="AL152" s="56"/>
    </row>
    <row r="153" spans="1:38" ht="14.25" customHeight="1">
      <c r="A153" s="56"/>
      <c r="B153" s="721"/>
      <c r="C153" s="721"/>
      <c r="D153" s="717"/>
      <c r="E153" s="42"/>
      <c r="F153" s="42"/>
      <c r="G153" s="42"/>
      <c r="H153" s="42"/>
      <c r="I153" s="42"/>
      <c r="J153" s="42"/>
      <c r="K153" s="42"/>
      <c r="L153" s="42"/>
      <c r="M153" s="42"/>
      <c r="N153" s="42"/>
      <c r="O153" s="42"/>
      <c r="P153" s="42"/>
      <c r="Q153" s="42"/>
      <c r="R153" s="42"/>
      <c r="S153" s="56"/>
      <c r="T153" s="56"/>
      <c r="U153" s="56"/>
      <c r="V153" s="56"/>
      <c r="W153" s="56"/>
      <c r="X153" s="56"/>
      <c r="Y153" s="56"/>
      <c r="Z153" s="56"/>
      <c r="AA153" s="56"/>
      <c r="AB153" s="56"/>
      <c r="AC153" s="56"/>
      <c r="AD153" s="56"/>
      <c r="AE153" s="56"/>
      <c r="AF153" s="56"/>
      <c r="AG153" s="56"/>
      <c r="AH153" s="56"/>
      <c r="AI153" s="56"/>
      <c r="AJ153" s="56"/>
      <c r="AK153" s="56"/>
      <c r="AL153" s="56"/>
    </row>
    <row r="154" spans="1:38" ht="14.25" customHeight="1">
      <c r="A154" s="56"/>
      <c r="B154" s="721"/>
      <c r="C154" s="721"/>
      <c r="D154" s="717"/>
      <c r="E154" s="42"/>
      <c r="F154" s="42"/>
      <c r="G154" s="42"/>
      <c r="H154" s="42"/>
      <c r="I154" s="42"/>
      <c r="J154" s="42"/>
      <c r="K154" s="42"/>
      <c r="L154" s="42"/>
      <c r="M154" s="42"/>
      <c r="N154" s="42"/>
      <c r="O154" s="42"/>
      <c r="P154" s="42"/>
      <c r="Q154" s="42"/>
      <c r="R154" s="42"/>
      <c r="S154" s="56"/>
      <c r="T154" s="56"/>
      <c r="U154" s="56"/>
      <c r="V154" s="56"/>
      <c r="W154" s="56"/>
      <c r="X154" s="56"/>
      <c r="Y154" s="56"/>
      <c r="Z154" s="56"/>
      <c r="AA154" s="56"/>
      <c r="AB154" s="56"/>
      <c r="AC154" s="56"/>
      <c r="AD154" s="56"/>
      <c r="AE154" s="56"/>
      <c r="AF154" s="56"/>
      <c r="AG154" s="56"/>
      <c r="AH154" s="56"/>
      <c r="AI154" s="56"/>
      <c r="AJ154" s="56"/>
      <c r="AK154" s="56"/>
      <c r="AL154" s="56"/>
    </row>
    <row r="155" spans="1:38" ht="14.25" customHeight="1">
      <c r="A155" s="56"/>
      <c r="B155" s="721"/>
      <c r="C155" s="721"/>
      <c r="D155" s="717"/>
      <c r="E155" s="42"/>
      <c r="F155" s="42"/>
      <c r="G155" s="42"/>
      <c r="H155" s="42"/>
      <c r="I155" s="42"/>
      <c r="J155" s="42"/>
      <c r="K155" s="42"/>
      <c r="L155" s="42"/>
      <c r="M155" s="42"/>
      <c r="N155" s="42"/>
      <c r="O155" s="42"/>
      <c r="P155" s="42"/>
      <c r="Q155" s="42"/>
      <c r="R155" s="42"/>
      <c r="S155" s="56"/>
      <c r="T155" s="56"/>
      <c r="U155" s="56"/>
      <c r="V155" s="56"/>
      <c r="W155" s="56"/>
      <c r="X155" s="56"/>
      <c r="Y155" s="56"/>
      <c r="Z155" s="56"/>
      <c r="AA155" s="56"/>
      <c r="AB155" s="56"/>
      <c r="AC155" s="56"/>
      <c r="AD155" s="56"/>
      <c r="AE155" s="56"/>
      <c r="AF155" s="56"/>
      <c r="AG155" s="56"/>
      <c r="AH155" s="56"/>
      <c r="AI155" s="56"/>
      <c r="AJ155" s="56"/>
      <c r="AK155" s="56"/>
      <c r="AL155" s="56"/>
    </row>
    <row r="156" spans="1:38" ht="14.25" customHeight="1">
      <c r="A156" s="56"/>
      <c r="B156" s="721"/>
      <c r="C156" s="721"/>
      <c r="D156" s="717"/>
      <c r="E156" s="42"/>
      <c r="F156" s="42"/>
      <c r="G156" s="42"/>
      <c r="H156" s="42"/>
      <c r="I156" s="42"/>
      <c r="J156" s="42"/>
      <c r="K156" s="42"/>
      <c r="L156" s="42"/>
      <c r="M156" s="42"/>
      <c r="N156" s="42"/>
      <c r="O156" s="42"/>
      <c r="P156" s="42"/>
      <c r="Q156" s="42"/>
      <c r="R156" s="42"/>
      <c r="S156" s="56"/>
      <c r="T156" s="56"/>
      <c r="U156" s="56"/>
      <c r="V156" s="56"/>
      <c r="W156" s="56"/>
      <c r="X156" s="56"/>
      <c r="Y156" s="56"/>
      <c r="Z156" s="56"/>
      <c r="AA156" s="56"/>
      <c r="AB156" s="56"/>
      <c r="AC156" s="56"/>
      <c r="AD156" s="56"/>
      <c r="AE156" s="56"/>
      <c r="AF156" s="56"/>
      <c r="AG156" s="56"/>
      <c r="AH156" s="56"/>
      <c r="AI156" s="56"/>
      <c r="AJ156" s="56"/>
      <c r="AK156" s="56"/>
      <c r="AL156" s="56"/>
    </row>
    <row r="157" spans="1:38" ht="14.25" customHeight="1">
      <c r="A157" s="56"/>
      <c r="B157" s="721"/>
      <c r="C157" s="721"/>
      <c r="D157" s="717"/>
      <c r="E157" s="42"/>
      <c r="F157" s="42"/>
      <c r="G157" s="42"/>
      <c r="H157" s="42"/>
      <c r="I157" s="42"/>
      <c r="J157" s="42"/>
      <c r="K157" s="42"/>
      <c r="L157" s="42"/>
      <c r="M157" s="42"/>
      <c r="N157" s="42"/>
      <c r="O157" s="42"/>
      <c r="P157" s="42"/>
      <c r="Q157" s="42"/>
      <c r="R157" s="42"/>
      <c r="S157" s="56"/>
      <c r="T157" s="56"/>
      <c r="U157" s="56"/>
      <c r="V157" s="56"/>
      <c r="W157" s="56"/>
      <c r="X157" s="56"/>
      <c r="Y157" s="56"/>
      <c r="Z157" s="56"/>
      <c r="AA157" s="56"/>
      <c r="AB157" s="56"/>
      <c r="AC157" s="56"/>
      <c r="AD157" s="56"/>
      <c r="AE157" s="56"/>
      <c r="AF157" s="56"/>
      <c r="AG157" s="56"/>
      <c r="AH157" s="56"/>
      <c r="AI157" s="56"/>
      <c r="AJ157" s="56"/>
      <c r="AK157" s="56"/>
      <c r="AL157" s="56"/>
    </row>
    <row r="158" spans="1:38" ht="14.25" customHeight="1">
      <c r="A158" s="56"/>
      <c r="B158" s="721"/>
      <c r="C158" s="721"/>
      <c r="D158" s="717"/>
      <c r="E158" s="42"/>
      <c r="F158" s="42"/>
      <c r="G158" s="42"/>
      <c r="H158" s="42"/>
      <c r="I158" s="42"/>
      <c r="J158" s="42"/>
      <c r="K158" s="42"/>
      <c r="L158" s="42"/>
      <c r="M158" s="42"/>
      <c r="N158" s="42"/>
      <c r="O158" s="42"/>
      <c r="P158" s="42"/>
      <c r="Q158" s="42"/>
      <c r="R158" s="42"/>
      <c r="S158" s="56"/>
      <c r="T158" s="56"/>
      <c r="U158" s="56"/>
      <c r="V158" s="56"/>
      <c r="W158" s="56"/>
      <c r="X158" s="56"/>
      <c r="Y158" s="56"/>
      <c r="Z158" s="56"/>
      <c r="AA158" s="56"/>
      <c r="AB158" s="56"/>
      <c r="AC158" s="56"/>
      <c r="AD158" s="56"/>
      <c r="AE158" s="56"/>
      <c r="AF158" s="56"/>
      <c r="AG158" s="56"/>
      <c r="AH158" s="56"/>
      <c r="AI158" s="56"/>
      <c r="AJ158" s="56"/>
      <c r="AK158" s="56"/>
      <c r="AL158" s="56"/>
    </row>
    <row r="159" spans="1:38" ht="14.25" customHeight="1">
      <c r="A159" s="56"/>
      <c r="B159" s="721"/>
      <c r="C159" s="721"/>
      <c r="D159" s="717"/>
      <c r="E159" s="42"/>
      <c r="F159" s="42"/>
      <c r="G159" s="42"/>
      <c r="H159" s="42"/>
      <c r="I159" s="42"/>
      <c r="J159" s="42"/>
      <c r="K159" s="42"/>
      <c r="L159" s="42"/>
      <c r="M159" s="42"/>
      <c r="N159" s="42"/>
      <c r="O159" s="42"/>
      <c r="P159" s="42"/>
      <c r="Q159" s="42"/>
      <c r="R159" s="42"/>
      <c r="S159" s="56"/>
      <c r="T159" s="56"/>
      <c r="U159" s="56"/>
      <c r="V159" s="56"/>
      <c r="W159" s="56"/>
      <c r="X159" s="56"/>
      <c r="Y159" s="56"/>
      <c r="Z159" s="56"/>
      <c r="AA159" s="56"/>
      <c r="AB159" s="56"/>
      <c r="AC159" s="56"/>
      <c r="AD159" s="56"/>
      <c r="AE159" s="56"/>
      <c r="AF159" s="56"/>
      <c r="AG159" s="56"/>
      <c r="AH159" s="56"/>
      <c r="AI159" s="56"/>
      <c r="AJ159" s="56"/>
      <c r="AK159" s="56"/>
      <c r="AL159" s="56"/>
    </row>
    <row r="160" spans="1:38" ht="14.25" customHeight="1">
      <c r="A160" s="56"/>
      <c r="B160" s="721"/>
      <c r="C160" s="721"/>
      <c r="D160" s="717"/>
      <c r="E160" s="42"/>
      <c r="F160" s="42"/>
      <c r="G160" s="42"/>
      <c r="H160" s="42"/>
      <c r="I160" s="42"/>
      <c r="J160" s="42"/>
      <c r="K160" s="42"/>
      <c r="L160" s="42"/>
      <c r="M160" s="42"/>
      <c r="N160" s="42"/>
      <c r="O160" s="42"/>
      <c r="P160" s="42"/>
      <c r="Q160" s="42"/>
      <c r="R160" s="42"/>
      <c r="S160" s="56"/>
      <c r="T160" s="56"/>
      <c r="U160" s="56"/>
      <c r="V160" s="56"/>
      <c r="W160" s="56"/>
      <c r="X160" s="56"/>
      <c r="Y160" s="56"/>
      <c r="Z160" s="56"/>
      <c r="AA160" s="56"/>
      <c r="AB160" s="56"/>
      <c r="AC160" s="56"/>
      <c r="AD160" s="56"/>
      <c r="AE160" s="56"/>
      <c r="AF160" s="56"/>
      <c r="AG160" s="56"/>
      <c r="AH160" s="56"/>
      <c r="AI160" s="56"/>
      <c r="AJ160" s="56"/>
      <c r="AK160" s="56"/>
      <c r="AL160" s="56"/>
    </row>
    <row r="161" spans="1:38" ht="14.25" customHeight="1">
      <c r="A161" s="56"/>
      <c r="B161" s="721"/>
      <c r="C161" s="721"/>
      <c r="D161" s="717"/>
      <c r="E161" s="42"/>
      <c r="F161" s="42"/>
      <c r="G161" s="42"/>
      <c r="H161" s="42"/>
      <c r="I161" s="42"/>
      <c r="J161" s="42"/>
      <c r="K161" s="42"/>
      <c r="L161" s="42"/>
      <c r="M161" s="42"/>
      <c r="N161" s="42"/>
      <c r="O161" s="42"/>
      <c r="P161" s="42"/>
      <c r="Q161" s="42"/>
      <c r="R161" s="42"/>
      <c r="S161" s="56"/>
      <c r="T161" s="56"/>
      <c r="U161" s="56"/>
      <c r="V161" s="56"/>
      <c r="W161" s="56"/>
      <c r="X161" s="56"/>
      <c r="Y161" s="56"/>
      <c r="Z161" s="56"/>
      <c r="AA161" s="56"/>
      <c r="AB161" s="56"/>
      <c r="AC161" s="56"/>
      <c r="AD161" s="56"/>
      <c r="AE161" s="56"/>
      <c r="AF161" s="56"/>
      <c r="AG161" s="56"/>
      <c r="AH161" s="56"/>
      <c r="AI161" s="56"/>
      <c r="AJ161" s="56"/>
      <c r="AK161" s="56"/>
      <c r="AL161" s="56"/>
    </row>
    <row r="162" spans="1:38" ht="14.25" customHeight="1">
      <c r="A162" s="56"/>
      <c r="B162" s="721"/>
      <c r="C162" s="721"/>
      <c r="D162" s="717"/>
      <c r="E162" s="42"/>
      <c r="F162" s="42"/>
      <c r="G162" s="42"/>
      <c r="H162" s="42"/>
      <c r="I162" s="42"/>
      <c r="J162" s="42"/>
      <c r="K162" s="42"/>
      <c r="L162" s="42"/>
      <c r="M162" s="42"/>
      <c r="N162" s="42"/>
      <c r="O162" s="42"/>
      <c r="P162" s="42"/>
      <c r="Q162" s="42"/>
      <c r="R162" s="42"/>
      <c r="S162" s="56"/>
      <c r="T162" s="56"/>
      <c r="U162" s="56"/>
      <c r="V162" s="56"/>
      <c r="W162" s="56"/>
      <c r="X162" s="56"/>
      <c r="Y162" s="56"/>
      <c r="Z162" s="56"/>
      <c r="AA162" s="56"/>
      <c r="AB162" s="56"/>
      <c r="AC162" s="56"/>
      <c r="AD162" s="56"/>
      <c r="AE162" s="56"/>
      <c r="AF162" s="56"/>
      <c r="AG162" s="56"/>
      <c r="AH162" s="56"/>
      <c r="AI162" s="56"/>
      <c r="AJ162" s="56"/>
      <c r="AK162" s="56"/>
      <c r="AL162" s="56"/>
    </row>
    <row r="163" spans="1:38" ht="14.25" customHeight="1">
      <c r="A163" s="56"/>
      <c r="B163" s="721"/>
      <c r="C163" s="721"/>
      <c r="D163" s="717"/>
      <c r="E163" s="42"/>
      <c r="F163" s="42"/>
      <c r="G163" s="42"/>
      <c r="H163" s="42"/>
      <c r="I163" s="42"/>
      <c r="J163" s="42"/>
      <c r="K163" s="42"/>
      <c r="L163" s="42"/>
      <c r="M163" s="42"/>
      <c r="N163" s="42"/>
      <c r="O163" s="42"/>
      <c r="P163" s="42"/>
      <c r="Q163" s="42"/>
      <c r="R163" s="42"/>
      <c r="S163" s="56"/>
      <c r="T163" s="56"/>
      <c r="U163" s="56"/>
      <c r="V163" s="56"/>
      <c r="W163" s="56"/>
      <c r="X163" s="56"/>
      <c r="Y163" s="56"/>
      <c r="Z163" s="56"/>
      <c r="AA163" s="56"/>
      <c r="AB163" s="56"/>
      <c r="AC163" s="56"/>
      <c r="AD163" s="56"/>
      <c r="AE163" s="56"/>
      <c r="AF163" s="56"/>
      <c r="AG163" s="56"/>
      <c r="AH163" s="56"/>
      <c r="AI163" s="56"/>
      <c r="AJ163" s="56"/>
      <c r="AK163" s="56"/>
      <c r="AL163" s="56"/>
    </row>
    <row r="164" spans="1:38" ht="14.25" customHeight="1">
      <c r="A164" s="56"/>
      <c r="B164" s="721"/>
      <c r="C164" s="721"/>
      <c r="D164" s="717"/>
      <c r="E164" s="42"/>
      <c r="F164" s="42"/>
      <c r="G164" s="42"/>
      <c r="H164" s="42"/>
      <c r="I164" s="42"/>
      <c r="J164" s="42"/>
      <c r="K164" s="42"/>
      <c r="L164" s="42"/>
      <c r="M164" s="42"/>
      <c r="N164" s="42"/>
      <c r="O164" s="42"/>
      <c r="P164" s="42"/>
      <c r="Q164" s="42"/>
      <c r="R164" s="42"/>
      <c r="S164" s="56"/>
      <c r="T164" s="56"/>
      <c r="U164" s="56"/>
      <c r="V164" s="56"/>
      <c r="W164" s="56"/>
      <c r="X164" s="56"/>
      <c r="Y164" s="56"/>
      <c r="Z164" s="56"/>
      <c r="AA164" s="56"/>
      <c r="AB164" s="56"/>
      <c r="AC164" s="56"/>
      <c r="AD164" s="56"/>
      <c r="AE164" s="56"/>
      <c r="AF164" s="56"/>
      <c r="AG164" s="56"/>
      <c r="AH164" s="56"/>
      <c r="AI164" s="56"/>
      <c r="AJ164" s="56"/>
      <c r="AK164" s="56"/>
      <c r="AL164" s="56"/>
    </row>
    <row r="165" spans="1:38" ht="14.25" customHeight="1">
      <c r="A165" s="56"/>
      <c r="B165" s="721"/>
      <c r="C165" s="721"/>
      <c r="D165" s="717"/>
      <c r="E165" s="42"/>
      <c r="F165" s="42"/>
      <c r="G165" s="42"/>
      <c r="H165" s="42"/>
      <c r="I165" s="42"/>
      <c r="J165" s="42"/>
      <c r="K165" s="42"/>
      <c r="L165" s="42"/>
      <c r="M165" s="42"/>
      <c r="N165" s="42"/>
      <c r="O165" s="42"/>
      <c r="P165" s="42"/>
      <c r="Q165" s="42"/>
      <c r="R165" s="42"/>
      <c r="S165" s="56"/>
      <c r="T165" s="56"/>
      <c r="U165" s="56"/>
      <c r="V165" s="56"/>
      <c r="W165" s="56"/>
      <c r="X165" s="56"/>
      <c r="Y165" s="56"/>
      <c r="Z165" s="56"/>
      <c r="AA165" s="56"/>
      <c r="AB165" s="56"/>
      <c r="AC165" s="56"/>
      <c r="AD165" s="56"/>
      <c r="AE165" s="56"/>
      <c r="AF165" s="56"/>
      <c r="AG165" s="56"/>
      <c r="AH165" s="56"/>
      <c r="AI165" s="56"/>
      <c r="AJ165" s="56"/>
      <c r="AK165" s="56"/>
      <c r="AL165" s="56"/>
    </row>
    <row r="166" spans="1:38" ht="14.25" customHeight="1">
      <c r="A166" s="56"/>
      <c r="B166" s="721"/>
      <c r="C166" s="721"/>
      <c r="D166" s="717"/>
      <c r="E166" s="42"/>
      <c r="F166" s="42"/>
      <c r="G166" s="42"/>
      <c r="H166" s="42"/>
      <c r="I166" s="42"/>
      <c r="J166" s="42"/>
      <c r="K166" s="42"/>
      <c r="L166" s="42"/>
      <c r="M166" s="42"/>
      <c r="N166" s="42"/>
      <c r="O166" s="42"/>
      <c r="P166" s="42"/>
      <c r="Q166" s="42"/>
      <c r="R166" s="42"/>
      <c r="S166" s="56"/>
      <c r="T166" s="56"/>
      <c r="U166" s="56"/>
      <c r="V166" s="56"/>
      <c r="W166" s="56"/>
      <c r="X166" s="56"/>
      <c r="Y166" s="56"/>
      <c r="Z166" s="56"/>
      <c r="AA166" s="56"/>
      <c r="AB166" s="56"/>
      <c r="AC166" s="56"/>
      <c r="AD166" s="56"/>
      <c r="AE166" s="56"/>
      <c r="AF166" s="56"/>
      <c r="AG166" s="56"/>
      <c r="AH166" s="56"/>
      <c r="AI166" s="56"/>
      <c r="AJ166" s="56"/>
      <c r="AK166" s="56"/>
      <c r="AL166" s="56"/>
    </row>
    <row r="167" spans="1:38" ht="14.25" customHeight="1">
      <c r="A167" s="56"/>
      <c r="B167" s="721"/>
      <c r="C167" s="721"/>
      <c r="D167" s="717"/>
      <c r="E167" s="42"/>
      <c r="F167" s="42"/>
      <c r="G167" s="42"/>
      <c r="H167" s="42"/>
      <c r="I167" s="42"/>
      <c r="J167" s="42"/>
      <c r="K167" s="42"/>
      <c r="L167" s="42"/>
      <c r="M167" s="42"/>
      <c r="N167" s="42"/>
      <c r="O167" s="42"/>
      <c r="P167" s="42"/>
      <c r="Q167" s="42"/>
      <c r="R167" s="42"/>
      <c r="S167" s="56"/>
      <c r="T167" s="56"/>
      <c r="U167" s="56"/>
      <c r="V167" s="56"/>
      <c r="W167" s="56"/>
      <c r="X167" s="56"/>
      <c r="Y167" s="56"/>
      <c r="Z167" s="56"/>
      <c r="AA167" s="56"/>
      <c r="AB167" s="56"/>
      <c r="AC167" s="56"/>
      <c r="AD167" s="56"/>
      <c r="AE167" s="56"/>
      <c r="AF167" s="56"/>
      <c r="AG167" s="56"/>
      <c r="AH167" s="56"/>
      <c r="AI167" s="56"/>
      <c r="AJ167" s="56"/>
      <c r="AK167" s="56"/>
      <c r="AL167" s="56"/>
    </row>
    <row r="168" spans="1:38" ht="14.25" customHeight="1">
      <c r="A168" s="56"/>
      <c r="B168" s="721"/>
      <c r="C168" s="721"/>
      <c r="D168" s="717"/>
      <c r="E168" s="42"/>
      <c r="F168" s="42"/>
      <c r="G168" s="42"/>
      <c r="H168" s="42"/>
      <c r="I168" s="42"/>
      <c r="J168" s="42"/>
      <c r="K168" s="42"/>
      <c r="L168" s="42"/>
      <c r="M168" s="42"/>
      <c r="N168" s="42"/>
      <c r="O168" s="42"/>
      <c r="P168" s="42"/>
      <c r="Q168" s="42"/>
      <c r="R168" s="42"/>
      <c r="S168" s="56"/>
      <c r="T168" s="56"/>
      <c r="U168" s="56"/>
      <c r="V168" s="56"/>
      <c r="W168" s="56"/>
      <c r="X168" s="56"/>
      <c r="Y168" s="56"/>
      <c r="Z168" s="56"/>
      <c r="AA168" s="56"/>
      <c r="AB168" s="56"/>
      <c r="AC168" s="56"/>
      <c r="AD168" s="56"/>
      <c r="AE168" s="56"/>
      <c r="AF168" s="56"/>
      <c r="AG168" s="56"/>
      <c r="AH168" s="56"/>
      <c r="AI168" s="56"/>
      <c r="AJ168" s="56"/>
      <c r="AK168" s="56"/>
      <c r="AL168" s="56"/>
    </row>
    <row r="169" spans="1:38" ht="14.25" customHeight="1">
      <c r="A169" s="56"/>
      <c r="B169" s="721"/>
      <c r="C169" s="721"/>
      <c r="D169" s="717"/>
      <c r="E169" s="42"/>
      <c r="F169" s="42"/>
      <c r="G169" s="42"/>
      <c r="H169" s="42"/>
      <c r="I169" s="42"/>
      <c r="J169" s="42"/>
      <c r="K169" s="42"/>
      <c r="L169" s="42"/>
      <c r="M169" s="42"/>
      <c r="N169" s="42"/>
      <c r="O169" s="42"/>
      <c r="P169" s="42"/>
      <c r="Q169" s="42"/>
      <c r="R169" s="42"/>
      <c r="S169" s="56"/>
      <c r="T169" s="56"/>
      <c r="U169" s="56"/>
      <c r="V169" s="56"/>
      <c r="W169" s="56"/>
      <c r="X169" s="56"/>
      <c r="Y169" s="56"/>
      <c r="Z169" s="56"/>
      <c r="AA169" s="56"/>
      <c r="AB169" s="56"/>
      <c r="AC169" s="56"/>
      <c r="AD169" s="56"/>
      <c r="AE169" s="56"/>
      <c r="AF169" s="56"/>
      <c r="AG169" s="56"/>
      <c r="AH169" s="56"/>
      <c r="AI169" s="56"/>
      <c r="AJ169" s="56"/>
      <c r="AK169" s="56"/>
      <c r="AL169" s="56"/>
    </row>
    <row r="170" spans="1:38" ht="14.25" customHeight="1">
      <c r="A170" s="56"/>
      <c r="B170" s="721"/>
      <c r="C170" s="721"/>
      <c r="D170" s="717"/>
      <c r="E170" s="42"/>
      <c r="F170" s="42"/>
      <c r="G170" s="42"/>
      <c r="H170" s="42"/>
      <c r="I170" s="42"/>
      <c r="J170" s="42"/>
      <c r="K170" s="42"/>
      <c r="L170" s="42"/>
      <c r="M170" s="42"/>
      <c r="N170" s="42"/>
      <c r="O170" s="42"/>
      <c r="P170" s="42"/>
      <c r="Q170" s="42"/>
      <c r="R170" s="42"/>
      <c r="S170" s="56"/>
      <c r="T170" s="56"/>
      <c r="U170" s="56"/>
      <c r="V170" s="56"/>
      <c r="W170" s="56"/>
      <c r="X170" s="56"/>
      <c r="Y170" s="56"/>
      <c r="Z170" s="56"/>
      <c r="AA170" s="56"/>
      <c r="AB170" s="56"/>
      <c r="AC170" s="56"/>
      <c r="AD170" s="56"/>
      <c r="AE170" s="56"/>
      <c r="AF170" s="56"/>
      <c r="AG170" s="56"/>
      <c r="AH170" s="56"/>
      <c r="AI170" s="56"/>
      <c r="AJ170" s="56"/>
      <c r="AK170" s="56"/>
      <c r="AL170" s="56"/>
    </row>
    <row r="171" spans="1:38" ht="14.25" customHeight="1">
      <c r="A171" s="56"/>
      <c r="B171" s="721"/>
      <c r="C171" s="721"/>
      <c r="D171" s="717"/>
      <c r="E171" s="42"/>
      <c r="F171" s="42"/>
      <c r="G171" s="42"/>
      <c r="H171" s="42"/>
      <c r="I171" s="42"/>
      <c r="J171" s="42"/>
      <c r="K171" s="42"/>
      <c r="L171" s="42"/>
      <c r="M171" s="42"/>
      <c r="N171" s="42"/>
      <c r="O171" s="42"/>
      <c r="P171" s="42"/>
      <c r="Q171" s="42"/>
      <c r="R171" s="42"/>
      <c r="S171" s="56"/>
      <c r="T171" s="56"/>
      <c r="U171" s="56"/>
      <c r="V171" s="56"/>
      <c r="W171" s="56"/>
      <c r="X171" s="56"/>
      <c r="Y171" s="56"/>
      <c r="Z171" s="56"/>
      <c r="AA171" s="56"/>
      <c r="AB171" s="56"/>
      <c r="AC171" s="56"/>
      <c r="AD171" s="56"/>
      <c r="AE171" s="56"/>
      <c r="AF171" s="56"/>
      <c r="AG171" s="56"/>
      <c r="AH171" s="56"/>
      <c r="AI171" s="56"/>
      <c r="AJ171" s="56"/>
      <c r="AK171" s="56"/>
      <c r="AL171" s="56"/>
    </row>
    <row r="172" spans="1:38" ht="14.25" customHeight="1">
      <c r="A172" s="56"/>
      <c r="B172" s="721"/>
      <c r="C172" s="721"/>
      <c r="D172" s="717"/>
      <c r="E172" s="42"/>
      <c r="F172" s="42"/>
      <c r="G172" s="42"/>
      <c r="H172" s="42"/>
      <c r="I172" s="42"/>
      <c r="J172" s="42"/>
      <c r="K172" s="42"/>
      <c r="L172" s="42"/>
      <c r="M172" s="42"/>
      <c r="N172" s="42"/>
      <c r="O172" s="42"/>
      <c r="P172" s="42"/>
      <c r="Q172" s="42"/>
      <c r="R172" s="42"/>
      <c r="S172" s="56"/>
      <c r="T172" s="56"/>
      <c r="U172" s="56"/>
      <c r="V172" s="56"/>
      <c r="W172" s="56"/>
      <c r="X172" s="56"/>
      <c r="Y172" s="56"/>
      <c r="Z172" s="56"/>
      <c r="AA172" s="56"/>
      <c r="AB172" s="56"/>
      <c r="AC172" s="56"/>
      <c r="AD172" s="56"/>
      <c r="AE172" s="56"/>
      <c r="AF172" s="56"/>
      <c r="AG172" s="56"/>
      <c r="AH172" s="56"/>
      <c r="AI172" s="56"/>
      <c r="AJ172" s="56"/>
      <c r="AK172" s="56"/>
      <c r="AL172" s="56"/>
    </row>
    <row r="173" spans="1:38" ht="14.25" customHeight="1">
      <c r="A173" s="56"/>
      <c r="B173" s="721"/>
      <c r="C173" s="721"/>
      <c r="D173" s="717"/>
      <c r="E173" s="42"/>
      <c r="F173" s="42"/>
      <c r="G173" s="42"/>
      <c r="H173" s="42"/>
      <c r="I173" s="42"/>
      <c r="J173" s="42"/>
      <c r="K173" s="42"/>
      <c r="L173" s="42"/>
      <c r="M173" s="42"/>
      <c r="N173" s="42"/>
      <c r="O173" s="42"/>
      <c r="P173" s="42"/>
      <c r="Q173" s="42"/>
      <c r="R173" s="42"/>
      <c r="S173" s="56"/>
      <c r="T173" s="56"/>
      <c r="U173" s="56"/>
      <c r="V173" s="56"/>
      <c r="W173" s="56"/>
      <c r="X173" s="56"/>
      <c r="Y173" s="56"/>
      <c r="Z173" s="56"/>
      <c r="AA173" s="56"/>
      <c r="AB173" s="56"/>
      <c r="AC173" s="56"/>
      <c r="AD173" s="56"/>
      <c r="AE173" s="56"/>
      <c r="AF173" s="56"/>
      <c r="AG173" s="56"/>
      <c r="AH173" s="56"/>
      <c r="AI173" s="56"/>
      <c r="AJ173" s="56"/>
      <c r="AK173" s="56"/>
      <c r="AL173" s="56"/>
    </row>
    <row r="174" spans="1:38" ht="14.25" customHeight="1">
      <c r="A174" s="56"/>
      <c r="B174" s="721"/>
      <c r="C174" s="721"/>
      <c r="D174" s="717"/>
      <c r="E174" s="42"/>
      <c r="F174" s="42"/>
      <c r="G174" s="42"/>
      <c r="H174" s="42"/>
      <c r="I174" s="42"/>
      <c r="J174" s="42"/>
      <c r="K174" s="42"/>
      <c r="L174" s="42"/>
      <c r="M174" s="42"/>
      <c r="N174" s="42"/>
      <c r="O174" s="42"/>
      <c r="P174" s="42"/>
      <c r="Q174" s="42"/>
      <c r="R174" s="42"/>
      <c r="S174" s="56"/>
      <c r="T174" s="56"/>
      <c r="U174" s="56"/>
      <c r="V174" s="56"/>
      <c r="W174" s="56"/>
      <c r="X174" s="56"/>
      <c r="Y174" s="56"/>
      <c r="Z174" s="56"/>
      <c r="AA174" s="56"/>
      <c r="AB174" s="56"/>
      <c r="AC174" s="56"/>
      <c r="AD174" s="56"/>
      <c r="AE174" s="56"/>
      <c r="AF174" s="56"/>
      <c r="AG174" s="56"/>
      <c r="AH174" s="56"/>
      <c r="AI174" s="56"/>
      <c r="AJ174" s="56"/>
      <c r="AK174" s="56"/>
      <c r="AL174" s="56"/>
    </row>
    <row r="175" spans="1:38" ht="14.25" customHeight="1">
      <c r="A175" s="56"/>
      <c r="B175" s="721"/>
      <c r="C175" s="721"/>
      <c r="D175" s="717"/>
      <c r="E175" s="42"/>
      <c r="F175" s="42"/>
      <c r="G175" s="42"/>
      <c r="H175" s="42"/>
      <c r="I175" s="42"/>
      <c r="J175" s="42"/>
      <c r="K175" s="42"/>
      <c r="L175" s="42"/>
      <c r="M175" s="42"/>
      <c r="N175" s="42"/>
      <c r="O175" s="42"/>
      <c r="P175" s="42"/>
      <c r="Q175" s="42"/>
      <c r="R175" s="42"/>
      <c r="S175" s="56"/>
      <c r="T175" s="56"/>
      <c r="U175" s="56"/>
      <c r="V175" s="56"/>
      <c r="W175" s="56"/>
      <c r="X175" s="56"/>
      <c r="Y175" s="56"/>
      <c r="Z175" s="56"/>
      <c r="AA175" s="56"/>
      <c r="AB175" s="56"/>
      <c r="AC175" s="56"/>
      <c r="AD175" s="56"/>
      <c r="AE175" s="56"/>
      <c r="AF175" s="56"/>
      <c r="AG175" s="56"/>
      <c r="AH175" s="56"/>
      <c r="AI175" s="56"/>
      <c r="AJ175" s="56"/>
      <c r="AK175" s="56"/>
      <c r="AL175" s="56"/>
    </row>
    <row r="176" spans="1:38" ht="14.25" customHeight="1">
      <c r="A176" s="56"/>
      <c r="B176" s="721"/>
      <c r="C176" s="721"/>
      <c r="D176" s="717"/>
      <c r="E176" s="42"/>
      <c r="F176" s="42"/>
      <c r="G176" s="42"/>
      <c r="H176" s="42"/>
      <c r="I176" s="42"/>
      <c r="J176" s="42"/>
      <c r="K176" s="42"/>
      <c r="L176" s="42"/>
      <c r="M176" s="42"/>
      <c r="N176" s="42"/>
      <c r="O176" s="42"/>
      <c r="P176" s="42"/>
      <c r="Q176" s="42"/>
      <c r="R176" s="42"/>
      <c r="S176" s="56"/>
      <c r="T176" s="56"/>
      <c r="U176" s="56"/>
      <c r="V176" s="56"/>
      <c r="W176" s="56"/>
      <c r="X176" s="56"/>
      <c r="Y176" s="56"/>
      <c r="Z176" s="56"/>
      <c r="AA176" s="56"/>
      <c r="AB176" s="56"/>
      <c r="AC176" s="56"/>
      <c r="AD176" s="56"/>
      <c r="AE176" s="56"/>
      <c r="AF176" s="56"/>
      <c r="AG176" s="56"/>
      <c r="AH176" s="56"/>
      <c r="AI176" s="56"/>
      <c r="AJ176" s="56"/>
      <c r="AK176" s="56"/>
      <c r="AL176" s="56"/>
    </row>
    <row r="177" spans="1:38" ht="14.25" customHeight="1">
      <c r="A177" s="56"/>
      <c r="B177" s="721"/>
      <c r="C177" s="721"/>
      <c r="D177" s="717"/>
      <c r="E177" s="42"/>
      <c r="F177" s="42"/>
      <c r="G177" s="42"/>
      <c r="H177" s="42"/>
      <c r="I177" s="42"/>
      <c r="J177" s="42"/>
      <c r="K177" s="42"/>
      <c r="L177" s="42"/>
      <c r="M177" s="42"/>
      <c r="N177" s="42"/>
      <c r="O177" s="42"/>
      <c r="P177" s="42"/>
      <c r="Q177" s="42"/>
      <c r="R177" s="42"/>
      <c r="S177" s="56"/>
      <c r="T177" s="56"/>
      <c r="U177" s="56"/>
      <c r="V177" s="56"/>
      <c r="W177" s="56"/>
      <c r="X177" s="56"/>
      <c r="Y177" s="56"/>
      <c r="Z177" s="56"/>
      <c r="AA177" s="56"/>
      <c r="AB177" s="56"/>
      <c r="AC177" s="56"/>
      <c r="AD177" s="56"/>
      <c r="AE177" s="56"/>
      <c r="AF177" s="56"/>
      <c r="AG177" s="56"/>
      <c r="AH177" s="56"/>
      <c r="AI177" s="56"/>
      <c r="AJ177" s="56"/>
      <c r="AK177" s="56"/>
      <c r="AL177" s="56"/>
    </row>
    <row r="178" spans="1:38" ht="14.25" customHeight="1">
      <c r="A178" s="56"/>
      <c r="B178" s="721"/>
      <c r="C178" s="721"/>
      <c r="D178" s="717"/>
      <c r="E178" s="42"/>
      <c r="F178" s="42"/>
      <c r="G178" s="42"/>
      <c r="H178" s="42"/>
      <c r="I178" s="42"/>
      <c r="J178" s="42"/>
      <c r="K178" s="42"/>
      <c r="L178" s="42"/>
      <c r="M178" s="42"/>
      <c r="N178" s="42"/>
      <c r="O178" s="42"/>
      <c r="P178" s="42"/>
      <c r="Q178" s="42"/>
      <c r="R178" s="42"/>
      <c r="S178" s="56"/>
      <c r="T178" s="56"/>
      <c r="U178" s="56"/>
      <c r="V178" s="56"/>
      <c r="W178" s="56"/>
      <c r="X178" s="56"/>
      <c r="Y178" s="56"/>
      <c r="Z178" s="56"/>
      <c r="AA178" s="56"/>
      <c r="AB178" s="56"/>
      <c r="AC178" s="56"/>
      <c r="AD178" s="56"/>
      <c r="AE178" s="56"/>
      <c r="AF178" s="56"/>
      <c r="AG178" s="56"/>
      <c r="AH178" s="56"/>
      <c r="AI178" s="56"/>
      <c r="AJ178" s="56"/>
      <c r="AK178" s="56"/>
      <c r="AL178" s="56"/>
    </row>
    <row r="179" spans="1:38" ht="14.25" customHeight="1">
      <c r="A179" s="56"/>
      <c r="B179" s="721"/>
      <c r="C179" s="721"/>
      <c r="D179" s="717"/>
      <c r="E179" s="42"/>
      <c r="F179" s="42"/>
      <c r="G179" s="42"/>
      <c r="H179" s="42"/>
      <c r="I179" s="42"/>
      <c r="J179" s="42"/>
      <c r="K179" s="42"/>
      <c r="L179" s="42"/>
      <c r="M179" s="42"/>
      <c r="N179" s="42"/>
      <c r="O179" s="42"/>
      <c r="P179" s="42"/>
      <c r="Q179" s="42"/>
      <c r="R179" s="42"/>
      <c r="S179" s="56"/>
      <c r="T179" s="56"/>
      <c r="U179" s="56"/>
      <c r="V179" s="56"/>
      <c r="W179" s="56"/>
      <c r="X179" s="56"/>
      <c r="Y179" s="56"/>
      <c r="Z179" s="56"/>
      <c r="AA179" s="56"/>
      <c r="AB179" s="56"/>
      <c r="AC179" s="56"/>
      <c r="AD179" s="56"/>
      <c r="AE179" s="56"/>
      <c r="AF179" s="56"/>
      <c r="AG179" s="56"/>
      <c r="AH179" s="56"/>
      <c r="AI179" s="56"/>
      <c r="AJ179" s="56"/>
      <c r="AK179" s="56"/>
      <c r="AL179" s="56"/>
    </row>
    <row r="180" spans="1:38" ht="14.25" customHeight="1">
      <c r="A180" s="56"/>
      <c r="B180" s="721"/>
      <c r="C180" s="721"/>
      <c r="D180" s="717"/>
      <c r="E180" s="42"/>
      <c r="F180" s="42"/>
      <c r="G180" s="42"/>
      <c r="H180" s="42"/>
      <c r="I180" s="42"/>
      <c r="J180" s="42"/>
      <c r="K180" s="42"/>
      <c r="L180" s="42"/>
      <c r="M180" s="42"/>
      <c r="N180" s="42"/>
      <c r="O180" s="42"/>
      <c r="P180" s="42"/>
      <c r="Q180" s="42"/>
      <c r="R180" s="42"/>
      <c r="S180" s="56"/>
      <c r="T180" s="56"/>
      <c r="U180" s="56"/>
      <c r="V180" s="56"/>
      <c r="W180" s="56"/>
      <c r="X180" s="56"/>
      <c r="Y180" s="56"/>
      <c r="Z180" s="56"/>
      <c r="AA180" s="56"/>
      <c r="AB180" s="56"/>
      <c r="AC180" s="56"/>
      <c r="AD180" s="56"/>
      <c r="AE180" s="56"/>
      <c r="AF180" s="56"/>
      <c r="AG180" s="56"/>
      <c r="AH180" s="56"/>
      <c r="AI180" s="56"/>
      <c r="AJ180" s="56"/>
      <c r="AK180" s="56"/>
      <c r="AL180" s="56"/>
    </row>
    <row r="181" spans="1:38" ht="14.25" customHeight="1">
      <c r="A181" s="56"/>
      <c r="B181" s="721"/>
      <c r="C181" s="721"/>
      <c r="D181" s="717"/>
      <c r="E181" s="42"/>
      <c r="F181" s="42"/>
      <c r="G181" s="42"/>
      <c r="H181" s="42"/>
      <c r="I181" s="42"/>
      <c r="J181" s="42"/>
      <c r="K181" s="42"/>
      <c r="L181" s="42"/>
      <c r="M181" s="42"/>
      <c r="N181" s="42"/>
      <c r="O181" s="42"/>
      <c r="P181" s="42"/>
      <c r="Q181" s="42"/>
      <c r="R181" s="42"/>
      <c r="S181" s="56"/>
      <c r="T181" s="56"/>
      <c r="U181" s="56"/>
      <c r="V181" s="56"/>
      <c r="W181" s="56"/>
      <c r="X181" s="56"/>
      <c r="Y181" s="56"/>
      <c r="Z181" s="56"/>
      <c r="AA181" s="56"/>
      <c r="AB181" s="56"/>
      <c r="AC181" s="56"/>
      <c r="AD181" s="56"/>
      <c r="AE181" s="56"/>
      <c r="AF181" s="56"/>
      <c r="AG181" s="56"/>
      <c r="AH181" s="56"/>
      <c r="AI181" s="56"/>
      <c r="AJ181" s="56"/>
      <c r="AK181" s="56"/>
      <c r="AL181" s="56"/>
    </row>
    <row r="182" spans="1:38" ht="14.25" customHeight="1">
      <c r="A182" s="56"/>
      <c r="B182" s="721"/>
      <c r="C182" s="721"/>
      <c r="D182" s="717"/>
      <c r="E182" s="42"/>
      <c r="F182" s="42"/>
      <c r="G182" s="42"/>
      <c r="H182" s="42"/>
      <c r="I182" s="42"/>
      <c r="J182" s="42"/>
      <c r="K182" s="42"/>
      <c r="L182" s="42"/>
      <c r="M182" s="42"/>
      <c r="N182" s="42"/>
      <c r="O182" s="42"/>
      <c r="P182" s="42"/>
      <c r="Q182" s="42"/>
      <c r="R182" s="42"/>
      <c r="S182" s="56"/>
      <c r="T182" s="56"/>
      <c r="U182" s="56"/>
      <c r="V182" s="56"/>
      <c r="W182" s="56"/>
      <c r="X182" s="56"/>
      <c r="Y182" s="56"/>
      <c r="Z182" s="56"/>
      <c r="AA182" s="56"/>
      <c r="AB182" s="56"/>
      <c r="AC182" s="56"/>
      <c r="AD182" s="56"/>
      <c r="AE182" s="56"/>
      <c r="AF182" s="56"/>
      <c r="AG182" s="56"/>
      <c r="AH182" s="56"/>
      <c r="AI182" s="56"/>
      <c r="AJ182" s="56"/>
      <c r="AK182" s="56"/>
      <c r="AL182" s="56"/>
    </row>
    <row r="183" spans="1:38" ht="14.25" customHeight="1">
      <c r="A183" s="56"/>
      <c r="B183" s="721"/>
      <c r="C183" s="721"/>
      <c r="D183" s="717"/>
      <c r="E183" s="42"/>
      <c r="F183" s="42"/>
      <c r="G183" s="42"/>
      <c r="H183" s="42"/>
      <c r="I183" s="42"/>
      <c r="J183" s="42"/>
      <c r="K183" s="42"/>
      <c r="L183" s="42"/>
      <c r="M183" s="42"/>
      <c r="N183" s="42"/>
      <c r="O183" s="42"/>
      <c r="P183" s="42"/>
      <c r="Q183" s="42"/>
      <c r="R183" s="42"/>
      <c r="S183" s="56"/>
      <c r="T183" s="56"/>
      <c r="U183" s="56"/>
      <c r="V183" s="56"/>
      <c r="W183" s="56"/>
      <c r="X183" s="56"/>
      <c r="Y183" s="56"/>
      <c r="Z183" s="56"/>
      <c r="AA183" s="56"/>
      <c r="AB183" s="56"/>
      <c r="AC183" s="56"/>
      <c r="AD183" s="56"/>
      <c r="AE183" s="56"/>
      <c r="AF183" s="56"/>
      <c r="AG183" s="56"/>
      <c r="AH183" s="56"/>
      <c r="AI183" s="56"/>
      <c r="AJ183" s="56"/>
      <c r="AK183" s="56"/>
      <c r="AL183" s="56"/>
    </row>
    <row r="184" spans="1:38" ht="14.25" customHeight="1">
      <c r="A184" s="56"/>
      <c r="B184" s="721"/>
      <c r="C184" s="721"/>
      <c r="D184" s="717"/>
      <c r="E184" s="42"/>
      <c r="F184" s="42"/>
      <c r="G184" s="42"/>
      <c r="H184" s="42"/>
      <c r="I184" s="42"/>
      <c r="J184" s="42"/>
      <c r="K184" s="42"/>
      <c r="L184" s="42"/>
      <c r="M184" s="42"/>
      <c r="N184" s="42"/>
      <c r="O184" s="42"/>
      <c r="P184" s="42"/>
      <c r="Q184" s="42"/>
      <c r="R184" s="42"/>
      <c r="S184" s="56"/>
      <c r="T184" s="56"/>
      <c r="U184" s="56"/>
      <c r="V184" s="56"/>
      <c r="W184" s="56"/>
      <c r="X184" s="56"/>
      <c r="Y184" s="56"/>
      <c r="Z184" s="56"/>
      <c r="AA184" s="56"/>
      <c r="AB184" s="56"/>
      <c r="AC184" s="56"/>
      <c r="AD184" s="56"/>
      <c r="AE184" s="56"/>
      <c r="AF184" s="56"/>
      <c r="AG184" s="56"/>
      <c r="AH184" s="56"/>
      <c r="AI184" s="56"/>
      <c r="AJ184" s="56"/>
      <c r="AK184" s="56"/>
      <c r="AL184" s="56"/>
    </row>
    <row r="185" spans="1:38" ht="14.25" customHeight="1">
      <c r="A185" s="56"/>
      <c r="B185" s="721"/>
      <c r="C185" s="721"/>
      <c r="D185" s="717"/>
      <c r="E185" s="42"/>
      <c r="F185" s="42"/>
      <c r="G185" s="42"/>
      <c r="H185" s="42"/>
      <c r="I185" s="42"/>
      <c r="J185" s="42"/>
      <c r="K185" s="42"/>
      <c r="L185" s="42"/>
      <c r="M185" s="42"/>
      <c r="N185" s="42"/>
      <c r="O185" s="42"/>
      <c r="P185" s="42"/>
      <c r="Q185" s="42"/>
      <c r="R185" s="42"/>
      <c r="S185" s="56"/>
      <c r="T185" s="56"/>
      <c r="U185" s="56"/>
      <c r="V185" s="56"/>
      <c r="W185" s="56"/>
      <c r="X185" s="56"/>
      <c r="Y185" s="56"/>
      <c r="Z185" s="56"/>
      <c r="AA185" s="56"/>
      <c r="AB185" s="56"/>
      <c r="AC185" s="56"/>
      <c r="AD185" s="56"/>
      <c r="AE185" s="56"/>
      <c r="AF185" s="56"/>
      <c r="AG185" s="56"/>
      <c r="AH185" s="56"/>
      <c r="AI185" s="56"/>
      <c r="AJ185" s="56"/>
      <c r="AK185" s="56"/>
      <c r="AL185" s="56"/>
    </row>
    <row r="186" spans="1:38" ht="14.25" customHeight="1">
      <c r="A186" s="56"/>
      <c r="B186" s="721"/>
      <c r="C186" s="721"/>
      <c r="D186" s="717"/>
      <c r="E186" s="42"/>
      <c r="F186" s="42"/>
      <c r="G186" s="42"/>
      <c r="H186" s="42"/>
      <c r="I186" s="42"/>
      <c r="J186" s="42"/>
      <c r="K186" s="42"/>
      <c r="L186" s="42"/>
      <c r="M186" s="42"/>
      <c r="N186" s="42"/>
      <c r="O186" s="42"/>
      <c r="P186" s="42"/>
      <c r="Q186" s="42"/>
      <c r="R186" s="42"/>
      <c r="S186" s="56"/>
      <c r="T186" s="56"/>
      <c r="U186" s="56"/>
      <c r="V186" s="56"/>
      <c r="W186" s="56"/>
      <c r="X186" s="56"/>
      <c r="Y186" s="56"/>
      <c r="Z186" s="56"/>
      <c r="AA186" s="56"/>
      <c r="AB186" s="56"/>
      <c r="AC186" s="56"/>
      <c r="AD186" s="56"/>
      <c r="AE186" s="56"/>
      <c r="AF186" s="56"/>
      <c r="AG186" s="56"/>
      <c r="AH186" s="56"/>
      <c r="AI186" s="56"/>
      <c r="AJ186" s="56"/>
      <c r="AK186" s="56"/>
      <c r="AL186" s="56"/>
    </row>
    <row r="187" spans="1:38" ht="14.25" customHeight="1">
      <c r="A187" s="56"/>
      <c r="B187" s="721"/>
      <c r="C187" s="721"/>
      <c r="D187" s="717"/>
      <c r="E187" s="42"/>
      <c r="F187" s="42"/>
      <c r="G187" s="42"/>
      <c r="H187" s="42"/>
      <c r="I187" s="42"/>
      <c r="J187" s="42"/>
      <c r="K187" s="42"/>
      <c r="L187" s="42"/>
      <c r="M187" s="42"/>
      <c r="N187" s="42"/>
      <c r="O187" s="42"/>
      <c r="P187" s="42"/>
      <c r="Q187" s="42"/>
      <c r="R187" s="42"/>
      <c r="S187" s="56"/>
      <c r="T187" s="56"/>
      <c r="U187" s="56"/>
      <c r="V187" s="56"/>
      <c r="W187" s="56"/>
      <c r="X187" s="56"/>
      <c r="Y187" s="56"/>
      <c r="Z187" s="56"/>
      <c r="AA187" s="56"/>
      <c r="AB187" s="56"/>
      <c r="AC187" s="56"/>
      <c r="AD187" s="56"/>
      <c r="AE187" s="56"/>
      <c r="AF187" s="56"/>
      <c r="AG187" s="56"/>
      <c r="AH187" s="56"/>
      <c r="AI187" s="56"/>
      <c r="AJ187" s="56"/>
      <c r="AK187" s="56"/>
      <c r="AL187" s="56"/>
    </row>
    <row r="188" spans="1:38" ht="14.25" customHeight="1">
      <c r="A188" s="56"/>
      <c r="B188" s="721"/>
      <c r="C188" s="721"/>
      <c r="D188" s="717"/>
      <c r="E188" s="42"/>
      <c r="F188" s="42"/>
      <c r="G188" s="42"/>
      <c r="H188" s="42"/>
      <c r="I188" s="42"/>
      <c r="J188" s="42"/>
      <c r="K188" s="42"/>
      <c r="L188" s="42"/>
      <c r="M188" s="42"/>
      <c r="N188" s="42"/>
      <c r="O188" s="42"/>
      <c r="P188" s="42"/>
      <c r="Q188" s="42"/>
      <c r="R188" s="42"/>
      <c r="S188" s="56"/>
      <c r="T188" s="56"/>
      <c r="U188" s="56"/>
      <c r="V188" s="56"/>
      <c r="W188" s="56"/>
      <c r="X188" s="56"/>
      <c r="Y188" s="56"/>
      <c r="Z188" s="56"/>
      <c r="AA188" s="56"/>
      <c r="AB188" s="56"/>
      <c r="AC188" s="56"/>
      <c r="AD188" s="56"/>
      <c r="AE188" s="56"/>
      <c r="AF188" s="56"/>
      <c r="AG188" s="56"/>
      <c r="AH188" s="56"/>
      <c r="AI188" s="56"/>
      <c r="AJ188" s="56"/>
      <c r="AK188" s="56"/>
      <c r="AL188" s="56"/>
    </row>
    <row r="189" spans="1:38" ht="14.25" customHeight="1">
      <c r="A189" s="56"/>
      <c r="B189" s="721"/>
      <c r="C189" s="721"/>
      <c r="D189" s="717"/>
      <c r="E189" s="42"/>
      <c r="F189" s="42"/>
      <c r="G189" s="42"/>
      <c r="H189" s="42"/>
      <c r="I189" s="42"/>
      <c r="J189" s="42"/>
      <c r="K189" s="42"/>
      <c r="L189" s="42"/>
      <c r="M189" s="42"/>
      <c r="N189" s="42"/>
      <c r="O189" s="42"/>
      <c r="P189" s="42"/>
      <c r="Q189" s="42"/>
      <c r="R189" s="42"/>
      <c r="S189" s="56"/>
      <c r="T189" s="56"/>
      <c r="U189" s="56"/>
      <c r="V189" s="56"/>
      <c r="W189" s="56"/>
      <c r="X189" s="56"/>
      <c r="Y189" s="56"/>
      <c r="Z189" s="56"/>
      <c r="AA189" s="56"/>
      <c r="AB189" s="56"/>
      <c r="AC189" s="56"/>
      <c r="AD189" s="56"/>
      <c r="AE189" s="56"/>
      <c r="AF189" s="56"/>
      <c r="AG189" s="56"/>
      <c r="AH189" s="56"/>
      <c r="AI189" s="56"/>
      <c r="AJ189" s="56"/>
      <c r="AK189" s="56"/>
      <c r="AL189" s="56"/>
    </row>
    <row r="190" spans="1:38" ht="14.25" customHeight="1">
      <c r="A190" s="56"/>
      <c r="B190" s="721"/>
      <c r="C190" s="721"/>
      <c r="D190" s="717"/>
      <c r="E190" s="42"/>
      <c r="F190" s="42"/>
      <c r="G190" s="42"/>
      <c r="H190" s="42"/>
      <c r="I190" s="42"/>
      <c r="J190" s="42"/>
      <c r="K190" s="42"/>
      <c r="L190" s="42"/>
      <c r="M190" s="42"/>
      <c r="N190" s="42"/>
      <c r="O190" s="42"/>
      <c r="P190" s="42"/>
      <c r="Q190" s="42"/>
      <c r="R190" s="42"/>
      <c r="S190" s="56"/>
      <c r="T190" s="56"/>
      <c r="U190" s="56"/>
      <c r="V190" s="56"/>
      <c r="W190" s="56"/>
      <c r="X190" s="56"/>
      <c r="Y190" s="56"/>
      <c r="Z190" s="56"/>
      <c r="AA190" s="56"/>
      <c r="AB190" s="56"/>
      <c r="AC190" s="56"/>
      <c r="AD190" s="56"/>
      <c r="AE190" s="56"/>
      <c r="AF190" s="56"/>
      <c r="AG190" s="56"/>
      <c r="AH190" s="56"/>
      <c r="AI190" s="56"/>
      <c r="AJ190" s="56"/>
      <c r="AK190" s="56"/>
      <c r="AL190" s="56"/>
    </row>
    <row r="191" spans="1:38" ht="14.25" customHeight="1">
      <c r="A191" s="56"/>
      <c r="B191" s="721"/>
      <c r="C191" s="721"/>
      <c r="D191" s="717"/>
      <c r="E191" s="42"/>
      <c r="F191" s="42"/>
      <c r="G191" s="42"/>
      <c r="H191" s="42"/>
      <c r="I191" s="42"/>
      <c r="J191" s="42"/>
      <c r="K191" s="42"/>
      <c r="L191" s="42"/>
      <c r="M191" s="42"/>
      <c r="N191" s="42"/>
      <c r="O191" s="42"/>
      <c r="P191" s="42"/>
      <c r="Q191" s="42"/>
      <c r="R191" s="42"/>
      <c r="S191" s="56"/>
      <c r="T191" s="56"/>
      <c r="U191" s="56"/>
      <c r="V191" s="56"/>
      <c r="W191" s="56"/>
      <c r="X191" s="56"/>
      <c r="Y191" s="56"/>
      <c r="Z191" s="56"/>
      <c r="AA191" s="56"/>
      <c r="AB191" s="56"/>
      <c r="AC191" s="56"/>
      <c r="AD191" s="56"/>
      <c r="AE191" s="56"/>
      <c r="AF191" s="56"/>
      <c r="AG191" s="56"/>
      <c r="AH191" s="56"/>
      <c r="AI191" s="56"/>
      <c r="AJ191" s="56"/>
      <c r="AK191" s="56"/>
      <c r="AL191" s="56"/>
    </row>
    <row r="192" spans="1:38" ht="14.25" customHeight="1">
      <c r="A192" s="56"/>
      <c r="B192" s="721"/>
      <c r="C192" s="721"/>
      <c r="D192" s="717"/>
      <c r="E192" s="42"/>
      <c r="F192" s="42"/>
      <c r="G192" s="42"/>
      <c r="H192" s="42"/>
      <c r="I192" s="42"/>
      <c r="J192" s="42"/>
      <c r="K192" s="42"/>
      <c r="L192" s="42"/>
      <c r="M192" s="42"/>
      <c r="N192" s="42"/>
      <c r="O192" s="42"/>
      <c r="P192" s="42"/>
      <c r="Q192" s="42"/>
      <c r="R192" s="42"/>
      <c r="S192" s="56"/>
      <c r="T192" s="56"/>
      <c r="U192" s="56"/>
      <c r="V192" s="56"/>
      <c r="W192" s="56"/>
      <c r="X192" s="56"/>
      <c r="Y192" s="56"/>
      <c r="Z192" s="56"/>
      <c r="AA192" s="56"/>
      <c r="AB192" s="56"/>
      <c r="AC192" s="56"/>
      <c r="AD192" s="56"/>
      <c r="AE192" s="56"/>
      <c r="AF192" s="56"/>
      <c r="AG192" s="56"/>
      <c r="AH192" s="56"/>
      <c r="AI192" s="56"/>
      <c r="AJ192" s="56"/>
      <c r="AK192" s="56"/>
      <c r="AL192" s="56"/>
    </row>
    <row r="193" spans="1:38" ht="14.25" customHeight="1">
      <c r="A193" s="56"/>
      <c r="B193" s="721"/>
      <c r="C193" s="721"/>
      <c r="D193" s="717"/>
      <c r="E193" s="42"/>
      <c r="F193" s="42"/>
      <c r="G193" s="42"/>
      <c r="H193" s="42"/>
      <c r="I193" s="42"/>
      <c r="J193" s="42"/>
      <c r="K193" s="42"/>
      <c r="L193" s="42"/>
      <c r="M193" s="42"/>
      <c r="N193" s="42"/>
      <c r="O193" s="42"/>
      <c r="P193" s="42"/>
      <c r="Q193" s="42"/>
      <c r="R193" s="42"/>
      <c r="S193" s="56"/>
      <c r="T193" s="56"/>
      <c r="U193" s="56"/>
      <c r="V193" s="56"/>
      <c r="W193" s="56"/>
      <c r="X193" s="56"/>
      <c r="Y193" s="56"/>
      <c r="Z193" s="56"/>
      <c r="AA193" s="56"/>
      <c r="AB193" s="56"/>
      <c r="AC193" s="56"/>
      <c r="AD193" s="56"/>
      <c r="AE193" s="56"/>
      <c r="AF193" s="56"/>
      <c r="AG193" s="56"/>
      <c r="AH193" s="56"/>
      <c r="AI193" s="56"/>
      <c r="AJ193" s="56"/>
      <c r="AK193" s="56"/>
      <c r="AL193" s="56"/>
    </row>
    <row r="194" spans="1:38" ht="14.25" customHeight="1">
      <c r="A194" s="56"/>
      <c r="B194" s="721"/>
      <c r="C194" s="721"/>
      <c r="D194" s="717"/>
      <c r="E194" s="42"/>
      <c r="F194" s="42"/>
      <c r="G194" s="42"/>
      <c r="H194" s="42"/>
      <c r="I194" s="42"/>
      <c r="J194" s="42"/>
      <c r="K194" s="42"/>
      <c r="L194" s="42"/>
      <c r="M194" s="42"/>
      <c r="N194" s="42"/>
      <c r="O194" s="42"/>
      <c r="P194" s="42"/>
      <c r="Q194" s="42"/>
      <c r="R194" s="42"/>
      <c r="S194" s="56"/>
      <c r="T194" s="56"/>
      <c r="U194" s="56"/>
      <c r="V194" s="56"/>
      <c r="W194" s="56"/>
      <c r="X194" s="56"/>
      <c r="Y194" s="56"/>
      <c r="Z194" s="56"/>
      <c r="AA194" s="56"/>
      <c r="AB194" s="56"/>
      <c r="AC194" s="56"/>
      <c r="AD194" s="56"/>
      <c r="AE194" s="56"/>
      <c r="AF194" s="56"/>
      <c r="AG194" s="56"/>
      <c r="AH194" s="56"/>
      <c r="AI194" s="56"/>
      <c r="AJ194" s="56"/>
      <c r="AK194" s="56"/>
      <c r="AL194" s="56"/>
    </row>
    <row r="195" spans="1:38" ht="14.25" customHeight="1">
      <c r="A195" s="56"/>
      <c r="B195" s="721"/>
      <c r="C195" s="721"/>
      <c r="D195" s="717"/>
      <c r="E195" s="42"/>
      <c r="F195" s="42"/>
      <c r="G195" s="42"/>
      <c r="H195" s="42"/>
      <c r="I195" s="42"/>
      <c r="J195" s="42"/>
      <c r="K195" s="42"/>
      <c r="L195" s="42"/>
      <c r="M195" s="42"/>
      <c r="N195" s="42"/>
      <c r="O195" s="42"/>
      <c r="P195" s="42"/>
      <c r="Q195" s="42"/>
      <c r="R195" s="42"/>
      <c r="S195" s="56"/>
      <c r="T195" s="56"/>
      <c r="U195" s="56"/>
      <c r="V195" s="56"/>
      <c r="W195" s="56"/>
      <c r="X195" s="56"/>
      <c r="Y195" s="56"/>
      <c r="Z195" s="56"/>
      <c r="AA195" s="56"/>
      <c r="AB195" s="56"/>
      <c r="AC195" s="56"/>
      <c r="AD195" s="56"/>
      <c r="AE195" s="56"/>
      <c r="AF195" s="56"/>
      <c r="AG195" s="56"/>
      <c r="AH195" s="56"/>
      <c r="AI195" s="56"/>
      <c r="AJ195" s="56"/>
      <c r="AK195" s="56"/>
      <c r="AL195" s="56"/>
    </row>
    <row r="196" spans="1:38" ht="14.25" customHeight="1">
      <c r="A196" s="56"/>
      <c r="B196" s="721"/>
      <c r="C196" s="721"/>
      <c r="D196" s="717"/>
      <c r="E196" s="42"/>
      <c r="F196" s="42"/>
      <c r="G196" s="42"/>
      <c r="H196" s="42"/>
      <c r="I196" s="42"/>
      <c r="J196" s="42"/>
      <c r="K196" s="42"/>
      <c r="L196" s="42"/>
      <c r="M196" s="42"/>
      <c r="N196" s="42"/>
      <c r="O196" s="42"/>
      <c r="P196" s="42"/>
      <c r="Q196" s="42"/>
      <c r="R196" s="42"/>
      <c r="S196" s="56"/>
      <c r="T196" s="56"/>
      <c r="U196" s="56"/>
      <c r="V196" s="56"/>
      <c r="W196" s="56"/>
      <c r="X196" s="56"/>
      <c r="Y196" s="56"/>
      <c r="Z196" s="56"/>
      <c r="AA196" s="56"/>
      <c r="AB196" s="56"/>
      <c r="AC196" s="56"/>
      <c r="AD196" s="56"/>
      <c r="AE196" s="56"/>
      <c r="AF196" s="56"/>
      <c r="AG196" s="56"/>
      <c r="AH196" s="56"/>
      <c r="AI196" s="56"/>
      <c r="AJ196" s="56"/>
      <c r="AK196" s="56"/>
      <c r="AL196" s="56"/>
    </row>
    <row r="197" spans="1:38" ht="14.25" customHeight="1">
      <c r="A197" s="56"/>
      <c r="B197" s="721"/>
      <c r="C197" s="721"/>
      <c r="D197" s="717"/>
      <c r="E197" s="42"/>
      <c r="F197" s="42"/>
      <c r="G197" s="42"/>
      <c r="H197" s="42"/>
      <c r="I197" s="42"/>
      <c r="J197" s="42"/>
      <c r="K197" s="42"/>
      <c r="L197" s="42"/>
      <c r="M197" s="42"/>
      <c r="N197" s="42"/>
      <c r="O197" s="42"/>
      <c r="P197" s="42"/>
      <c r="Q197" s="42"/>
      <c r="R197" s="42"/>
      <c r="S197" s="56"/>
      <c r="T197" s="56"/>
      <c r="U197" s="56"/>
      <c r="V197" s="56"/>
      <c r="W197" s="56"/>
      <c r="X197" s="56"/>
      <c r="Y197" s="56"/>
      <c r="Z197" s="56"/>
      <c r="AA197" s="56"/>
      <c r="AB197" s="56"/>
      <c r="AC197" s="56"/>
      <c r="AD197" s="56"/>
      <c r="AE197" s="56"/>
      <c r="AF197" s="56"/>
      <c r="AG197" s="56"/>
      <c r="AH197" s="56"/>
      <c r="AI197" s="56"/>
      <c r="AJ197" s="56"/>
      <c r="AK197" s="56"/>
      <c r="AL197" s="56"/>
    </row>
    <row r="198" spans="1:38" ht="14.25" customHeight="1">
      <c r="A198" s="56"/>
      <c r="B198" s="721"/>
      <c r="C198" s="721"/>
      <c r="D198" s="717"/>
      <c r="E198" s="42"/>
      <c r="F198" s="42"/>
      <c r="G198" s="42"/>
      <c r="H198" s="42"/>
      <c r="I198" s="42"/>
      <c r="J198" s="42"/>
      <c r="K198" s="42"/>
      <c r="L198" s="42"/>
      <c r="M198" s="42"/>
      <c r="N198" s="42"/>
      <c r="O198" s="42"/>
      <c r="P198" s="42"/>
      <c r="Q198" s="42"/>
      <c r="R198" s="42"/>
      <c r="S198" s="56"/>
      <c r="T198" s="56"/>
      <c r="U198" s="56"/>
      <c r="V198" s="56"/>
      <c r="W198" s="56"/>
      <c r="X198" s="56"/>
      <c r="Y198" s="56"/>
      <c r="Z198" s="56"/>
      <c r="AA198" s="56"/>
      <c r="AB198" s="56"/>
      <c r="AC198" s="56"/>
      <c r="AD198" s="56"/>
      <c r="AE198" s="56"/>
      <c r="AF198" s="56"/>
      <c r="AG198" s="56"/>
      <c r="AH198" s="56"/>
      <c r="AI198" s="56"/>
      <c r="AJ198" s="56"/>
      <c r="AK198" s="56"/>
      <c r="AL198" s="56"/>
    </row>
    <row r="199" spans="1:38" ht="14.25" customHeight="1">
      <c r="A199" s="56"/>
      <c r="B199" s="721"/>
      <c r="C199" s="721"/>
      <c r="D199" s="717"/>
      <c r="E199" s="42"/>
      <c r="F199" s="42"/>
      <c r="G199" s="42"/>
      <c r="H199" s="42"/>
      <c r="I199" s="42"/>
      <c r="J199" s="42"/>
      <c r="K199" s="42"/>
      <c r="L199" s="42"/>
      <c r="M199" s="42"/>
      <c r="N199" s="42"/>
      <c r="O199" s="42"/>
      <c r="P199" s="42"/>
      <c r="Q199" s="42"/>
      <c r="R199" s="42"/>
      <c r="S199" s="56"/>
      <c r="T199" s="56"/>
      <c r="U199" s="56"/>
      <c r="V199" s="56"/>
      <c r="W199" s="56"/>
      <c r="X199" s="56"/>
      <c r="Y199" s="56"/>
      <c r="Z199" s="56"/>
      <c r="AA199" s="56"/>
      <c r="AB199" s="56"/>
      <c r="AC199" s="56"/>
      <c r="AD199" s="56"/>
      <c r="AE199" s="56"/>
      <c r="AF199" s="56"/>
      <c r="AG199" s="56"/>
      <c r="AH199" s="56"/>
      <c r="AI199" s="56"/>
      <c r="AJ199" s="56"/>
      <c r="AK199" s="56"/>
      <c r="AL199" s="56"/>
    </row>
    <row r="200" spans="1:38" ht="14.25" customHeight="1">
      <c r="A200" s="56"/>
      <c r="B200" s="721"/>
      <c r="C200" s="721"/>
      <c r="D200" s="717"/>
      <c r="E200" s="42"/>
      <c r="F200" s="42"/>
      <c r="G200" s="42"/>
      <c r="H200" s="42"/>
      <c r="I200" s="42"/>
      <c r="J200" s="42"/>
      <c r="K200" s="42"/>
      <c r="L200" s="42"/>
      <c r="M200" s="42"/>
      <c r="N200" s="42"/>
      <c r="O200" s="42"/>
      <c r="P200" s="42"/>
      <c r="Q200" s="42"/>
      <c r="R200" s="42"/>
      <c r="S200" s="56"/>
      <c r="T200" s="56"/>
      <c r="U200" s="56"/>
      <c r="V200" s="56"/>
      <c r="W200" s="56"/>
      <c r="X200" s="56"/>
      <c r="Y200" s="56"/>
      <c r="Z200" s="56"/>
      <c r="AA200" s="56"/>
      <c r="AB200" s="56"/>
      <c r="AC200" s="56"/>
      <c r="AD200" s="56"/>
      <c r="AE200" s="56"/>
      <c r="AF200" s="56"/>
      <c r="AG200" s="56"/>
      <c r="AH200" s="56"/>
      <c r="AI200" s="56"/>
      <c r="AJ200" s="56"/>
      <c r="AK200" s="56"/>
      <c r="AL200" s="56"/>
    </row>
    <row r="201" spans="1:38" ht="14.25" customHeight="1">
      <c r="A201" s="56"/>
      <c r="B201" s="721"/>
      <c r="C201" s="721"/>
      <c r="D201" s="717"/>
      <c r="E201" s="42"/>
      <c r="F201" s="42"/>
      <c r="G201" s="42"/>
      <c r="H201" s="42"/>
      <c r="I201" s="42"/>
      <c r="J201" s="42"/>
      <c r="K201" s="42"/>
      <c r="L201" s="42"/>
      <c r="M201" s="42"/>
      <c r="N201" s="42"/>
      <c r="O201" s="42"/>
      <c r="P201" s="42"/>
      <c r="Q201" s="42"/>
      <c r="R201" s="42"/>
      <c r="S201" s="56"/>
      <c r="T201" s="56"/>
      <c r="U201" s="56"/>
      <c r="V201" s="56"/>
      <c r="W201" s="56"/>
      <c r="X201" s="56"/>
      <c r="Y201" s="56"/>
      <c r="Z201" s="56"/>
      <c r="AA201" s="56"/>
      <c r="AB201" s="56"/>
      <c r="AC201" s="56"/>
      <c r="AD201" s="56"/>
      <c r="AE201" s="56"/>
      <c r="AF201" s="56"/>
      <c r="AG201" s="56"/>
      <c r="AH201" s="56"/>
      <c r="AI201" s="56"/>
      <c r="AJ201" s="56"/>
      <c r="AK201" s="56"/>
      <c r="AL201" s="56"/>
    </row>
    <row r="202" spans="1:38" ht="14.25" customHeight="1">
      <c r="A202" s="56"/>
      <c r="B202" s="721"/>
      <c r="C202" s="721"/>
      <c r="D202" s="717"/>
      <c r="E202" s="42"/>
      <c r="F202" s="42"/>
      <c r="G202" s="42"/>
      <c r="H202" s="42"/>
      <c r="I202" s="42"/>
      <c r="J202" s="42"/>
      <c r="K202" s="42"/>
      <c r="L202" s="42"/>
      <c r="M202" s="42"/>
      <c r="N202" s="42"/>
      <c r="O202" s="42"/>
      <c r="P202" s="42"/>
      <c r="Q202" s="42"/>
      <c r="R202" s="42"/>
      <c r="S202" s="56"/>
      <c r="T202" s="56"/>
      <c r="U202" s="56"/>
      <c r="V202" s="56"/>
      <c r="W202" s="56"/>
      <c r="X202" s="56"/>
      <c r="Y202" s="56"/>
      <c r="Z202" s="56"/>
      <c r="AA202" s="56"/>
      <c r="AB202" s="56"/>
      <c r="AC202" s="56"/>
      <c r="AD202" s="56"/>
      <c r="AE202" s="56"/>
      <c r="AF202" s="56"/>
      <c r="AG202" s="56"/>
      <c r="AH202" s="56"/>
      <c r="AI202" s="56"/>
      <c r="AJ202" s="56"/>
      <c r="AK202" s="56"/>
      <c r="AL202" s="56"/>
    </row>
    <row r="203" spans="1:38" ht="14.25" customHeight="1">
      <c r="A203" s="56"/>
      <c r="B203" s="721"/>
      <c r="C203" s="721"/>
      <c r="D203" s="717"/>
      <c r="E203" s="42"/>
      <c r="F203" s="42"/>
      <c r="G203" s="42"/>
      <c r="H203" s="42"/>
      <c r="I203" s="42"/>
      <c r="J203" s="42"/>
      <c r="K203" s="42"/>
      <c r="L203" s="42"/>
      <c r="M203" s="42"/>
      <c r="N203" s="42"/>
      <c r="O203" s="42"/>
      <c r="P203" s="42"/>
      <c r="Q203" s="42"/>
      <c r="R203" s="42"/>
      <c r="S203" s="56"/>
      <c r="T203" s="56"/>
      <c r="U203" s="56"/>
      <c r="V203" s="56"/>
      <c r="W203" s="56"/>
      <c r="X203" s="56"/>
      <c r="Y203" s="56"/>
      <c r="Z203" s="56"/>
      <c r="AA203" s="56"/>
      <c r="AB203" s="56"/>
      <c r="AC203" s="56"/>
      <c r="AD203" s="56"/>
      <c r="AE203" s="56"/>
      <c r="AF203" s="56"/>
      <c r="AG203" s="56"/>
      <c r="AH203" s="56"/>
      <c r="AI203" s="56"/>
      <c r="AJ203" s="56"/>
      <c r="AK203" s="56"/>
      <c r="AL203" s="56"/>
    </row>
    <row r="204" spans="1:38" ht="14.25" customHeight="1">
      <c r="A204" s="56"/>
      <c r="B204" s="721"/>
      <c r="C204" s="721"/>
      <c r="D204" s="717"/>
      <c r="E204" s="42"/>
      <c r="F204" s="42"/>
      <c r="G204" s="42"/>
      <c r="H204" s="42"/>
      <c r="I204" s="42"/>
      <c r="J204" s="42"/>
      <c r="K204" s="42"/>
      <c r="L204" s="42"/>
      <c r="M204" s="42"/>
      <c r="N204" s="42"/>
      <c r="O204" s="42"/>
      <c r="P204" s="42"/>
      <c r="Q204" s="42"/>
      <c r="R204" s="42"/>
      <c r="S204" s="56"/>
      <c r="T204" s="56"/>
      <c r="U204" s="56"/>
      <c r="V204" s="56"/>
      <c r="W204" s="56"/>
      <c r="X204" s="56"/>
      <c r="Y204" s="56"/>
      <c r="Z204" s="56"/>
      <c r="AA204" s="56"/>
      <c r="AB204" s="56"/>
      <c r="AC204" s="56"/>
      <c r="AD204" s="56"/>
      <c r="AE204" s="56"/>
      <c r="AF204" s="56"/>
      <c r="AG204" s="56"/>
      <c r="AH204" s="56"/>
      <c r="AI204" s="56"/>
      <c r="AJ204" s="56"/>
      <c r="AK204" s="56"/>
      <c r="AL204" s="56"/>
    </row>
    <row r="205" spans="1:38" ht="14.25" customHeight="1">
      <c r="A205" s="56"/>
      <c r="B205" s="721"/>
      <c r="C205" s="721"/>
      <c r="D205" s="717"/>
      <c r="E205" s="42"/>
      <c r="F205" s="42"/>
      <c r="G205" s="42"/>
      <c r="H205" s="42"/>
      <c r="I205" s="42"/>
      <c r="J205" s="42"/>
      <c r="K205" s="42"/>
      <c r="L205" s="42"/>
      <c r="M205" s="42"/>
      <c r="N205" s="42"/>
      <c r="O205" s="42"/>
      <c r="P205" s="42"/>
      <c r="Q205" s="42"/>
      <c r="R205" s="42"/>
      <c r="S205" s="56"/>
      <c r="T205" s="56"/>
      <c r="U205" s="56"/>
      <c r="V205" s="56"/>
      <c r="W205" s="56"/>
      <c r="X205" s="56"/>
      <c r="Y205" s="56"/>
      <c r="Z205" s="56"/>
      <c r="AA205" s="56"/>
      <c r="AB205" s="56"/>
      <c r="AC205" s="56"/>
      <c r="AD205" s="56"/>
      <c r="AE205" s="56"/>
      <c r="AF205" s="56"/>
      <c r="AG205" s="56"/>
      <c r="AH205" s="56"/>
      <c r="AI205" s="56"/>
      <c r="AJ205" s="56"/>
      <c r="AK205" s="56"/>
      <c r="AL205" s="56"/>
    </row>
    <row r="206" spans="1:38" ht="14.25" customHeight="1">
      <c r="A206" s="56"/>
      <c r="B206" s="721"/>
      <c r="C206" s="721"/>
      <c r="D206" s="717"/>
      <c r="E206" s="42"/>
      <c r="F206" s="42"/>
      <c r="G206" s="42"/>
      <c r="H206" s="42"/>
      <c r="I206" s="42"/>
      <c r="J206" s="42"/>
      <c r="K206" s="42"/>
      <c r="L206" s="42"/>
      <c r="M206" s="42"/>
      <c r="N206" s="42"/>
      <c r="O206" s="42"/>
      <c r="P206" s="42"/>
      <c r="Q206" s="42"/>
      <c r="R206" s="42"/>
      <c r="S206" s="56"/>
      <c r="T206" s="56"/>
      <c r="U206" s="56"/>
      <c r="V206" s="56"/>
      <c r="W206" s="56"/>
      <c r="X206" s="56"/>
      <c r="Y206" s="56"/>
      <c r="Z206" s="56"/>
      <c r="AA206" s="56"/>
      <c r="AB206" s="56"/>
      <c r="AC206" s="56"/>
      <c r="AD206" s="56"/>
      <c r="AE206" s="56"/>
      <c r="AF206" s="56"/>
      <c r="AG206" s="56"/>
      <c r="AH206" s="56"/>
      <c r="AI206" s="56"/>
      <c r="AJ206" s="56"/>
      <c r="AK206" s="56"/>
      <c r="AL206" s="56"/>
    </row>
    <row r="207" spans="1:38" ht="14.25" customHeight="1">
      <c r="A207" s="56"/>
      <c r="B207" s="721"/>
      <c r="C207" s="721"/>
      <c r="D207" s="717"/>
      <c r="E207" s="42"/>
      <c r="F207" s="42"/>
      <c r="G207" s="42"/>
      <c r="H207" s="42"/>
      <c r="I207" s="42"/>
      <c r="J207" s="42"/>
      <c r="K207" s="42"/>
      <c r="L207" s="42"/>
      <c r="M207" s="42"/>
      <c r="N207" s="42"/>
      <c r="O207" s="42"/>
      <c r="P207" s="42"/>
      <c r="Q207" s="42"/>
      <c r="R207" s="42"/>
      <c r="S207" s="56"/>
      <c r="T207" s="56"/>
      <c r="U207" s="56"/>
      <c r="V207" s="56"/>
      <c r="W207" s="56"/>
      <c r="X207" s="56"/>
      <c r="Y207" s="56"/>
      <c r="Z207" s="56"/>
      <c r="AA207" s="56"/>
      <c r="AB207" s="56"/>
      <c r="AC207" s="56"/>
      <c r="AD207" s="56"/>
      <c r="AE207" s="56"/>
      <c r="AF207" s="56"/>
      <c r="AG207" s="56"/>
      <c r="AH207" s="56"/>
      <c r="AI207" s="56"/>
      <c r="AJ207" s="56"/>
      <c r="AK207" s="56"/>
      <c r="AL207" s="56"/>
    </row>
    <row r="208" spans="1:38" ht="14.25" customHeight="1">
      <c r="A208" s="56"/>
      <c r="B208" s="721"/>
      <c r="C208" s="721"/>
      <c r="D208" s="717"/>
      <c r="E208" s="42"/>
      <c r="F208" s="42"/>
      <c r="G208" s="42"/>
      <c r="H208" s="42"/>
      <c r="I208" s="42"/>
      <c r="J208" s="42"/>
      <c r="K208" s="42"/>
      <c r="L208" s="42"/>
      <c r="M208" s="42"/>
      <c r="N208" s="42"/>
      <c r="O208" s="42"/>
      <c r="P208" s="42"/>
      <c r="Q208" s="42"/>
      <c r="R208" s="42"/>
      <c r="S208" s="56"/>
      <c r="T208" s="56"/>
      <c r="U208" s="56"/>
      <c r="V208" s="56"/>
      <c r="W208" s="56"/>
      <c r="X208" s="56"/>
      <c r="Y208" s="56"/>
      <c r="Z208" s="56"/>
      <c r="AA208" s="56"/>
      <c r="AB208" s="56"/>
      <c r="AC208" s="56"/>
      <c r="AD208" s="56"/>
      <c r="AE208" s="56"/>
      <c r="AF208" s="56"/>
      <c r="AG208" s="56"/>
      <c r="AH208" s="56"/>
      <c r="AI208" s="56"/>
      <c r="AJ208" s="56"/>
      <c r="AK208" s="56"/>
      <c r="AL208" s="56"/>
    </row>
    <row r="209" spans="1:38" ht="14.25" customHeight="1">
      <c r="A209" s="56"/>
      <c r="B209" s="721"/>
      <c r="C209" s="721"/>
      <c r="D209" s="717"/>
      <c r="E209" s="42"/>
      <c r="F209" s="42"/>
      <c r="G209" s="42"/>
      <c r="H209" s="42"/>
      <c r="I209" s="42"/>
      <c r="J209" s="42"/>
      <c r="K209" s="42"/>
      <c r="L209" s="42"/>
      <c r="M209" s="42"/>
      <c r="N209" s="42"/>
      <c r="O209" s="42"/>
      <c r="P209" s="42"/>
      <c r="Q209" s="42"/>
      <c r="R209" s="42"/>
      <c r="S209" s="56"/>
      <c r="T209" s="56"/>
      <c r="U209" s="56"/>
      <c r="V209" s="56"/>
      <c r="W209" s="56"/>
      <c r="X209" s="56"/>
      <c r="Y209" s="56"/>
      <c r="Z209" s="56"/>
      <c r="AA209" s="56"/>
      <c r="AB209" s="56"/>
      <c r="AC209" s="56"/>
      <c r="AD209" s="56"/>
      <c r="AE209" s="56"/>
      <c r="AF209" s="56"/>
      <c r="AG209" s="56"/>
      <c r="AH209" s="56"/>
      <c r="AI209" s="56"/>
      <c r="AJ209" s="56"/>
      <c r="AK209" s="56"/>
      <c r="AL209" s="56"/>
    </row>
    <row r="210" spans="1:38" ht="14.25" customHeight="1">
      <c r="A210" s="56"/>
      <c r="B210" s="721"/>
      <c r="C210" s="721"/>
      <c r="D210" s="717"/>
      <c r="E210" s="42"/>
      <c r="F210" s="42"/>
      <c r="G210" s="42"/>
      <c r="H210" s="42"/>
      <c r="I210" s="42"/>
      <c r="J210" s="42"/>
      <c r="K210" s="42"/>
      <c r="L210" s="42"/>
      <c r="M210" s="42"/>
      <c r="N210" s="42"/>
      <c r="O210" s="42"/>
      <c r="P210" s="42"/>
      <c r="Q210" s="42"/>
      <c r="R210" s="42"/>
      <c r="S210" s="56"/>
      <c r="T210" s="56"/>
      <c r="U210" s="56"/>
      <c r="V210" s="56"/>
      <c r="W210" s="56"/>
      <c r="X210" s="56"/>
      <c r="Y210" s="56"/>
      <c r="Z210" s="56"/>
      <c r="AA210" s="56"/>
      <c r="AB210" s="56"/>
      <c r="AC210" s="56"/>
      <c r="AD210" s="56"/>
      <c r="AE210" s="56"/>
      <c r="AF210" s="56"/>
      <c r="AG210" s="56"/>
      <c r="AH210" s="56"/>
      <c r="AI210" s="56"/>
      <c r="AJ210" s="56"/>
      <c r="AK210" s="56"/>
      <c r="AL210" s="56"/>
    </row>
    <row r="211" spans="1:38" ht="14.25" customHeight="1">
      <c r="A211" s="56"/>
      <c r="B211" s="721"/>
      <c r="C211" s="721"/>
      <c r="D211" s="717"/>
      <c r="E211" s="42"/>
      <c r="F211" s="42"/>
      <c r="G211" s="42"/>
      <c r="H211" s="42"/>
      <c r="I211" s="42"/>
      <c r="J211" s="42"/>
      <c r="K211" s="42"/>
      <c r="L211" s="42"/>
      <c r="M211" s="42"/>
      <c r="N211" s="42"/>
      <c r="O211" s="42"/>
      <c r="P211" s="42"/>
      <c r="Q211" s="42"/>
      <c r="R211" s="42"/>
      <c r="S211" s="56"/>
      <c r="T211" s="56"/>
      <c r="U211" s="56"/>
      <c r="V211" s="56"/>
      <c r="W211" s="56"/>
      <c r="X211" s="56"/>
      <c r="Y211" s="56"/>
      <c r="Z211" s="56"/>
      <c r="AA211" s="56"/>
      <c r="AB211" s="56"/>
      <c r="AC211" s="56"/>
      <c r="AD211" s="56"/>
      <c r="AE211" s="56"/>
      <c r="AF211" s="56"/>
      <c r="AG211" s="56"/>
      <c r="AH211" s="56"/>
      <c r="AI211" s="56"/>
      <c r="AJ211" s="56"/>
      <c r="AK211" s="56"/>
      <c r="AL211" s="56"/>
    </row>
    <row r="212" spans="1:38" ht="14.25" customHeight="1">
      <c r="A212" s="56"/>
      <c r="B212" s="721"/>
      <c r="C212" s="721"/>
      <c r="D212" s="717"/>
      <c r="E212" s="42"/>
      <c r="F212" s="42"/>
      <c r="G212" s="42"/>
      <c r="H212" s="42"/>
      <c r="I212" s="42"/>
      <c r="J212" s="42"/>
      <c r="K212" s="42"/>
      <c r="L212" s="42"/>
      <c r="M212" s="42"/>
      <c r="N212" s="42"/>
      <c r="O212" s="42"/>
      <c r="P212" s="42"/>
      <c r="Q212" s="42"/>
      <c r="R212" s="42"/>
      <c r="S212" s="56"/>
      <c r="T212" s="56"/>
      <c r="U212" s="56"/>
      <c r="V212" s="56"/>
      <c r="W212" s="56"/>
      <c r="X212" s="56"/>
      <c r="Y212" s="56"/>
      <c r="Z212" s="56"/>
      <c r="AA212" s="56"/>
      <c r="AB212" s="56"/>
      <c r="AC212" s="56"/>
      <c r="AD212" s="56"/>
      <c r="AE212" s="56"/>
      <c r="AF212" s="56"/>
      <c r="AG212" s="56"/>
      <c r="AH212" s="56"/>
      <c r="AI212" s="56"/>
      <c r="AJ212" s="56"/>
      <c r="AK212" s="56"/>
      <c r="AL212" s="56"/>
    </row>
    <row r="213" spans="1:38" ht="14.25" customHeight="1">
      <c r="A213" s="56"/>
      <c r="B213" s="721"/>
      <c r="C213" s="721"/>
      <c r="D213" s="717"/>
      <c r="E213" s="42"/>
      <c r="F213" s="42"/>
      <c r="G213" s="42"/>
      <c r="H213" s="42"/>
      <c r="I213" s="42"/>
      <c r="J213" s="42"/>
      <c r="K213" s="42"/>
      <c r="L213" s="42"/>
      <c r="M213" s="42"/>
      <c r="N213" s="42"/>
      <c r="O213" s="42"/>
      <c r="P213" s="42"/>
      <c r="Q213" s="42"/>
      <c r="R213" s="42"/>
      <c r="S213" s="56"/>
      <c r="T213" s="56"/>
      <c r="U213" s="56"/>
      <c r="V213" s="56"/>
      <c r="W213" s="56"/>
      <c r="X213" s="56"/>
      <c r="Y213" s="56"/>
      <c r="Z213" s="56"/>
      <c r="AA213" s="56"/>
      <c r="AB213" s="56"/>
      <c r="AC213" s="56"/>
      <c r="AD213" s="56"/>
      <c r="AE213" s="56"/>
      <c r="AF213" s="56"/>
      <c r="AG213" s="56"/>
      <c r="AH213" s="56"/>
      <c r="AI213" s="56"/>
      <c r="AJ213" s="56"/>
      <c r="AK213" s="56"/>
      <c r="AL213" s="56"/>
    </row>
    <row r="214" spans="1:38" ht="14.25" customHeight="1">
      <c r="A214" s="56"/>
      <c r="B214" s="721"/>
      <c r="C214" s="721"/>
      <c r="D214" s="717"/>
      <c r="E214" s="42"/>
      <c r="F214" s="42"/>
      <c r="G214" s="42"/>
      <c r="H214" s="42"/>
      <c r="I214" s="42"/>
      <c r="J214" s="42"/>
      <c r="K214" s="42"/>
      <c r="L214" s="42"/>
      <c r="M214" s="42"/>
      <c r="N214" s="42"/>
      <c r="O214" s="42"/>
      <c r="P214" s="42"/>
      <c r="Q214" s="42"/>
      <c r="R214" s="42"/>
      <c r="S214" s="56"/>
      <c r="T214" s="56"/>
      <c r="U214" s="56"/>
      <c r="V214" s="56"/>
      <c r="W214" s="56"/>
      <c r="X214" s="56"/>
      <c r="Y214" s="56"/>
      <c r="Z214" s="56"/>
      <c r="AA214" s="56"/>
      <c r="AB214" s="56"/>
      <c r="AC214" s="56"/>
      <c r="AD214" s="56"/>
      <c r="AE214" s="56"/>
      <c r="AF214" s="56"/>
      <c r="AG214" s="56"/>
      <c r="AH214" s="56"/>
      <c r="AI214" s="56"/>
      <c r="AJ214" s="56"/>
      <c r="AK214" s="56"/>
      <c r="AL214" s="56"/>
    </row>
    <row r="215" spans="1:38" ht="14.25" customHeight="1">
      <c r="A215" s="56"/>
      <c r="B215" s="721"/>
      <c r="C215" s="721"/>
      <c r="D215" s="717"/>
      <c r="E215" s="42"/>
      <c r="F215" s="42"/>
      <c r="G215" s="42"/>
      <c r="H215" s="42"/>
      <c r="I215" s="42"/>
      <c r="J215" s="42"/>
      <c r="K215" s="42"/>
      <c r="L215" s="42"/>
      <c r="M215" s="42"/>
      <c r="N215" s="42"/>
      <c r="O215" s="42"/>
      <c r="P215" s="42"/>
      <c r="Q215" s="42"/>
      <c r="R215" s="42"/>
      <c r="S215" s="56"/>
      <c r="T215" s="56"/>
      <c r="U215" s="56"/>
      <c r="V215" s="56"/>
      <c r="W215" s="56"/>
      <c r="X215" s="56"/>
      <c r="Y215" s="56"/>
      <c r="Z215" s="56"/>
      <c r="AA215" s="56"/>
      <c r="AB215" s="56"/>
      <c r="AC215" s="56"/>
      <c r="AD215" s="56"/>
      <c r="AE215" s="56"/>
      <c r="AF215" s="56"/>
      <c r="AG215" s="56"/>
      <c r="AH215" s="56"/>
      <c r="AI215" s="56"/>
      <c r="AJ215" s="56"/>
      <c r="AK215" s="56"/>
      <c r="AL215" s="56"/>
    </row>
    <row r="216" spans="1:38" ht="14.25" customHeight="1">
      <c r="A216" s="56"/>
      <c r="B216" s="721"/>
      <c r="C216" s="721"/>
      <c r="D216" s="717"/>
      <c r="E216" s="42"/>
      <c r="F216" s="42"/>
      <c r="G216" s="42"/>
      <c r="H216" s="42"/>
      <c r="I216" s="42"/>
      <c r="J216" s="42"/>
      <c r="K216" s="42"/>
      <c r="L216" s="42"/>
      <c r="M216" s="42"/>
      <c r="N216" s="42"/>
      <c r="O216" s="42"/>
      <c r="P216" s="42"/>
      <c r="Q216" s="42"/>
      <c r="R216" s="42"/>
      <c r="S216" s="56"/>
      <c r="T216" s="56"/>
      <c r="U216" s="56"/>
      <c r="V216" s="56"/>
      <c r="W216" s="56"/>
      <c r="X216" s="56"/>
      <c r="Y216" s="56"/>
      <c r="Z216" s="56"/>
      <c r="AA216" s="56"/>
      <c r="AB216" s="56"/>
      <c r="AC216" s="56"/>
      <c r="AD216" s="56"/>
      <c r="AE216" s="56"/>
      <c r="AF216" s="56"/>
      <c r="AG216" s="56"/>
      <c r="AH216" s="56"/>
      <c r="AI216" s="56"/>
      <c r="AJ216" s="56"/>
      <c r="AK216" s="56"/>
      <c r="AL216" s="56"/>
    </row>
    <row r="217" spans="1:38" ht="14.25" customHeight="1">
      <c r="A217" s="56"/>
      <c r="B217" s="721"/>
      <c r="C217" s="721"/>
      <c r="D217" s="717"/>
      <c r="E217" s="42"/>
      <c r="F217" s="42"/>
      <c r="G217" s="42"/>
      <c r="H217" s="42"/>
      <c r="I217" s="42"/>
      <c r="J217" s="42"/>
      <c r="K217" s="42"/>
      <c r="L217" s="42"/>
      <c r="M217" s="42"/>
      <c r="N217" s="42"/>
      <c r="O217" s="42"/>
      <c r="P217" s="42"/>
      <c r="Q217" s="42"/>
      <c r="R217" s="42"/>
      <c r="S217" s="56"/>
      <c r="T217" s="56"/>
      <c r="U217" s="56"/>
      <c r="V217" s="56"/>
      <c r="W217" s="56"/>
      <c r="X217" s="56"/>
      <c r="Y217" s="56"/>
      <c r="Z217" s="56"/>
      <c r="AA217" s="56"/>
      <c r="AB217" s="56"/>
      <c r="AC217" s="56"/>
      <c r="AD217" s="56"/>
      <c r="AE217" s="56"/>
      <c r="AF217" s="56"/>
      <c r="AG217" s="56"/>
      <c r="AH217" s="56"/>
      <c r="AI217" s="56"/>
      <c r="AJ217" s="56"/>
      <c r="AK217" s="56"/>
      <c r="AL217" s="56"/>
    </row>
    <row r="218" spans="1:38" ht="14.25" customHeight="1">
      <c r="A218" s="56"/>
      <c r="B218" s="721"/>
      <c r="C218" s="721"/>
      <c r="D218" s="717"/>
      <c r="E218" s="42"/>
      <c r="F218" s="42"/>
      <c r="G218" s="42"/>
      <c r="H218" s="42"/>
      <c r="I218" s="42"/>
      <c r="J218" s="42"/>
      <c r="K218" s="42"/>
      <c r="L218" s="42"/>
      <c r="M218" s="42"/>
      <c r="N218" s="42"/>
      <c r="O218" s="42"/>
      <c r="P218" s="42"/>
      <c r="Q218" s="42"/>
      <c r="R218" s="42"/>
      <c r="S218" s="56"/>
      <c r="T218" s="56"/>
      <c r="U218" s="56"/>
      <c r="V218" s="56"/>
      <c r="W218" s="56"/>
      <c r="X218" s="56"/>
      <c r="Y218" s="56"/>
      <c r="Z218" s="56"/>
      <c r="AA218" s="56"/>
      <c r="AB218" s="56"/>
      <c r="AC218" s="56"/>
      <c r="AD218" s="56"/>
      <c r="AE218" s="56"/>
      <c r="AF218" s="56"/>
      <c r="AG218" s="56"/>
      <c r="AH218" s="56"/>
      <c r="AI218" s="56"/>
      <c r="AJ218" s="56"/>
      <c r="AK218" s="56"/>
      <c r="AL218" s="56"/>
    </row>
    <row r="219" spans="1:38" ht="14.25" customHeight="1">
      <c r="A219" s="56"/>
      <c r="B219" s="721"/>
      <c r="C219" s="721"/>
      <c r="D219" s="717"/>
      <c r="E219" s="42"/>
      <c r="F219" s="42"/>
      <c r="G219" s="42"/>
      <c r="H219" s="42"/>
      <c r="I219" s="42"/>
      <c r="J219" s="42"/>
      <c r="K219" s="42"/>
      <c r="L219" s="42"/>
      <c r="M219" s="42"/>
      <c r="N219" s="42"/>
      <c r="O219" s="42"/>
      <c r="P219" s="42"/>
      <c r="Q219" s="42"/>
      <c r="R219" s="42"/>
      <c r="S219" s="56"/>
      <c r="T219" s="56"/>
      <c r="U219" s="56"/>
      <c r="V219" s="56"/>
      <c r="W219" s="56"/>
      <c r="X219" s="56"/>
      <c r="Y219" s="56"/>
      <c r="Z219" s="56"/>
      <c r="AA219" s="56"/>
      <c r="AB219" s="56"/>
      <c r="AC219" s="56"/>
      <c r="AD219" s="56"/>
      <c r="AE219" s="56"/>
      <c r="AF219" s="56"/>
      <c r="AG219" s="56"/>
      <c r="AH219" s="56"/>
      <c r="AI219" s="56"/>
      <c r="AJ219" s="56"/>
      <c r="AK219" s="56"/>
      <c r="AL219" s="56"/>
    </row>
    <row r="220" spans="1:38" ht="14.25" customHeight="1">
      <c r="A220" s="56"/>
      <c r="B220" s="721"/>
      <c r="C220" s="721"/>
      <c r="D220" s="717"/>
      <c r="E220" s="42"/>
      <c r="F220" s="42"/>
      <c r="G220" s="42"/>
      <c r="H220" s="42"/>
      <c r="I220" s="42"/>
      <c r="J220" s="42"/>
      <c r="K220" s="42"/>
      <c r="L220" s="42"/>
      <c r="M220" s="42"/>
      <c r="N220" s="42"/>
      <c r="O220" s="42"/>
      <c r="P220" s="42"/>
      <c r="Q220" s="42"/>
      <c r="R220" s="42"/>
      <c r="S220" s="56"/>
      <c r="T220" s="56"/>
      <c r="U220" s="56"/>
      <c r="V220" s="56"/>
      <c r="W220" s="56"/>
      <c r="X220" s="56"/>
      <c r="Y220" s="56"/>
      <c r="Z220" s="56"/>
      <c r="AA220" s="56"/>
      <c r="AB220" s="56"/>
      <c r="AC220" s="56"/>
      <c r="AD220" s="56"/>
      <c r="AE220" s="56"/>
      <c r="AF220" s="56"/>
      <c r="AG220" s="56"/>
      <c r="AH220" s="56"/>
      <c r="AI220" s="56"/>
      <c r="AJ220" s="56"/>
      <c r="AK220" s="56"/>
      <c r="AL220" s="56"/>
    </row>
    <row r="221" spans="1:38" ht="14.25" customHeight="1">
      <c r="A221" s="56"/>
      <c r="B221" s="721"/>
      <c r="C221" s="721"/>
      <c r="D221" s="717"/>
      <c r="E221" s="42"/>
      <c r="F221" s="42"/>
      <c r="G221" s="42"/>
      <c r="H221" s="42"/>
      <c r="I221" s="42"/>
      <c r="J221" s="42"/>
      <c r="K221" s="42"/>
      <c r="L221" s="42"/>
      <c r="M221" s="42"/>
      <c r="N221" s="42"/>
      <c r="O221" s="42"/>
      <c r="P221" s="42"/>
      <c r="Q221" s="42"/>
      <c r="R221" s="42"/>
      <c r="S221" s="56"/>
      <c r="T221" s="56"/>
      <c r="U221" s="56"/>
      <c r="V221" s="56"/>
      <c r="W221" s="56"/>
      <c r="X221" s="56"/>
      <c r="Y221" s="56"/>
      <c r="Z221" s="56"/>
      <c r="AA221" s="56"/>
      <c r="AB221" s="56"/>
      <c r="AC221" s="56"/>
      <c r="AD221" s="56"/>
      <c r="AE221" s="56"/>
      <c r="AF221" s="56"/>
      <c r="AG221" s="56"/>
      <c r="AH221" s="56"/>
      <c r="AI221" s="56"/>
      <c r="AJ221" s="56"/>
      <c r="AK221" s="56"/>
      <c r="AL221" s="56"/>
    </row>
    <row r="222" spans="1:38" ht="14.25" customHeight="1">
      <c r="A222" s="56"/>
      <c r="B222" s="721"/>
      <c r="C222" s="721"/>
      <c r="D222" s="717"/>
      <c r="E222" s="42"/>
      <c r="F222" s="42"/>
      <c r="G222" s="42"/>
      <c r="H222" s="42"/>
      <c r="I222" s="42"/>
      <c r="J222" s="42"/>
      <c r="K222" s="42"/>
      <c r="L222" s="42"/>
      <c r="M222" s="42"/>
      <c r="N222" s="42"/>
      <c r="O222" s="42"/>
      <c r="P222" s="42"/>
      <c r="Q222" s="42"/>
      <c r="R222" s="42"/>
      <c r="S222" s="56"/>
      <c r="T222" s="56"/>
      <c r="U222" s="56"/>
      <c r="V222" s="56"/>
      <c r="W222" s="56"/>
      <c r="X222" s="56"/>
      <c r="Y222" s="56"/>
      <c r="Z222" s="56"/>
      <c r="AA222" s="56"/>
      <c r="AB222" s="56"/>
      <c r="AC222" s="56"/>
      <c r="AD222" s="56"/>
      <c r="AE222" s="56"/>
      <c r="AF222" s="56"/>
      <c r="AG222" s="56"/>
      <c r="AH222" s="56"/>
      <c r="AI222" s="56"/>
      <c r="AJ222" s="56"/>
      <c r="AK222" s="56"/>
      <c r="AL222" s="56"/>
    </row>
    <row r="223" spans="1:38" ht="14.25" customHeight="1">
      <c r="A223" s="56"/>
      <c r="B223" s="721"/>
      <c r="C223" s="721"/>
      <c r="D223" s="717"/>
      <c r="E223" s="42"/>
      <c r="F223" s="42"/>
      <c r="G223" s="42"/>
      <c r="H223" s="42"/>
      <c r="I223" s="42"/>
      <c r="J223" s="42"/>
      <c r="K223" s="42"/>
      <c r="L223" s="42"/>
      <c r="M223" s="42"/>
      <c r="N223" s="42"/>
      <c r="O223" s="42"/>
      <c r="P223" s="42"/>
      <c r="Q223" s="42"/>
      <c r="R223" s="42"/>
      <c r="S223" s="56"/>
      <c r="T223" s="56"/>
      <c r="U223" s="56"/>
      <c r="V223" s="56"/>
      <c r="W223" s="56"/>
      <c r="X223" s="56"/>
      <c r="Y223" s="56"/>
      <c r="Z223" s="56"/>
      <c r="AA223" s="56"/>
      <c r="AB223" s="56"/>
      <c r="AC223" s="56"/>
      <c r="AD223" s="56"/>
      <c r="AE223" s="56"/>
      <c r="AF223" s="56"/>
      <c r="AG223" s="56"/>
      <c r="AH223" s="56"/>
      <c r="AI223" s="56"/>
      <c r="AJ223" s="56"/>
      <c r="AK223" s="56"/>
      <c r="AL223" s="56"/>
    </row>
    <row r="224" spans="1:38" ht="14.25" customHeight="1">
      <c r="A224" s="56"/>
      <c r="B224" s="721"/>
      <c r="C224" s="721"/>
      <c r="D224" s="717"/>
      <c r="E224" s="42"/>
      <c r="F224" s="42"/>
      <c r="G224" s="42"/>
      <c r="H224" s="42"/>
      <c r="I224" s="42"/>
      <c r="J224" s="42"/>
      <c r="K224" s="42"/>
      <c r="L224" s="42"/>
      <c r="M224" s="42"/>
      <c r="N224" s="42"/>
      <c r="O224" s="42"/>
      <c r="P224" s="42"/>
      <c r="Q224" s="42"/>
      <c r="R224" s="42"/>
      <c r="S224" s="56"/>
      <c r="T224" s="56"/>
      <c r="U224" s="56"/>
      <c r="V224" s="56"/>
      <c r="W224" s="56"/>
      <c r="X224" s="56"/>
      <c r="Y224" s="56"/>
      <c r="Z224" s="56"/>
      <c r="AA224" s="56"/>
      <c r="AB224" s="56"/>
      <c r="AC224" s="56"/>
      <c r="AD224" s="56"/>
      <c r="AE224" s="56"/>
      <c r="AF224" s="56"/>
      <c r="AG224" s="56"/>
      <c r="AH224" s="56"/>
      <c r="AI224" s="56"/>
      <c r="AJ224" s="56"/>
      <c r="AK224" s="56"/>
      <c r="AL224" s="56"/>
    </row>
    <row r="225" spans="1:38" ht="14.25" customHeight="1">
      <c r="A225" s="56"/>
      <c r="B225" s="721"/>
      <c r="C225" s="721"/>
      <c r="D225" s="717"/>
      <c r="E225" s="42"/>
      <c r="F225" s="42"/>
      <c r="G225" s="42"/>
      <c r="H225" s="42"/>
      <c r="I225" s="42"/>
      <c r="J225" s="42"/>
      <c r="K225" s="42"/>
      <c r="L225" s="42"/>
      <c r="M225" s="42"/>
      <c r="N225" s="42"/>
      <c r="O225" s="42"/>
      <c r="P225" s="42"/>
      <c r="Q225" s="42"/>
      <c r="R225" s="42"/>
      <c r="S225" s="56"/>
      <c r="T225" s="56"/>
      <c r="U225" s="56"/>
      <c r="V225" s="56"/>
      <c r="W225" s="56"/>
      <c r="X225" s="56"/>
      <c r="Y225" s="56"/>
      <c r="Z225" s="56"/>
      <c r="AA225" s="56"/>
      <c r="AB225" s="56"/>
      <c r="AC225" s="56"/>
      <c r="AD225" s="56"/>
      <c r="AE225" s="56"/>
      <c r="AF225" s="56"/>
      <c r="AG225" s="56"/>
      <c r="AH225" s="56"/>
      <c r="AI225" s="56"/>
      <c r="AJ225" s="56"/>
      <c r="AK225" s="56"/>
      <c r="AL225" s="56"/>
    </row>
    <row r="226" spans="1:38" ht="14.25" customHeight="1">
      <c r="A226" s="56"/>
      <c r="B226" s="721"/>
      <c r="C226" s="721"/>
      <c r="D226" s="717"/>
      <c r="E226" s="42"/>
      <c r="F226" s="42"/>
      <c r="G226" s="42"/>
      <c r="H226" s="42"/>
      <c r="I226" s="42"/>
      <c r="J226" s="42"/>
      <c r="K226" s="42"/>
      <c r="L226" s="42"/>
      <c r="M226" s="42"/>
      <c r="N226" s="42"/>
      <c r="O226" s="42"/>
      <c r="P226" s="42"/>
      <c r="Q226" s="42"/>
      <c r="R226" s="42"/>
      <c r="S226" s="56"/>
      <c r="T226" s="56"/>
      <c r="U226" s="56"/>
      <c r="V226" s="56"/>
      <c r="W226" s="56"/>
      <c r="X226" s="56"/>
      <c r="Y226" s="56"/>
      <c r="Z226" s="56"/>
      <c r="AA226" s="56"/>
      <c r="AB226" s="56"/>
      <c r="AC226" s="56"/>
      <c r="AD226" s="56"/>
      <c r="AE226" s="56"/>
      <c r="AF226" s="56"/>
      <c r="AG226" s="56"/>
      <c r="AH226" s="56"/>
      <c r="AI226" s="56"/>
      <c r="AJ226" s="56"/>
      <c r="AK226" s="56"/>
      <c r="AL226" s="56"/>
    </row>
    <row r="227" spans="1:38" ht="14.2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row>
    <row r="228" spans="1:38" ht="14.2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row>
    <row r="229" spans="1:38" ht="14.2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row>
    <row r="230" spans="1:38" ht="14.2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row>
    <row r="231" spans="1:38" ht="14.2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row>
    <row r="232" spans="1:38" ht="14.2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row>
    <row r="233" spans="1:38" ht="14.2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row>
    <row r="234" spans="1:38" ht="14.2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row>
    <row r="235" spans="1:38" ht="14.2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row>
    <row r="236" spans="1:38" ht="14.2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row>
    <row r="237" spans="1:38" ht="14.2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row>
    <row r="238" spans="1:38" ht="14.2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row>
    <row r="239" spans="1:38" ht="14.2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row>
    <row r="240" spans="1:38" ht="14.2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row>
    <row r="241" spans="1:38" ht="14.2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row>
    <row r="242" spans="1:38" ht="14.2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row>
    <row r="243" spans="1:38" ht="14.2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row>
    <row r="244" spans="1:38" ht="14.2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row>
    <row r="245" spans="1:38" ht="14.2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row>
    <row r="246" spans="1:38" ht="14.2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row>
    <row r="247" spans="1:38" ht="14.2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row>
    <row r="248" spans="1:38" ht="14.2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row>
    <row r="249" spans="1:38" ht="14.2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row>
    <row r="250" spans="1:38" ht="14.2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row>
    <row r="251" spans="1:38" ht="14.2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row>
    <row r="252" spans="1:38" ht="14.2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row>
    <row r="253" spans="1:38" ht="14.2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row>
    <row r="254" spans="1:38" ht="14.2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row>
    <row r="255" spans="1:38" ht="14.2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row>
    <row r="256" spans="1:38" ht="14.2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row>
    <row r="257" spans="1:38" ht="14.2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row>
    <row r="258" spans="1:38" ht="14.2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row>
    <row r="259" spans="1:38" ht="14.2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row>
    <row r="260" spans="1:38" ht="14.2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row>
    <row r="261" spans="1:38" ht="14.2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row>
    <row r="262" spans="1:38" ht="14.2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row>
    <row r="263" spans="1:38" ht="14.2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row>
    <row r="264" spans="1:38" ht="14.2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row>
    <row r="265" spans="1:38" ht="14.2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row>
    <row r="266" spans="1:38" ht="14.2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row>
    <row r="267" spans="1:38" ht="14.2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row>
    <row r="268" spans="1:38" ht="14.2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row>
    <row r="269" spans="1:38" ht="14.2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row>
    <row r="270" spans="1:38" ht="14.2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row>
    <row r="271" spans="1:38" ht="14.2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row>
    <row r="272" spans="1:38" ht="14.2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row>
    <row r="273" spans="1:38" ht="14.2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row>
    <row r="274" spans="1:38" ht="14.2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row>
    <row r="275" spans="1:38" ht="14.2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row>
    <row r="276" spans="1:38" ht="14.2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row>
    <row r="277" spans="1:38" ht="14.2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row>
    <row r="278" spans="1:38" ht="14.2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row>
    <row r="279" spans="1:38" ht="14.2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row>
    <row r="280" spans="1:38" ht="14.2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row>
    <row r="281" spans="1:38" ht="14.2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row>
    <row r="282" spans="1:38" ht="14.2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row>
    <row r="283" spans="1:38" ht="14.2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row>
    <row r="284" spans="1:38" ht="14.2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row>
    <row r="285" spans="1:38" ht="14.2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row>
    <row r="286" spans="1:38" ht="14.2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row>
    <row r="287" spans="1:38" ht="14.2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row>
    <row r="288" spans="1:38" ht="14.2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row>
    <row r="289" spans="1:38" ht="14.2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row>
    <row r="290" spans="1:38" ht="14.2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row>
    <row r="291" spans="1:38" ht="14.2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row>
    <row r="292" spans="1:38" ht="14.2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row>
    <row r="293" spans="1:38" ht="14.2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row>
    <row r="294" spans="1:38" ht="14.2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row>
    <row r="295" spans="1:38" ht="14.2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row>
    <row r="296" spans="1:38" ht="14.2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row>
    <row r="297" spans="1:38" ht="14.2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row>
    <row r="298" spans="1:38" ht="14.2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row>
    <row r="299" spans="1:38" ht="14.2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row>
    <row r="300" spans="1:38" ht="14.2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row>
    <row r="301" spans="1:38" ht="14.2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row>
    <row r="302" spans="1:38" ht="14.2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row>
    <row r="303" spans="1:38" ht="14.2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row>
    <row r="304" spans="1:38" ht="14.2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row>
    <row r="305" spans="1:38" ht="14.2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row>
    <row r="306" spans="1:38" ht="14.2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row>
    <row r="307" spans="1:38" ht="14.2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row>
    <row r="308" spans="1:38" ht="14.2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row>
    <row r="309" spans="1:38" ht="14.2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row>
    <row r="310" spans="1:38" ht="14.2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row>
    <row r="311" spans="1:38" ht="14.2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row>
    <row r="312" spans="1:38" ht="14.2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row>
    <row r="313" spans="1:38" ht="14.2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row>
    <row r="314" spans="1:38" ht="14.2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row>
    <row r="315" spans="1:38" ht="14.2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row>
    <row r="316" spans="1:38" ht="14.2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row>
    <row r="317" spans="1:38" ht="14.2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row>
    <row r="318" spans="1:38" ht="14.2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row>
    <row r="319" spans="1:38" ht="14.2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row>
    <row r="320" spans="1:38" ht="14.2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row>
    <row r="321" spans="1:38" ht="14.2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row>
    <row r="322" spans="1:38" ht="14.2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row>
    <row r="323" spans="1:38" ht="14.2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row>
    <row r="324" spans="1:38" ht="14.2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row>
    <row r="325" spans="1:38" ht="14.2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row>
    <row r="326" spans="1:38" ht="14.2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row>
    <row r="327" spans="1:38" ht="14.2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row>
    <row r="328" spans="1:38" ht="14.2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row>
    <row r="329" spans="1:38" ht="14.2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row>
    <row r="330" spans="1:38" ht="14.2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row>
    <row r="331" spans="1:38" ht="14.2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row>
    <row r="332" spans="1:38" ht="14.2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row>
    <row r="333" spans="1:38" ht="14.2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row>
    <row r="334" spans="1:38" ht="14.2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row>
    <row r="335" spans="1:38" ht="14.2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row>
    <row r="336" spans="1:38" ht="14.2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row>
    <row r="337" spans="1:38" ht="14.2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row>
    <row r="338" spans="1:38" ht="14.2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row>
    <row r="339" spans="1:38" ht="14.2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row>
    <row r="340" spans="1:38" ht="14.2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row>
    <row r="341" spans="1:38" ht="14.2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row>
    <row r="342" spans="1:38" ht="14.2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row>
    <row r="343" spans="1:38" ht="14.2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row>
    <row r="344" spans="1:38" ht="14.2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row>
    <row r="345" spans="1:38" ht="14.2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row>
    <row r="346" spans="1:38" ht="14.2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row>
    <row r="347" spans="1:38" ht="14.2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row>
    <row r="348" spans="1:38" ht="14.2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row>
    <row r="349" spans="1:38" ht="14.2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row>
    <row r="350" spans="1:38" ht="14.2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row>
    <row r="351" spans="1:38" ht="14.2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row>
    <row r="352" spans="1:38" ht="14.2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row>
    <row r="353" spans="1:38" ht="14.2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row>
    <row r="354" spans="1:38" ht="14.2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row>
    <row r="355" spans="1:38" ht="14.2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row>
    <row r="356" spans="1:38" ht="14.2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row>
    <row r="357" spans="1:38" ht="14.2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row>
    <row r="358" spans="1:38" ht="14.2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row>
    <row r="359" spans="1:38" ht="14.2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row>
    <row r="360" spans="1:38" ht="14.2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row>
    <row r="361" spans="1:38" ht="14.2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row>
    <row r="362" spans="1:38" ht="14.2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row>
    <row r="363" spans="1:38" ht="14.2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row>
    <row r="364" spans="1:38" ht="14.2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row>
    <row r="365" spans="1:38" ht="14.2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row>
    <row r="366" spans="1:38" ht="14.2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row>
    <row r="367" spans="1:38" ht="14.2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row>
    <row r="368" spans="1:38" ht="14.2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row>
    <row r="369" spans="1:38" ht="14.2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row>
    <row r="370" spans="1:38" ht="14.2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row>
    <row r="371" spans="1:38" ht="14.2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row>
    <row r="372" spans="1:38" ht="14.2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row>
    <row r="373" spans="1:38" ht="14.2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row>
    <row r="374" spans="1:38" ht="14.2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row>
    <row r="375" spans="1:38" ht="14.2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row>
    <row r="376" spans="1:38" ht="14.2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row>
    <row r="377" spans="1:38" ht="14.2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row>
    <row r="378" spans="1:38" ht="14.2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row>
    <row r="379" spans="1:38" ht="14.2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row>
    <row r="380" spans="1:38" ht="14.2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row>
    <row r="381" spans="1:38" ht="14.2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row>
    <row r="382" spans="1:38" ht="14.2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row>
    <row r="383" spans="1:38" ht="14.2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row>
    <row r="384" spans="1:38" ht="14.2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row>
    <row r="385" spans="1:38" ht="14.2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row>
    <row r="386" spans="1:38" ht="14.2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row>
    <row r="387" spans="1:38" ht="14.2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row>
    <row r="388" spans="1:38" ht="14.2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row>
    <row r="389" spans="1:38" ht="14.2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row>
    <row r="390" spans="1:38"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row>
    <row r="391" spans="1:38"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row>
    <row r="392" spans="1:38"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row>
    <row r="393" spans="1:38"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row>
    <row r="394" spans="1:38"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row>
    <row r="395" spans="1:38"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row>
    <row r="396" spans="1:38"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row>
    <row r="397" spans="1:38"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row>
    <row r="398" spans="1:38"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row>
    <row r="399" spans="1:38"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row>
    <row r="400" spans="1:38"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row>
    <row r="401" spans="1:38"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row>
    <row r="402" spans="1:38"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row>
    <row r="403" spans="1:38"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row>
    <row r="404" spans="1:38"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row>
    <row r="405" spans="1:38"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row>
    <row r="406" spans="1:38"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row>
    <row r="407" spans="1:38"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row>
    <row r="408" spans="1:38"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row>
    <row r="409" spans="1:38"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row>
    <row r="410" spans="1:38"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row>
    <row r="411" spans="1:38"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row>
    <row r="412" spans="1:38"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row>
    <row r="413" spans="1:38"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row>
    <row r="414" spans="1:38"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row>
    <row r="415" spans="1:38"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row>
    <row r="416" spans="1:38"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row>
    <row r="417" spans="1:38" ht="14.2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row>
    <row r="418" spans="1:38" ht="14.2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row>
    <row r="419" spans="1:38" ht="14.2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row>
    <row r="420" spans="1:38" ht="14.2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row>
    <row r="421" spans="1:38" ht="14.2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row>
    <row r="422" spans="1:38" ht="14.2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row>
    <row r="423" spans="1:38" ht="14.2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row>
    <row r="424" spans="1:38" ht="14.2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row>
    <row r="425" spans="1:38" ht="14.2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row>
    <row r="426" spans="1:38" ht="14.2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row>
    <row r="427" spans="1:38" ht="14.2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row>
    <row r="428" spans="1:38" ht="14.2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row>
    <row r="429" spans="1:38" ht="14.2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row>
    <row r="430" spans="1:38" ht="14.2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row>
    <row r="431" spans="1:38" ht="14.2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row>
    <row r="432" spans="1:38" ht="14.2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row>
    <row r="433" spans="1:38" ht="14.2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row>
    <row r="434" spans="1:38" ht="14.2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row>
    <row r="435" spans="1:38" ht="14.2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row>
    <row r="436" spans="1:38" ht="14.2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row>
    <row r="437" spans="1:38" ht="14.2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row>
    <row r="438" spans="1:38" ht="14.2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row>
    <row r="439" spans="1:38" ht="14.2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row>
    <row r="440" spans="1:38" ht="14.2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row>
    <row r="441" spans="1:38" ht="14.2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row>
    <row r="442" spans="1:38" ht="14.2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row>
    <row r="443" spans="1:38" ht="14.2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row>
    <row r="444" spans="1:38" ht="14.2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row>
    <row r="445" spans="1:38" ht="14.2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row>
    <row r="446" spans="1:38" ht="14.2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row>
    <row r="447" spans="1:38" ht="14.2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row>
    <row r="448" spans="1:38" ht="14.2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row>
    <row r="449" spans="1:38" ht="14.2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row>
    <row r="450" spans="1:38" ht="14.2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row>
    <row r="451" spans="1:38" ht="14.2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row>
    <row r="452" spans="1:38" ht="14.2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row>
    <row r="453" spans="1:38" ht="14.2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row>
    <row r="454" spans="1:38" ht="14.2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row>
    <row r="455" spans="1:38" ht="14.2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row>
    <row r="456" spans="1:38" ht="14.2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row>
    <row r="457" spans="1:38" ht="14.2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row>
    <row r="458" spans="1:38" ht="14.2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row>
    <row r="459" spans="1:38" ht="14.2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row>
    <row r="460" spans="1:38" ht="14.2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row>
    <row r="461" spans="1:38" ht="14.2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row>
    <row r="462" spans="1:38" ht="14.2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row>
    <row r="463" spans="1:38" ht="14.2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row>
    <row r="464" spans="1:38" ht="14.2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row>
    <row r="465" spans="1:38" ht="14.2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row>
    <row r="466" spans="1:38" ht="14.2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row>
    <row r="467" spans="1:38" ht="14.2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row>
    <row r="468" spans="1:38" ht="14.2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row>
    <row r="469" spans="1:38" ht="14.2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row>
    <row r="470" spans="1:38" ht="14.2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row>
    <row r="471" spans="1:38" ht="14.2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row>
    <row r="472" spans="1:38" ht="14.2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row>
    <row r="473" spans="1:38" ht="14.2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row>
    <row r="474" spans="1:38" ht="14.2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row>
    <row r="475" spans="1:38" ht="14.2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row>
    <row r="476" spans="1:38" ht="14.2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row>
    <row r="477" spans="1:38" ht="14.2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row>
    <row r="478" spans="1:38" ht="14.2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row>
    <row r="479" spans="1:38" ht="14.2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row>
    <row r="480" spans="1:38" ht="14.2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row>
    <row r="481" spans="1:38" ht="14.2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row>
    <row r="482" spans="1:38" ht="14.2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row>
    <row r="483" spans="1:38" ht="14.2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row>
    <row r="484" spans="1:38" ht="14.2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row>
    <row r="485" spans="1:38" ht="14.2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row>
    <row r="486" spans="1:38" ht="14.2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row>
    <row r="487" spans="1:38" ht="14.2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row>
    <row r="488" spans="1:38" ht="14.2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row>
    <row r="489" spans="1:38" ht="14.2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row>
    <row r="490" spans="1:38" ht="14.2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row>
    <row r="491" spans="1:38" ht="14.2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row>
    <row r="492" spans="1:38" ht="14.2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row>
    <row r="493" spans="1:38" ht="14.2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row>
    <row r="494" spans="1:38" ht="14.2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row>
    <row r="495" spans="1:38" ht="14.2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row>
    <row r="496" spans="1:38" ht="14.2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row>
    <row r="497" spans="1:38" ht="14.2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row>
    <row r="498" spans="1:38" ht="14.2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row>
    <row r="499" spans="1:38" ht="14.2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row>
    <row r="500" spans="1:38" ht="14.2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row>
    <row r="501" spans="1:38" ht="14.2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row>
    <row r="502" spans="1:38" ht="14.2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row>
    <row r="503" spans="1:38" ht="14.2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row>
    <row r="504" spans="1:38" ht="14.2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row>
    <row r="505" spans="1:38" ht="14.2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row>
    <row r="506" spans="1:38" ht="14.2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row>
    <row r="507" spans="1:38" ht="14.2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row>
    <row r="508" spans="1:38" ht="14.2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row>
    <row r="509" spans="1:38" ht="14.2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row>
    <row r="510" spans="1:38" ht="14.2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row>
    <row r="511" spans="1:38" ht="14.2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row>
    <row r="512" spans="1:38" ht="14.2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row>
    <row r="513" spans="1:38" ht="14.2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row>
    <row r="514" spans="1:38" ht="14.2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row>
    <row r="515" spans="1:38" ht="14.2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row>
    <row r="516" spans="1:38" ht="14.2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row>
    <row r="517" spans="1:38" ht="14.2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row>
    <row r="518" spans="1:38" ht="14.2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row>
    <row r="519" spans="1:38" ht="14.2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row>
    <row r="520" spans="1:38" ht="14.2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row>
    <row r="521" spans="1:38" ht="14.2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row>
    <row r="522" spans="1:38" ht="14.2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row>
    <row r="523" spans="1:38" ht="14.2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row>
    <row r="524" spans="1:38" ht="14.2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row>
    <row r="525" spans="1:38" ht="14.2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row>
    <row r="526" spans="1:38" ht="14.2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row>
    <row r="527" spans="1:38" ht="14.2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row>
    <row r="528" spans="1:38" ht="14.2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row>
    <row r="529" spans="1:38" ht="14.2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row>
    <row r="530" spans="1:38" ht="14.2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row>
    <row r="531" spans="1:38" ht="14.2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row>
    <row r="532" spans="1:38" ht="14.2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row>
    <row r="533" spans="1:38" ht="14.2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row>
    <row r="534" spans="1:38" ht="14.2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row>
    <row r="535" spans="1:38" ht="14.2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row>
    <row r="536" spans="1:38" ht="14.2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row>
    <row r="537" spans="1:38" ht="14.2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row>
    <row r="538" spans="1:38" ht="14.2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row>
    <row r="539" spans="1:38" ht="14.2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row>
    <row r="540" spans="1:38" ht="14.2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row>
    <row r="541" spans="1:38" ht="14.2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row>
    <row r="542" spans="1:38" ht="14.2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row>
    <row r="543" spans="1:38" ht="14.2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row>
    <row r="544" spans="1:38" ht="14.2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row>
    <row r="545" spans="1:38" ht="14.2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row>
    <row r="546" spans="1:38" ht="14.2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row>
    <row r="547" spans="1:38" ht="14.2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row>
    <row r="548" spans="1:38" ht="14.2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row>
    <row r="549" spans="1:38" ht="14.2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row>
    <row r="550" spans="1:38" ht="14.2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row>
    <row r="551" spans="1:38" ht="14.2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row>
    <row r="552" spans="1:38" ht="14.2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row>
    <row r="553" spans="1:38" ht="14.2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row>
    <row r="554" spans="1:38" ht="14.2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row>
    <row r="555" spans="1:38" ht="14.2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row>
    <row r="556" spans="1:38" ht="14.2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row>
    <row r="557" spans="1:38" ht="14.2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row>
    <row r="558" spans="1:38" ht="14.2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row>
    <row r="559" spans="1:38" ht="14.2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row>
    <row r="560" spans="1:38" ht="14.2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row>
    <row r="561" spans="1:38" ht="14.2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row>
    <row r="562" spans="1:38" ht="14.2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row>
    <row r="563" spans="1:38" ht="14.2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row>
    <row r="564" spans="1:38" ht="14.2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row>
    <row r="565" spans="1:38" ht="14.2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row>
    <row r="566" spans="1:38" ht="14.2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row>
    <row r="567" spans="1:38" ht="14.2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row>
    <row r="568" spans="1:38" ht="14.2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row>
    <row r="569" spans="1:38" ht="14.2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row>
    <row r="570" spans="1:38" ht="14.2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row>
    <row r="571" spans="1:38" ht="14.2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row>
    <row r="572" spans="1:38" ht="14.2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row>
    <row r="573" spans="1:38" ht="14.2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row>
    <row r="574" spans="1:38" ht="14.2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row>
    <row r="575" spans="1:38" ht="14.2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row>
    <row r="576" spans="1:38" ht="14.2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row>
    <row r="577" spans="1:38" ht="14.2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row>
    <row r="578" spans="1:38" ht="14.2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row>
    <row r="579" spans="1:38" ht="14.2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row>
    <row r="580" spans="1:38" ht="14.2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row>
    <row r="581" spans="1:38" ht="14.2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row>
    <row r="582" spans="1:38" ht="14.2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row>
    <row r="583" spans="1:38" ht="14.2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row>
    <row r="584" spans="1:38" ht="14.2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row>
    <row r="585" spans="1:38" ht="14.2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row>
    <row r="586" spans="1:38" ht="14.2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row>
    <row r="587" spans="1:38" ht="14.2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row>
    <row r="588" spans="1:38" ht="14.2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row>
    <row r="589" spans="1:38" ht="14.2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row>
    <row r="590" spans="1:38" ht="14.2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row>
    <row r="591" spans="1:38" ht="14.2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row>
    <row r="592" spans="1:38" ht="14.2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row>
    <row r="593" spans="1:38" ht="14.2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row>
    <row r="594" spans="1:38" ht="14.2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row>
    <row r="595" spans="1:38" ht="14.2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row>
    <row r="596" spans="1:38" ht="14.2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row>
    <row r="597" spans="1:38" ht="14.2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row>
    <row r="598" spans="1:38" ht="14.2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row>
    <row r="599" spans="1:38" ht="14.2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row>
    <row r="600" spans="1:38" ht="14.2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row>
    <row r="601" spans="1:38" ht="14.2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row>
    <row r="602" spans="1:38" ht="14.2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row>
    <row r="603" spans="1:38" ht="14.2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row>
    <row r="604" spans="1:38" ht="14.2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row>
    <row r="605" spans="1:38" ht="14.2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row>
    <row r="606" spans="1:38" ht="14.2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row>
    <row r="607" spans="1:38" ht="14.2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row>
    <row r="608" spans="1:38" ht="14.2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row>
    <row r="609" spans="1:38" ht="14.2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row>
    <row r="610" spans="1:38" ht="14.2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row>
    <row r="611" spans="1:38" ht="14.2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row>
    <row r="612" spans="1:38" ht="14.2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row>
    <row r="613" spans="1:38" ht="14.2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row>
    <row r="614" spans="1:38" ht="14.2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row>
    <row r="615" spans="1:38" ht="14.2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row>
    <row r="616" spans="1:38" ht="14.2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row>
    <row r="617" spans="1:38" ht="14.2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row>
    <row r="618" spans="1:38" ht="14.2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row>
    <row r="619" spans="1:38" ht="14.2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row>
    <row r="620" spans="1:38" ht="14.2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row>
    <row r="621" spans="1:38" ht="14.2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row>
    <row r="622" spans="1:38" ht="14.2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row>
    <row r="623" spans="1:38" ht="14.2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row>
    <row r="624" spans="1:38" ht="14.2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row>
    <row r="625" spans="1:38" ht="14.2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row>
    <row r="626" spans="1:38" ht="14.2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row>
    <row r="627" spans="1:38" ht="14.2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row>
    <row r="628" spans="1:38" ht="14.2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row>
    <row r="629" spans="1:38" ht="14.2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row>
    <row r="630" spans="1:38" ht="14.2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row>
    <row r="631" spans="1:38" ht="14.2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row>
    <row r="632" spans="1:38" ht="14.2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row>
    <row r="633" spans="1:38" ht="14.2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row>
    <row r="634" spans="1:38" ht="14.2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row>
    <row r="635" spans="1:38" ht="14.2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row>
    <row r="636" spans="1:38" ht="14.2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row>
    <row r="637" spans="1:38" ht="14.2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row>
    <row r="638" spans="1:38" ht="14.2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row>
    <row r="639" spans="1:38" ht="14.2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row>
    <row r="640" spans="1:38" ht="14.2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row>
    <row r="641" spans="1:38" ht="14.2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row>
    <row r="642" spans="1:38" ht="14.2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row>
    <row r="643" spans="1:38" ht="14.2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row>
    <row r="644" spans="1:38" ht="14.2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row>
    <row r="645" spans="1:38" ht="14.2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row>
    <row r="646" spans="1:38" ht="14.2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row>
    <row r="647" spans="1:38" ht="14.2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row>
    <row r="648" spans="1:38" ht="14.2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row>
    <row r="649" spans="1:38" ht="14.2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row>
    <row r="650" spans="1:38" ht="14.2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row>
    <row r="651" spans="1:38" ht="14.2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row>
    <row r="652" spans="1:38" ht="14.2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row>
    <row r="653" spans="1:38" ht="14.2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row>
    <row r="654" spans="1:38" ht="14.2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row>
    <row r="655" spans="1:38" ht="14.2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row>
    <row r="656" spans="1:38" ht="14.2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row>
    <row r="657" spans="1:38" ht="14.2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row>
    <row r="658" spans="1:38" ht="14.2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row>
    <row r="659" spans="1:38" ht="14.2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row>
    <row r="660" spans="1:38" ht="14.2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row>
    <row r="661" spans="1:38" ht="14.2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row>
    <row r="662" spans="1:38" ht="14.2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row>
    <row r="663" spans="1:38" ht="14.2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row>
    <row r="664" spans="1:38" ht="14.2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row>
    <row r="665" spans="1:38" ht="14.2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row>
    <row r="666" spans="1:38" ht="14.2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row>
    <row r="667" spans="1:38" ht="14.2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row>
    <row r="668" spans="1:38" ht="14.2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row>
    <row r="669" spans="1:38" ht="14.2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row>
    <row r="670" spans="1:38" ht="14.2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row>
    <row r="671" spans="1:38" ht="14.2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row>
    <row r="672" spans="1:38" ht="14.2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row>
    <row r="673" spans="1:38" ht="14.2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row>
    <row r="674" spans="1:38" ht="14.2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row>
    <row r="675" spans="1:38" ht="14.2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row>
    <row r="676" spans="1:38" ht="14.2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row>
    <row r="677" spans="1:38" ht="14.2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row>
    <row r="678" spans="1:38" ht="14.2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row>
    <row r="679" spans="1:38" ht="14.2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row>
    <row r="680" spans="1:38" ht="14.2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row>
    <row r="681" spans="1:38" ht="14.2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row>
    <row r="682" spans="1:38" ht="14.2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row>
    <row r="683" spans="1:38" ht="14.2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row>
    <row r="684" spans="1:38" ht="14.2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row>
    <row r="685" spans="1:38" ht="14.2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row>
    <row r="686" spans="1:38" ht="14.2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row>
    <row r="687" spans="1:38" ht="14.2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row>
    <row r="688" spans="1:38" ht="14.2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row>
    <row r="689" spans="1:38" ht="14.2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row>
    <row r="690" spans="1:38" ht="14.2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row>
    <row r="691" spans="1:38" ht="14.2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row>
    <row r="692" spans="1:38" ht="14.2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row>
    <row r="693" spans="1:38" ht="14.2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row>
    <row r="694" spans="1:38" ht="14.2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row>
    <row r="695" spans="1:38" ht="14.2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row>
    <row r="696" spans="1:38" ht="14.2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row>
    <row r="697" spans="1:38" ht="14.2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row>
    <row r="698" spans="1:38" ht="14.2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row>
    <row r="699" spans="1:38" ht="14.2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row>
    <row r="700" spans="1:38" ht="14.2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row>
    <row r="701" spans="1:38" ht="14.2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row>
    <row r="702" spans="1:38" ht="14.2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row>
    <row r="703" spans="1:38" ht="14.2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row>
    <row r="704" spans="1:38" ht="14.2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row>
    <row r="705" spans="1:38" ht="14.2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row>
    <row r="706" spans="1:38" ht="14.2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row>
    <row r="707" spans="1:38" ht="14.2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row>
    <row r="708" spans="1:38" ht="14.2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row>
    <row r="709" spans="1:38" ht="14.2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row>
    <row r="710" spans="1:38" ht="14.2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row>
    <row r="711" spans="1:38" ht="14.2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row>
    <row r="712" spans="1:38" ht="14.2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row>
    <row r="713" spans="1:38" ht="14.2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row>
    <row r="714" spans="1:38" ht="14.25" customHeight="1">
      <c r="A714" s="56"/>
      <c r="B714" s="56"/>
      <c r="C714" s="56"/>
      <c r="D714" s="62"/>
      <c r="E714" s="56"/>
      <c r="F714" s="57"/>
      <c r="G714" s="57"/>
      <c r="H714" s="57"/>
      <c r="I714" s="57"/>
      <c r="J714" s="57"/>
      <c r="K714" s="58"/>
      <c r="L714" s="57"/>
      <c r="M714" s="57"/>
      <c r="N714" s="57"/>
      <c r="O714" s="57"/>
      <c r="P714" s="57"/>
      <c r="Q714" s="58"/>
      <c r="R714" s="57"/>
      <c r="S714" s="56"/>
      <c r="T714" s="56"/>
      <c r="U714" s="56"/>
      <c r="V714" s="56"/>
      <c r="W714" s="56"/>
      <c r="X714" s="56"/>
      <c r="Y714" s="56"/>
      <c r="Z714" s="56"/>
      <c r="AA714" s="56"/>
      <c r="AB714" s="56"/>
      <c r="AC714" s="56"/>
      <c r="AD714" s="56"/>
      <c r="AE714" s="56"/>
      <c r="AF714" s="56"/>
      <c r="AG714" s="56"/>
      <c r="AH714" s="56"/>
      <c r="AI714" s="56"/>
      <c r="AJ714" s="56"/>
      <c r="AK714" s="56"/>
      <c r="AL714" s="56"/>
    </row>
    <row r="715" spans="1:38" ht="14.25" customHeight="1">
      <c r="A715" s="56"/>
      <c r="B715" s="56"/>
      <c r="C715" s="56"/>
      <c r="D715" s="62"/>
      <c r="E715" s="56"/>
      <c r="F715" s="57"/>
      <c r="G715" s="57"/>
      <c r="H715" s="57"/>
      <c r="I715" s="57"/>
      <c r="J715" s="57"/>
      <c r="K715" s="58"/>
      <c r="L715" s="57"/>
      <c r="M715" s="57"/>
      <c r="N715" s="57"/>
      <c r="O715" s="57"/>
      <c r="P715" s="57"/>
      <c r="Q715" s="58"/>
      <c r="R715" s="57"/>
      <c r="S715" s="56"/>
      <c r="T715" s="56"/>
      <c r="U715" s="56"/>
      <c r="V715" s="56"/>
      <c r="W715" s="56"/>
      <c r="X715" s="56"/>
      <c r="Y715" s="56"/>
      <c r="Z715" s="56"/>
      <c r="AA715" s="56"/>
      <c r="AB715" s="56"/>
      <c r="AC715" s="56"/>
      <c r="AD715" s="56"/>
      <c r="AE715" s="56"/>
      <c r="AF715" s="56"/>
      <c r="AG715" s="56"/>
      <c r="AH715" s="56"/>
      <c r="AI715" s="56"/>
      <c r="AJ715" s="56"/>
      <c r="AK715" s="56"/>
      <c r="AL715" s="56"/>
    </row>
    <row r="716" spans="1:38" ht="14.25" customHeight="1">
      <c r="A716" s="56"/>
      <c r="B716" s="56"/>
      <c r="C716" s="56"/>
      <c r="D716" s="62"/>
      <c r="E716" s="56"/>
      <c r="F716" s="57"/>
      <c r="G716" s="57"/>
      <c r="H716" s="57"/>
      <c r="I716" s="57"/>
      <c r="J716" s="57"/>
      <c r="K716" s="58"/>
      <c r="L716" s="57"/>
      <c r="M716" s="57"/>
      <c r="N716" s="57"/>
      <c r="O716" s="57"/>
      <c r="P716" s="57"/>
      <c r="Q716" s="58"/>
      <c r="R716" s="57"/>
      <c r="S716" s="56"/>
      <c r="T716" s="56"/>
      <c r="U716" s="56"/>
      <c r="V716" s="56"/>
      <c r="W716" s="56"/>
      <c r="X716" s="56"/>
      <c r="Y716" s="56"/>
      <c r="Z716" s="56"/>
      <c r="AA716" s="56"/>
      <c r="AB716" s="56"/>
      <c r="AC716" s="56"/>
      <c r="AD716" s="56"/>
      <c r="AE716" s="56"/>
      <c r="AF716" s="56"/>
      <c r="AG716" s="56"/>
      <c r="AH716" s="56"/>
      <c r="AI716" s="56"/>
      <c r="AJ716" s="56"/>
      <c r="AK716" s="56"/>
      <c r="AL716" s="56"/>
    </row>
    <row r="717" spans="1:38" ht="14.25" customHeight="1">
      <c r="A717" s="56"/>
      <c r="B717" s="56"/>
      <c r="C717" s="56"/>
      <c r="D717" s="62"/>
      <c r="E717" s="56"/>
      <c r="F717" s="57"/>
      <c r="G717" s="57"/>
      <c r="H717" s="57"/>
      <c r="I717" s="57"/>
      <c r="J717" s="57"/>
      <c r="K717" s="58"/>
      <c r="L717" s="57"/>
      <c r="M717" s="57"/>
      <c r="N717" s="57"/>
      <c r="O717" s="57"/>
      <c r="P717" s="57"/>
      <c r="Q717" s="58"/>
      <c r="R717" s="57"/>
      <c r="S717" s="56"/>
      <c r="T717" s="56"/>
      <c r="U717" s="56"/>
      <c r="V717" s="56"/>
      <c r="W717" s="56"/>
      <c r="X717" s="56"/>
      <c r="Y717" s="56"/>
      <c r="Z717" s="56"/>
      <c r="AA717" s="56"/>
      <c r="AB717" s="56"/>
      <c r="AC717" s="56"/>
      <c r="AD717" s="56"/>
      <c r="AE717" s="56"/>
      <c r="AF717" s="56"/>
      <c r="AG717" s="56"/>
      <c r="AH717" s="56"/>
      <c r="AI717" s="56"/>
      <c r="AJ717" s="56"/>
      <c r="AK717" s="56"/>
      <c r="AL717" s="56"/>
    </row>
    <row r="718" spans="1:38" ht="14.25" customHeight="1">
      <c r="A718" s="56"/>
      <c r="B718" s="56"/>
      <c r="C718" s="56"/>
      <c r="D718" s="62"/>
      <c r="E718" s="56"/>
      <c r="F718" s="57"/>
      <c r="G718" s="57"/>
      <c r="H718" s="57"/>
      <c r="I718" s="57"/>
      <c r="J718" s="57"/>
      <c r="K718" s="58"/>
      <c r="L718" s="57"/>
      <c r="M718" s="57"/>
      <c r="N718" s="57"/>
      <c r="O718" s="57"/>
      <c r="P718" s="57"/>
      <c r="Q718" s="58"/>
      <c r="R718" s="57"/>
      <c r="S718" s="56"/>
      <c r="T718" s="56"/>
      <c r="U718" s="56"/>
      <c r="V718" s="56"/>
      <c r="W718" s="56"/>
      <c r="X718" s="56"/>
      <c r="Y718" s="56"/>
      <c r="Z718" s="56"/>
      <c r="AA718" s="56"/>
      <c r="AB718" s="56"/>
      <c r="AC718" s="56"/>
      <c r="AD718" s="56"/>
      <c r="AE718" s="56"/>
      <c r="AF718" s="56"/>
      <c r="AG718" s="56"/>
      <c r="AH718" s="56"/>
      <c r="AI718" s="56"/>
      <c r="AJ718" s="56"/>
      <c r="AK718" s="56"/>
      <c r="AL718" s="56"/>
    </row>
    <row r="719" spans="1:38" ht="14.25" customHeight="1">
      <c r="A719" s="56"/>
      <c r="B719" s="56"/>
      <c r="C719" s="56"/>
      <c r="D719" s="62"/>
      <c r="E719" s="56"/>
      <c r="F719" s="57"/>
      <c r="G719" s="57"/>
      <c r="H719" s="57"/>
      <c r="I719" s="57"/>
      <c r="J719" s="57"/>
      <c r="K719" s="58"/>
      <c r="L719" s="57"/>
      <c r="M719" s="57"/>
      <c r="N719" s="57"/>
      <c r="O719" s="57"/>
      <c r="P719" s="57"/>
      <c r="Q719" s="58"/>
      <c r="R719" s="57"/>
      <c r="S719" s="56"/>
      <c r="T719" s="56"/>
      <c r="U719" s="56"/>
      <c r="V719" s="56"/>
      <c r="W719" s="56"/>
      <c r="X719" s="56"/>
      <c r="Y719" s="56"/>
      <c r="Z719" s="56"/>
      <c r="AA719" s="56"/>
      <c r="AB719" s="56"/>
      <c r="AC719" s="56"/>
      <c r="AD719" s="56"/>
      <c r="AE719" s="56"/>
      <c r="AF719" s="56"/>
      <c r="AG719" s="56"/>
      <c r="AH719" s="56"/>
      <c r="AI719" s="56"/>
      <c r="AJ719" s="56"/>
      <c r="AK719" s="56"/>
      <c r="AL719" s="56"/>
    </row>
    <row r="720" spans="1:38" ht="14.25" customHeight="1">
      <c r="A720" s="56"/>
      <c r="B720" s="56"/>
      <c r="C720" s="56"/>
      <c r="D720" s="62"/>
      <c r="E720" s="56"/>
      <c r="F720" s="57"/>
      <c r="G720" s="57"/>
      <c r="H720" s="57"/>
      <c r="I720" s="57"/>
      <c r="J720" s="57"/>
      <c r="K720" s="58"/>
      <c r="L720" s="57"/>
      <c r="M720" s="57"/>
      <c r="N720" s="57"/>
      <c r="O720" s="57"/>
      <c r="P720" s="57"/>
      <c r="Q720" s="58"/>
      <c r="R720" s="57"/>
      <c r="S720" s="56"/>
      <c r="T720" s="56"/>
      <c r="U720" s="56"/>
      <c r="V720" s="56"/>
      <c r="W720" s="56"/>
      <c r="X720" s="56"/>
      <c r="Y720" s="56"/>
      <c r="Z720" s="56"/>
      <c r="AA720" s="56"/>
      <c r="AB720" s="56"/>
      <c r="AC720" s="56"/>
      <c r="AD720" s="56"/>
      <c r="AE720" s="56"/>
      <c r="AF720" s="56"/>
      <c r="AG720" s="56"/>
      <c r="AH720" s="56"/>
      <c r="AI720" s="56"/>
      <c r="AJ720" s="56"/>
      <c r="AK720" s="56"/>
      <c r="AL720" s="56"/>
    </row>
    <row r="721" spans="1:38" ht="14.25" customHeight="1">
      <c r="A721" s="56"/>
      <c r="B721" s="56"/>
      <c r="C721" s="56"/>
      <c r="D721" s="62"/>
      <c r="E721" s="56"/>
      <c r="F721" s="57"/>
      <c r="G721" s="57"/>
      <c r="H721" s="57"/>
      <c r="I721" s="57"/>
      <c r="J721" s="57"/>
      <c r="K721" s="58"/>
      <c r="L721" s="57"/>
      <c r="M721" s="57"/>
      <c r="N721" s="57"/>
      <c r="O721" s="57"/>
      <c r="P721" s="57"/>
      <c r="Q721" s="58"/>
      <c r="R721" s="57"/>
      <c r="S721" s="56"/>
      <c r="T721" s="56"/>
      <c r="U721" s="56"/>
      <c r="V721" s="56"/>
      <c r="W721" s="56"/>
      <c r="X721" s="56"/>
      <c r="Y721" s="56"/>
      <c r="Z721" s="56"/>
      <c r="AA721" s="56"/>
      <c r="AB721" s="56"/>
      <c r="AC721" s="56"/>
      <c r="AD721" s="56"/>
      <c r="AE721" s="56"/>
      <c r="AF721" s="56"/>
      <c r="AG721" s="56"/>
      <c r="AH721" s="56"/>
      <c r="AI721" s="56"/>
      <c r="AJ721" s="56"/>
      <c r="AK721" s="56"/>
      <c r="AL721" s="56"/>
    </row>
    <row r="722" spans="1:38" ht="14.25" customHeight="1">
      <c r="A722" s="56"/>
      <c r="B722" s="56"/>
      <c r="C722" s="56"/>
      <c r="D722" s="62"/>
      <c r="E722" s="56"/>
      <c r="F722" s="57"/>
      <c r="G722" s="57"/>
      <c r="H722" s="57"/>
      <c r="I722" s="57"/>
      <c r="J722" s="57"/>
      <c r="K722" s="58"/>
      <c r="L722" s="57"/>
      <c r="M722" s="57"/>
      <c r="N722" s="57"/>
      <c r="O722" s="57"/>
      <c r="P722" s="57"/>
      <c r="Q722" s="58"/>
      <c r="R722" s="57"/>
      <c r="S722" s="56"/>
      <c r="T722" s="56"/>
      <c r="U722" s="56"/>
      <c r="V722" s="56"/>
      <c r="W722" s="56"/>
      <c r="X722" s="56"/>
      <c r="Y722" s="56"/>
      <c r="Z722" s="56"/>
      <c r="AA722" s="56"/>
      <c r="AB722" s="56"/>
      <c r="AC722" s="56"/>
      <c r="AD722" s="56"/>
      <c r="AE722" s="56"/>
      <c r="AF722" s="56"/>
      <c r="AG722" s="56"/>
      <c r="AH722" s="56"/>
      <c r="AI722" s="56"/>
      <c r="AJ722" s="56"/>
      <c r="AK722" s="56"/>
      <c r="AL722" s="56"/>
    </row>
    <row r="723" spans="1:38" ht="14.25" customHeight="1">
      <c r="A723" s="56"/>
      <c r="B723" s="56"/>
      <c r="C723" s="56"/>
      <c r="D723" s="62"/>
      <c r="E723" s="56"/>
      <c r="F723" s="57"/>
      <c r="G723" s="57"/>
      <c r="H723" s="57"/>
      <c r="I723" s="57"/>
      <c r="J723" s="57"/>
      <c r="K723" s="58"/>
      <c r="L723" s="57"/>
      <c r="M723" s="57"/>
      <c r="N723" s="57"/>
      <c r="O723" s="57"/>
      <c r="P723" s="57"/>
      <c r="Q723" s="58"/>
      <c r="R723" s="57"/>
      <c r="S723" s="56"/>
      <c r="T723" s="56"/>
      <c r="U723" s="56"/>
      <c r="V723" s="56"/>
      <c r="W723" s="56"/>
      <c r="X723" s="56"/>
      <c r="Y723" s="56"/>
      <c r="Z723" s="56"/>
      <c r="AA723" s="56"/>
      <c r="AB723" s="56"/>
      <c r="AC723" s="56"/>
      <c r="AD723" s="56"/>
      <c r="AE723" s="56"/>
      <c r="AF723" s="56"/>
      <c r="AG723" s="56"/>
      <c r="AH723" s="56"/>
      <c r="AI723" s="56"/>
      <c r="AJ723" s="56"/>
      <c r="AK723" s="56"/>
      <c r="AL723" s="56"/>
    </row>
    <row r="724" spans="1:38" ht="14.25" customHeight="1">
      <c r="A724" s="56"/>
      <c r="B724" s="56"/>
      <c r="C724" s="56"/>
      <c r="D724" s="62"/>
      <c r="E724" s="56"/>
      <c r="F724" s="57"/>
      <c r="G724" s="57"/>
      <c r="H724" s="57"/>
      <c r="I724" s="57"/>
      <c r="J724" s="57"/>
      <c r="K724" s="58"/>
      <c r="L724" s="57"/>
      <c r="M724" s="57"/>
      <c r="N724" s="57"/>
      <c r="O724" s="57"/>
      <c r="P724" s="57"/>
      <c r="Q724" s="58"/>
      <c r="R724" s="57"/>
      <c r="S724" s="56"/>
      <c r="T724" s="56"/>
      <c r="U724" s="56"/>
      <c r="V724" s="56"/>
      <c r="W724" s="56"/>
      <c r="X724" s="56"/>
      <c r="Y724" s="56"/>
      <c r="Z724" s="56"/>
      <c r="AA724" s="56"/>
      <c r="AB724" s="56"/>
      <c r="AC724" s="56"/>
      <c r="AD724" s="56"/>
      <c r="AE724" s="56"/>
      <c r="AF724" s="56"/>
      <c r="AG724" s="56"/>
      <c r="AH724" s="56"/>
      <c r="AI724" s="56"/>
      <c r="AJ724" s="56"/>
      <c r="AK724" s="56"/>
      <c r="AL724" s="56"/>
    </row>
    <row r="725" spans="1:38" ht="14.25" customHeight="1">
      <c r="A725" s="56"/>
      <c r="B725" s="56"/>
      <c r="C725" s="56"/>
      <c r="D725" s="62"/>
      <c r="E725" s="56"/>
      <c r="F725" s="57"/>
      <c r="G725" s="57"/>
      <c r="H725" s="57"/>
      <c r="I725" s="57"/>
      <c r="J725" s="57"/>
      <c r="K725" s="58"/>
      <c r="L725" s="57"/>
      <c r="M725" s="57"/>
      <c r="N725" s="57"/>
      <c r="O725" s="57"/>
      <c r="P725" s="57"/>
      <c r="Q725" s="58"/>
      <c r="R725" s="57"/>
      <c r="S725" s="56"/>
      <c r="T725" s="56"/>
      <c r="U725" s="56"/>
      <c r="V725" s="56"/>
      <c r="W725" s="56"/>
      <c r="X725" s="56"/>
      <c r="Y725" s="56"/>
      <c r="Z725" s="56"/>
      <c r="AA725" s="56"/>
      <c r="AB725" s="56"/>
      <c r="AC725" s="56"/>
      <c r="AD725" s="56"/>
      <c r="AE725" s="56"/>
      <c r="AF725" s="56"/>
      <c r="AG725" s="56"/>
      <c r="AH725" s="56"/>
      <c r="AI725" s="56"/>
      <c r="AJ725" s="56"/>
      <c r="AK725" s="56"/>
      <c r="AL725" s="56"/>
    </row>
    <row r="726" spans="1:38" ht="14.25" customHeight="1">
      <c r="A726" s="56"/>
      <c r="B726" s="56"/>
      <c r="C726" s="56"/>
      <c r="D726" s="62"/>
      <c r="E726" s="56"/>
      <c r="F726" s="57"/>
      <c r="G726" s="57"/>
      <c r="H726" s="57"/>
      <c r="I726" s="57"/>
      <c r="J726" s="57"/>
      <c r="K726" s="58"/>
      <c r="L726" s="57"/>
      <c r="M726" s="57"/>
      <c r="N726" s="57"/>
      <c r="O726" s="57"/>
      <c r="P726" s="57"/>
      <c r="Q726" s="58"/>
      <c r="R726" s="57"/>
      <c r="S726" s="56"/>
      <c r="T726" s="56"/>
      <c r="U726" s="56"/>
      <c r="V726" s="56"/>
      <c r="W726" s="56"/>
      <c r="X726" s="56"/>
      <c r="Y726" s="56"/>
      <c r="Z726" s="56"/>
      <c r="AA726" s="56"/>
      <c r="AB726" s="56"/>
      <c r="AC726" s="56"/>
      <c r="AD726" s="56"/>
      <c r="AE726" s="56"/>
      <c r="AF726" s="56"/>
      <c r="AG726" s="56"/>
      <c r="AH726" s="56"/>
      <c r="AI726" s="56"/>
      <c r="AJ726" s="56"/>
      <c r="AK726" s="56"/>
      <c r="AL726" s="56"/>
    </row>
    <row r="727" spans="1:38" ht="14.25" customHeight="1">
      <c r="A727" s="56"/>
      <c r="B727" s="56"/>
      <c r="C727" s="56"/>
      <c r="D727" s="62"/>
      <c r="E727" s="56"/>
      <c r="F727" s="57"/>
      <c r="G727" s="57"/>
      <c r="H727" s="57"/>
      <c r="I727" s="57"/>
      <c r="J727" s="57"/>
      <c r="K727" s="58"/>
      <c r="L727" s="57"/>
      <c r="M727" s="57"/>
      <c r="N727" s="57"/>
      <c r="O727" s="57"/>
      <c r="P727" s="57"/>
      <c r="Q727" s="58"/>
      <c r="R727" s="57"/>
      <c r="S727" s="56"/>
      <c r="T727" s="56"/>
      <c r="U727" s="56"/>
      <c r="V727" s="56"/>
      <c r="W727" s="56"/>
      <c r="X727" s="56"/>
      <c r="Y727" s="56"/>
      <c r="Z727" s="56"/>
      <c r="AA727" s="56"/>
      <c r="AB727" s="56"/>
      <c r="AC727" s="56"/>
      <c r="AD727" s="56"/>
      <c r="AE727" s="56"/>
      <c r="AF727" s="56"/>
      <c r="AG727" s="56"/>
      <c r="AH727" s="56"/>
      <c r="AI727" s="56"/>
      <c r="AJ727" s="56"/>
      <c r="AK727" s="56"/>
      <c r="AL727" s="56"/>
    </row>
    <row r="728" spans="1:38" ht="14.25" customHeight="1">
      <c r="A728" s="56"/>
      <c r="B728" s="56"/>
      <c r="C728" s="56"/>
      <c r="D728" s="62"/>
      <c r="E728" s="56"/>
      <c r="F728" s="57"/>
      <c r="G728" s="57"/>
      <c r="H728" s="57"/>
      <c r="I728" s="57"/>
      <c r="J728" s="57"/>
      <c r="K728" s="58"/>
      <c r="L728" s="57"/>
      <c r="M728" s="57"/>
      <c r="N728" s="57"/>
      <c r="O728" s="57"/>
      <c r="P728" s="57"/>
      <c r="Q728" s="58"/>
      <c r="R728" s="57"/>
      <c r="S728" s="56"/>
      <c r="T728" s="56"/>
      <c r="U728" s="56"/>
      <c r="V728" s="56"/>
      <c r="W728" s="56"/>
      <c r="X728" s="56"/>
      <c r="Y728" s="56"/>
      <c r="Z728" s="56"/>
      <c r="AA728" s="56"/>
      <c r="AB728" s="56"/>
      <c r="AC728" s="56"/>
      <c r="AD728" s="56"/>
      <c r="AE728" s="56"/>
      <c r="AF728" s="56"/>
      <c r="AG728" s="56"/>
      <c r="AH728" s="56"/>
      <c r="AI728" s="56"/>
      <c r="AJ728" s="56"/>
      <c r="AK728" s="56"/>
      <c r="AL728" s="56"/>
    </row>
    <row r="729" spans="1:38" ht="14.25" customHeight="1">
      <c r="A729" s="56"/>
      <c r="B729" s="56"/>
      <c r="C729" s="56"/>
      <c r="D729" s="62"/>
      <c r="E729" s="56"/>
      <c r="F729" s="57"/>
      <c r="G729" s="57"/>
      <c r="H729" s="57"/>
      <c r="I729" s="57"/>
      <c r="J729" s="57"/>
      <c r="K729" s="58"/>
      <c r="L729" s="57"/>
      <c r="M729" s="57"/>
      <c r="N729" s="57"/>
      <c r="O729" s="57"/>
      <c r="P729" s="57"/>
      <c r="Q729" s="58"/>
      <c r="R729" s="57"/>
      <c r="S729" s="56"/>
      <c r="T729" s="56"/>
      <c r="U729" s="56"/>
      <c r="V729" s="56"/>
      <c r="W729" s="56"/>
      <c r="X729" s="56"/>
      <c r="Y729" s="56"/>
      <c r="Z729" s="56"/>
      <c r="AA729" s="56"/>
      <c r="AB729" s="56"/>
      <c r="AC729" s="56"/>
      <c r="AD729" s="56"/>
      <c r="AE729" s="56"/>
      <c r="AF729" s="56"/>
      <c r="AG729" s="56"/>
      <c r="AH729" s="56"/>
      <c r="AI729" s="56"/>
      <c r="AJ729" s="56"/>
      <c r="AK729" s="56"/>
      <c r="AL729" s="56"/>
    </row>
    <row r="730" spans="1:38" ht="14.25" customHeight="1">
      <c r="A730" s="56"/>
      <c r="B730" s="56"/>
      <c r="C730" s="56"/>
      <c r="D730" s="62"/>
      <c r="E730" s="56"/>
      <c r="F730" s="57"/>
      <c r="G730" s="57"/>
      <c r="H730" s="57"/>
      <c r="I730" s="57"/>
      <c r="J730" s="57"/>
      <c r="K730" s="58"/>
      <c r="L730" s="57"/>
      <c r="M730" s="57"/>
      <c r="N730" s="57"/>
      <c r="O730" s="57"/>
      <c r="P730" s="57"/>
      <c r="Q730" s="58"/>
      <c r="R730" s="57"/>
      <c r="S730" s="56"/>
      <c r="T730" s="56"/>
      <c r="U730" s="56"/>
      <c r="V730" s="56"/>
      <c r="W730" s="56"/>
      <c r="X730" s="56"/>
      <c r="Y730" s="56"/>
      <c r="Z730" s="56"/>
      <c r="AA730" s="56"/>
      <c r="AB730" s="56"/>
      <c r="AC730" s="56"/>
      <c r="AD730" s="56"/>
      <c r="AE730" s="56"/>
      <c r="AF730" s="56"/>
      <c r="AG730" s="56"/>
      <c r="AH730" s="56"/>
      <c r="AI730" s="56"/>
      <c r="AJ730" s="56"/>
      <c r="AK730" s="56"/>
      <c r="AL730" s="56"/>
    </row>
    <row r="731" spans="1:38" ht="14.25" customHeight="1">
      <c r="A731" s="56"/>
      <c r="B731" s="56"/>
      <c r="C731" s="56"/>
      <c r="D731" s="62"/>
      <c r="E731" s="56"/>
      <c r="F731" s="57"/>
      <c r="G731" s="57"/>
      <c r="H731" s="57"/>
      <c r="I731" s="57"/>
      <c r="J731" s="57"/>
      <c r="K731" s="58"/>
      <c r="L731" s="57"/>
      <c r="M731" s="57"/>
      <c r="N731" s="57"/>
      <c r="O731" s="57"/>
      <c r="P731" s="57"/>
      <c r="Q731" s="58"/>
      <c r="R731" s="57"/>
      <c r="S731" s="56"/>
      <c r="T731" s="56"/>
      <c r="U731" s="56"/>
      <c r="V731" s="56"/>
      <c r="W731" s="56"/>
      <c r="X731" s="56"/>
      <c r="Y731" s="56"/>
      <c r="Z731" s="56"/>
      <c r="AA731" s="56"/>
      <c r="AB731" s="56"/>
      <c r="AC731" s="56"/>
      <c r="AD731" s="56"/>
      <c r="AE731" s="56"/>
      <c r="AF731" s="56"/>
      <c r="AG731" s="56"/>
      <c r="AH731" s="56"/>
      <c r="AI731" s="56"/>
      <c r="AJ731" s="56"/>
      <c r="AK731" s="56"/>
      <c r="AL731" s="56"/>
    </row>
    <row r="732" spans="1:38" ht="14.25" customHeight="1">
      <c r="A732" s="56"/>
      <c r="B732" s="56"/>
      <c r="C732" s="56"/>
      <c r="D732" s="62"/>
      <c r="E732" s="56"/>
      <c r="F732" s="57"/>
      <c r="G732" s="57"/>
      <c r="H732" s="57"/>
      <c r="I732" s="57"/>
      <c r="J732" s="57"/>
      <c r="K732" s="58"/>
      <c r="L732" s="57"/>
      <c r="M732" s="57"/>
      <c r="N732" s="57"/>
      <c r="O732" s="57"/>
      <c r="P732" s="57"/>
      <c r="Q732" s="58"/>
      <c r="R732" s="57"/>
      <c r="S732" s="56"/>
      <c r="T732" s="56"/>
      <c r="U732" s="56"/>
      <c r="V732" s="56"/>
      <c r="W732" s="56"/>
      <c r="X732" s="56"/>
      <c r="Y732" s="56"/>
      <c r="Z732" s="56"/>
      <c r="AA732" s="56"/>
      <c r="AB732" s="56"/>
      <c r="AC732" s="56"/>
      <c r="AD732" s="56"/>
      <c r="AE732" s="56"/>
      <c r="AF732" s="56"/>
      <c r="AG732" s="56"/>
      <c r="AH732" s="56"/>
      <c r="AI732" s="56"/>
      <c r="AJ732" s="56"/>
      <c r="AK732" s="56"/>
      <c r="AL732" s="56"/>
    </row>
    <row r="733" spans="1:38" ht="14.25" customHeight="1">
      <c r="A733" s="56"/>
      <c r="B733" s="56"/>
      <c r="C733" s="56"/>
      <c r="D733" s="62"/>
      <c r="E733" s="56"/>
      <c r="F733" s="57"/>
      <c r="G733" s="57"/>
      <c r="H733" s="57"/>
      <c r="I733" s="57"/>
      <c r="J733" s="57"/>
      <c r="K733" s="58"/>
      <c r="L733" s="57"/>
      <c r="M733" s="57"/>
      <c r="N733" s="57"/>
      <c r="O733" s="57"/>
      <c r="P733" s="57"/>
      <c r="Q733" s="58"/>
      <c r="R733" s="57"/>
      <c r="S733" s="56"/>
      <c r="T733" s="56"/>
      <c r="U733" s="56"/>
      <c r="V733" s="56"/>
      <c r="W733" s="56"/>
      <c r="X733" s="56"/>
      <c r="Y733" s="56"/>
      <c r="Z733" s="56"/>
      <c r="AA733" s="56"/>
      <c r="AB733" s="56"/>
      <c r="AC733" s="56"/>
      <c r="AD733" s="56"/>
      <c r="AE733" s="56"/>
      <c r="AF733" s="56"/>
      <c r="AG733" s="56"/>
      <c r="AH733" s="56"/>
      <c r="AI733" s="56"/>
      <c r="AJ733" s="56"/>
      <c r="AK733" s="56"/>
      <c r="AL733" s="56"/>
    </row>
    <row r="734" spans="1:38" ht="14.25" customHeight="1">
      <c r="A734" s="56"/>
      <c r="B734" s="56"/>
      <c r="C734" s="56"/>
      <c r="D734" s="62"/>
      <c r="E734" s="56"/>
      <c r="F734" s="57"/>
      <c r="G734" s="57"/>
      <c r="H734" s="57"/>
      <c r="I734" s="57"/>
      <c r="J734" s="57"/>
      <c r="K734" s="58"/>
      <c r="L734" s="57"/>
      <c r="M734" s="57"/>
      <c r="N734" s="57"/>
      <c r="O734" s="57"/>
      <c r="P734" s="57"/>
      <c r="Q734" s="58"/>
      <c r="R734" s="57"/>
      <c r="S734" s="56"/>
      <c r="T734" s="56"/>
      <c r="U734" s="56"/>
      <c r="V734" s="56"/>
      <c r="W734" s="56"/>
      <c r="X734" s="56"/>
      <c r="Y734" s="56"/>
      <c r="Z734" s="56"/>
      <c r="AA734" s="56"/>
      <c r="AB734" s="56"/>
      <c r="AC734" s="56"/>
      <c r="AD734" s="56"/>
      <c r="AE734" s="56"/>
      <c r="AF734" s="56"/>
      <c r="AG734" s="56"/>
      <c r="AH734" s="56"/>
      <c r="AI734" s="56"/>
      <c r="AJ734" s="56"/>
      <c r="AK734" s="56"/>
      <c r="AL734" s="56"/>
    </row>
    <row r="735" spans="1:38" ht="14.25" customHeight="1">
      <c r="A735" s="56"/>
      <c r="B735" s="56"/>
      <c r="C735" s="56"/>
      <c r="D735" s="62"/>
      <c r="E735" s="56"/>
      <c r="F735" s="57"/>
      <c r="G735" s="57"/>
      <c r="H735" s="57"/>
      <c r="I735" s="57"/>
      <c r="J735" s="57"/>
      <c r="K735" s="58"/>
      <c r="L735" s="57"/>
      <c r="M735" s="57"/>
      <c r="N735" s="57"/>
      <c r="O735" s="57"/>
      <c r="P735" s="57"/>
      <c r="Q735" s="58"/>
      <c r="R735" s="57"/>
      <c r="S735" s="56"/>
      <c r="T735" s="56"/>
      <c r="U735" s="56"/>
      <c r="V735" s="56"/>
      <c r="W735" s="56"/>
      <c r="X735" s="56"/>
      <c r="Y735" s="56"/>
      <c r="Z735" s="56"/>
      <c r="AA735" s="56"/>
      <c r="AB735" s="56"/>
      <c r="AC735" s="56"/>
      <c r="AD735" s="56"/>
      <c r="AE735" s="56"/>
      <c r="AF735" s="56"/>
      <c r="AG735" s="56"/>
      <c r="AH735" s="56"/>
      <c r="AI735" s="56"/>
      <c r="AJ735" s="56"/>
      <c r="AK735" s="56"/>
      <c r="AL735" s="56"/>
    </row>
    <row r="736" spans="1:38" ht="14.25" customHeight="1">
      <c r="A736" s="56"/>
      <c r="B736" s="56"/>
      <c r="C736" s="56"/>
      <c r="D736" s="62"/>
      <c r="E736" s="56"/>
      <c r="F736" s="57"/>
      <c r="G736" s="57"/>
      <c r="H736" s="57"/>
      <c r="I736" s="57"/>
      <c r="J736" s="57"/>
      <c r="K736" s="58"/>
      <c r="L736" s="57"/>
      <c r="M736" s="57"/>
      <c r="N736" s="57"/>
      <c r="O736" s="57"/>
      <c r="P736" s="57"/>
      <c r="Q736" s="58"/>
      <c r="R736" s="57"/>
      <c r="S736" s="56"/>
      <c r="T736" s="56"/>
      <c r="U736" s="56"/>
      <c r="V736" s="56"/>
      <c r="W736" s="56"/>
      <c r="X736" s="56"/>
      <c r="Y736" s="56"/>
      <c r="Z736" s="56"/>
      <c r="AA736" s="56"/>
      <c r="AB736" s="56"/>
      <c r="AC736" s="56"/>
      <c r="AD736" s="56"/>
      <c r="AE736" s="56"/>
      <c r="AF736" s="56"/>
      <c r="AG736" s="56"/>
      <c r="AH736" s="56"/>
      <c r="AI736" s="56"/>
      <c r="AJ736" s="56"/>
      <c r="AK736" s="56"/>
      <c r="AL736" s="56"/>
    </row>
    <row r="737" spans="1:38" ht="14.25" customHeight="1">
      <c r="A737" s="56"/>
      <c r="B737" s="56"/>
      <c r="C737" s="56"/>
      <c r="D737" s="62"/>
      <c r="E737" s="56"/>
      <c r="F737" s="57"/>
      <c r="G737" s="57"/>
      <c r="H737" s="57"/>
      <c r="I737" s="57"/>
      <c r="J737" s="57"/>
      <c r="K737" s="58"/>
      <c r="L737" s="57"/>
      <c r="M737" s="57"/>
      <c r="N737" s="57"/>
      <c r="O737" s="57"/>
      <c r="P737" s="57"/>
      <c r="Q737" s="58"/>
      <c r="R737" s="57"/>
      <c r="S737" s="56"/>
      <c r="T737" s="56"/>
      <c r="U737" s="56"/>
      <c r="V737" s="56"/>
      <c r="W737" s="56"/>
      <c r="X737" s="56"/>
      <c r="Y737" s="56"/>
      <c r="Z737" s="56"/>
      <c r="AA737" s="56"/>
      <c r="AB737" s="56"/>
      <c r="AC737" s="56"/>
      <c r="AD737" s="56"/>
      <c r="AE737" s="56"/>
      <c r="AF737" s="56"/>
      <c r="AG737" s="56"/>
      <c r="AH737" s="56"/>
      <c r="AI737" s="56"/>
      <c r="AJ737" s="56"/>
      <c r="AK737" s="56"/>
      <c r="AL737" s="56"/>
    </row>
    <row r="738" spans="1:38" ht="14.25" customHeight="1">
      <c r="A738" s="56"/>
      <c r="B738" s="56"/>
      <c r="C738" s="56"/>
      <c r="D738" s="62"/>
      <c r="E738" s="56"/>
      <c r="F738" s="57"/>
      <c r="G738" s="57"/>
      <c r="H738" s="57"/>
      <c r="I738" s="57"/>
      <c r="J738" s="57"/>
      <c r="K738" s="58"/>
      <c r="L738" s="57"/>
      <c r="M738" s="57"/>
      <c r="N738" s="57"/>
      <c r="O738" s="57"/>
      <c r="P738" s="57"/>
      <c r="Q738" s="58"/>
      <c r="R738" s="57"/>
      <c r="S738" s="56"/>
      <c r="T738" s="56"/>
      <c r="U738" s="56"/>
      <c r="V738" s="56"/>
      <c r="W738" s="56"/>
      <c r="X738" s="56"/>
      <c r="Y738" s="56"/>
      <c r="Z738" s="56"/>
      <c r="AA738" s="56"/>
      <c r="AB738" s="56"/>
      <c r="AC738" s="56"/>
      <c r="AD738" s="56"/>
      <c r="AE738" s="56"/>
      <c r="AF738" s="56"/>
      <c r="AG738" s="56"/>
      <c r="AH738" s="56"/>
      <c r="AI738" s="56"/>
      <c r="AJ738" s="56"/>
      <c r="AK738" s="56"/>
      <c r="AL738" s="56"/>
    </row>
    <row r="739" spans="1:38" ht="14.25" customHeight="1">
      <c r="A739" s="56"/>
      <c r="B739" s="56"/>
      <c r="C739" s="56"/>
      <c r="D739" s="62"/>
      <c r="E739" s="56"/>
      <c r="F739" s="57"/>
      <c r="G739" s="57"/>
      <c r="H739" s="57"/>
      <c r="I739" s="57"/>
      <c r="J739" s="57"/>
      <c r="K739" s="58"/>
      <c r="L739" s="57"/>
      <c r="M739" s="57"/>
      <c r="N739" s="57"/>
      <c r="O739" s="57"/>
      <c r="P739" s="57"/>
      <c r="Q739" s="58"/>
      <c r="R739" s="57"/>
      <c r="S739" s="56"/>
      <c r="T739" s="56"/>
      <c r="U739" s="56"/>
      <c r="V739" s="56"/>
      <c r="W739" s="56"/>
      <c r="X739" s="56"/>
      <c r="Y739" s="56"/>
      <c r="Z739" s="56"/>
      <c r="AA739" s="56"/>
      <c r="AB739" s="56"/>
      <c r="AC739" s="56"/>
      <c r="AD739" s="56"/>
      <c r="AE739" s="56"/>
      <c r="AF739" s="56"/>
      <c r="AG739" s="56"/>
      <c r="AH739" s="56"/>
      <c r="AI739" s="56"/>
      <c r="AJ739" s="56"/>
      <c r="AK739" s="56"/>
      <c r="AL739" s="56"/>
    </row>
    <row r="740" spans="1:38" ht="14.25" customHeight="1">
      <c r="A740" s="56"/>
      <c r="B740" s="56"/>
      <c r="C740" s="56"/>
      <c r="D740" s="62"/>
      <c r="E740" s="56"/>
      <c r="F740" s="57"/>
      <c r="G740" s="57"/>
      <c r="H740" s="57"/>
      <c r="I740" s="57"/>
      <c r="J740" s="57"/>
      <c r="K740" s="58"/>
      <c r="L740" s="57"/>
      <c r="M740" s="57"/>
      <c r="N740" s="57"/>
      <c r="O740" s="57"/>
      <c r="P740" s="57"/>
      <c r="Q740" s="58"/>
      <c r="R740" s="57"/>
      <c r="S740" s="56"/>
      <c r="T740" s="56"/>
      <c r="U740" s="56"/>
      <c r="V740" s="56"/>
      <c r="W740" s="56"/>
      <c r="X740" s="56"/>
      <c r="Y740" s="56"/>
      <c r="Z740" s="56"/>
      <c r="AA740" s="56"/>
      <c r="AB740" s="56"/>
      <c r="AC740" s="56"/>
      <c r="AD740" s="56"/>
      <c r="AE740" s="56"/>
      <c r="AF740" s="56"/>
      <c r="AG740" s="56"/>
      <c r="AH740" s="56"/>
      <c r="AI740" s="56"/>
      <c r="AJ740" s="56"/>
      <c r="AK740" s="56"/>
      <c r="AL740" s="56"/>
    </row>
    <row r="741" spans="1:38" ht="14.25" customHeight="1">
      <c r="A741" s="56"/>
      <c r="B741" s="56"/>
      <c r="C741" s="56"/>
      <c r="D741" s="62"/>
      <c r="E741" s="56"/>
      <c r="F741" s="57"/>
      <c r="G741" s="57"/>
      <c r="H741" s="57"/>
      <c r="I741" s="57"/>
      <c r="J741" s="57"/>
      <c r="K741" s="58"/>
      <c r="L741" s="57"/>
      <c r="M741" s="57"/>
      <c r="N741" s="57"/>
      <c r="O741" s="57"/>
      <c r="P741" s="57"/>
      <c r="Q741" s="58"/>
      <c r="R741" s="57"/>
      <c r="S741" s="56"/>
      <c r="T741" s="56"/>
      <c r="U741" s="56"/>
      <c r="V741" s="56"/>
      <c r="W741" s="56"/>
      <c r="X741" s="56"/>
      <c r="Y741" s="56"/>
      <c r="Z741" s="56"/>
      <c r="AA741" s="56"/>
      <c r="AB741" s="56"/>
      <c r="AC741" s="56"/>
      <c r="AD741" s="56"/>
      <c r="AE741" s="56"/>
      <c r="AF741" s="56"/>
      <c r="AG741" s="56"/>
      <c r="AH741" s="56"/>
      <c r="AI741" s="56"/>
      <c r="AJ741" s="56"/>
      <c r="AK741" s="56"/>
      <c r="AL741" s="56"/>
    </row>
    <row r="742" spans="1:38" ht="14.25" customHeight="1">
      <c r="A742" s="56"/>
      <c r="B742" s="56"/>
      <c r="C742" s="56"/>
      <c r="D742" s="62"/>
      <c r="E742" s="56"/>
      <c r="F742" s="57"/>
      <c r="G742" s="57"/>
      <c r="H742" s="57"/>
      <c r="I742" s="57"/>
      <c r="J742" s="57"/>
      <c r="K742" s="58"/>
      <c r="L742" s="57"/>
      <c r="M742" s="57"/>
      <c r="N742" s="57"/>
      <c r="O742" s="57"/>
      <c r="P742" s="57"/>
      <c r="Q742" s="58"/>
      <c r="R742" s="57"/>
      <c r="S742" s="56"/>
      <c r="T742" s="56"/>
      <c r="U742" s="56"/>
      <c r="V742" s="56"/>
      <c r="W742" s="56"/>
      <c r="X742" s="56"/>
      <c r="Y742" s="56"/>
      <c r="Z742" s="56"/>
      <c r="AA742" s="56"/>
      <c r="AB742" s="56"/>
      <c r="AC742" s="56"/>
      <c r="AD742" s="56"/>
      <c r="AE742" s="56"/>
      <c r="AF742" s="56"/>
      <c r="AG742" s="56"/>
      <c r="AH742" s="56"/>
      <c r="AI742" s="56"/>
      <c r="AJ742" s="56"/>
      <c r="AK742" s="56"/>
      <c r="AL742" s="56"/>
    </row>
    <row r="743" spans="1:38" ht="14.25" customHeight="1">
      <c r="A743" s="56"/>
      <c r="B743" s="56"/>
      <c r="C743" s="56"/>
      <c r="D743" s="62"/>
      <c r="E743" s="56"/>
      <c r="F743" s="57"/>
      <c r="G743" s="57"/>
      <c r="H743" s="57"/>
      <c r="I743" s="57"/>
      <c r="J743" s="57"/>
      <c r="K743" s="58"/>
      <c r="L743" s="57"/>
      <c r="M743" s="57"/>
      <c r="N743" s="57"/>
      <c r="O743" s="57"/>
      <c r="P743" s="57"/>
      <c r="Q743" s="58"/>
      <c r="R743" s="57"/>
      <c r="S743" s="56"/>
      <c r="T743" s="56"/>
      <c r="U743" s="56"/>
      <c r="V743" s="56"/>
      <c r="W743" s="56"/>
      <c r="X743" s="56"/>
      <c r="Y743" s="56"/>
      <c r="Z743" s="56"/>
      <c r="AA743" s="56"/>
      <c r="AB743" s="56"/>
      <c r="AC743" s="56"/>
      <c r="AD743" s="56"/>
      <c r="AE743" s="56"/>
      <c r="AF743" s="56"/>
      <c r="AG743" s="56"/>
      <c r="AH743" s="56"/>
      <c r="AI743" s="56"/>
      <c r="AJ743" s="56"/>
      <c r="AK743" s="56"/>
      <c r="AL743" s="56"/>
    </row>
    <row r="744" spans="1:38" ht="14.25" customHeight="1">
      <c r="A744" s="56"/>
      <c r="B744" s="56"/>
      <c r="C744" s="56"/>
      <c r="D744" s="62"/>
      <c r="E744" s="56"/>
      <c r="F744" s="57"/>
      <c r="G744" s="57"/>
      <c r="H744" s="57"/>
      <c r="I744" s="57"/>
      <c r="J744" s="57"/>
      <c r="K744" s="58"/>
      <c r="L744" s="57"/>
      <c r="M744" s="57"/>
      <c r="N744" s="57"/>
      <c r="O744" s="57"/>
      <c r="P744" s="57"/>
      <c r="Q744" s="58"/>
      <c r="R744" s="57"/>
      <c r="S744" s="56"/>
      <c r="T744" s="56"/>
      <c r="U744" s="56"/>
      <c r="V744" s="56"/>
      <c r="W744" s="56"/>
      <c r="X744" s="56"/>
      <c r="Y744" s="56"/>
      <c r="Z744" s="56"/>
      <c r="AA744" s="56"/>
      <c r="AB744" s="56"/>
      <c r="AC744" s="56"/>
      <c r="AD744" s="56"/>
      <c r="AE744" s="56"/>
      <c r="AF744" s="56"/>
      <c r="AG744" s="56"/>
      <c r="AH744" s="56"/>
      <c r="AI744" s="56"/>
      <c r="AJ744" s="56"/>
      <c r="AK744" s="56"/>
      <c r="AL744" s="56"/>
    </row>
    <row r="745" spans="1:38" ht="14.25" customHeight="1">
      <c r="A745" s="56"/>
      <c r="B745" s="56"/>
      <c r="C745" s="56"/>
      <c r="D745" s="62"/>
      <c r="E745" s="56"/>
      <c r="F745" s="57"/>
      <c r="G745" s="57"/>
      <c r="H745" s="57"/>
      <c r="I745" s="57"/>
      <c r="J745" s="57"/>
      <c r="K745" s="58"/>
      <c r="L745" s="57"/>
      <c r="M745" s="57"/>
      <c r="N745" s="57"/>
      <c r="O745" s="57"/>
      <c r="P745" s="57"/>
      <c r="Q745" s="58"/>
      <c r="R745" s="57"/>
      <c r="S745" s="56"/>
      <c r="T745" s="56"/>
      <c r="U745" s="56"/>
      <c r="V745" s="56"/>
      <c r="W745" s="56"/>
      <c r="X745" s="56"/>
      <c r="Y745" s="56"/>
      <c r="Z745" s="56"/>
      <c r="AA745" s="56"/>
      <c r="AB745" s="56"/>
      <c r="AC745" s="56"/>
      <c r="AD745" s="56"/>
      <c r="AE745" s="56"/>
      <c r="AF745" s="56"/>
      <c r="AG745" s="56"/>
      <c r="AH745" s="56"/>
      <c r="AI745" s="56"/>
      <c r="AJ745" s="56"/>
      <c r="AK745" s="56"/>
      <c r="AL745" s="56"/>
    </row>
    <row r="746" spans="1:38" ht="14.25" customHeight="1">
      <c r="A746" s="56"/>
      <c r="B746" s="56"/>
      <c r="C746" s="56"/>
      <c r="D746" s="62"/>
      <c r="E746" s="56"/>
      <c r="F746" s="57"/>
      <c r="G746" s="57"/>
      <c r="H746" s="57"/>
      <c r="I746" s="57"/>
      <c r="J746" s="57"/>
      <c r="K746" s="58"/>
      <c r="L746" s="57"/>
      <c r="M746" s="57"/>
      <c r="N746" s="57"/>
      <c r="O746" s="57"/>
      <c r="P746" s="57"/>
      <c r="Q746" s="58"/>
      <c r="R746" s="57"/>
      <c r="S746" s="56"/>
      <c r="T746" s="56"/>
      <c r="U746" s="56"/>
      <c r="V746" s="56"/>
      <c r="W746" s="56"/>
      <c r="X746" s="56"/>
      <c r="Y746" s="56"/>
      <c r="Z746" s="56"/>
      <c r="AA746" s="56"/>
      <c r="AB746" s="56"/>
      <c r="AC746" s="56"/>
      <c r="AD746" s="56"/>
      <c r="AE746" s="56"/>
      <c r="AF746" s="56"/>
      <c r="AG746" s="56"/>
      <c r="AH746" s="56"/>
      <c r="AI746" s="56"/>
      <c r="AJ746" s="56"/>
      <c r="AK746" s="56"/>
      <c r="AL746" s="56"/>
    </row>
    <row r="747" spans="1:38" ht="14.25" customHeight="1">
      <c r="A747" s="56"/>
      <c r="B747" s="56"/>
      <c r="C747" s="56"/>
      <c r="D747" s="62"/>
      <c r="E747" s="56"/>
      <c r="F747" s="57"/>
      <c r="G747" s="57"/>
      <c r="H747" s="57"/>
      <c r="I747" s="57"/>
      <c r="J747" s="57"/>
      <c r="K747" s="58"/>
      <c r="L747" s="57"/>
      <c r="M747" s="57"/>
      <c r="N747" s="57"/>
      <c r="O747" s="57"/>
      <c r="P747" s="57"/>
      <c r="Q747" s="58"/>
      <c r="R747" s="57"/>
      <c r="S747" s="56"/>
      <c r="T747" s="56"/>
      <c r="U747" s="56"/>
      <c r="V747" s="56"/>
      <c r="W747" s="56"/>
      <c r="X747" s="56"/>
      <c r="Y747" s="56"/>
      <c r="Z747" s="56"/>
      <c r="AA747" s="56"/>
      <c r="AB747" s="56"/>
      <c r="AC747" s="56"/>
      <c r="AD747" s="56"/>
      <c r="AE747" s="56"/>
      <c r="AF747" s="56"/>
      <c r="AG747" s="56"/>
      <c r="AH747" s="56"/>
      <c r="AI747" s="56"/>
      <c r="AJ747" s="56"/>
      <c r="AK747" s="56"/>
      <c r="AL747" s="56"/>
    </row>
    <row r="748" spans="1:38" ht="14.25" customHeight="1">
      <c r="A748" s="56"/>
      <c r="B748" s="56"/>
      <c r="C748" s="56"/>
      <c r="D748" s="62"/>
      <c r="E748" s="56"/>
      <c r="F748" s="57"/>
      <c r="G748" s="57"/>
      <c r="H748" s="57"/>
      <c r="I748" s="57"/>
      <c r="J748" s="57"/>
      <c r="K748" s="58"/>
      <c r="L748" s="57"/>
      <c r="M748" s="57"/>
      <c r="N748" s="57"/>
      <c r="O748" s="57"/>
      <c r="P748" s="57"/>
      <c r="Q748" s="58"/>
      <c r="R748" s="57"/>
      <c r="S748" s="56"/>
      <c r="T748" s="56"/>
      <c r="U748" s="56"/>
      <c r="V748" s="56"/>
      <c r="W748" s="56"/>
      <c r="X748" s="56"/>
      <c r="Y748" s="56"/>
      <c r="Z748" s="56"/>
      <c r="AA748" s="56"/>
      <c r="AB748" s="56"/>
      <c r="AC748" s="56"/>
      <c r="AD748" s="56"/>
      <c r="AE748" s="56"/>
      <c r="AF748" s="56"/>
      <c r="AG748" s="56"/>
      <c r="AH748" s="56"/>
      <c r="AI748" s="56"/>
      <c r="AJ748" s="56"/>
      <c r="AK748" s="56"/>
      <c r="AL748" s="56"/>
    </row>
    <row r="749" spans="1:38" ht="14.25" customHeight="1">
      <c r="A749" s="56"/>
      <c r="B749" s="56"/>
      <c r="C749" s="56"/>
      <c r="D749" s="62"/>
      <c r="E749" s="56"/>
      <c r="F749" s="57"/>
      <c r="G749" s="57"/>
      <c r="H749" s="57"/>
      <c r="I749" s="57"/>
      <c r="J749" s="57"/>
      <c r="K749" s="58"/>
      <c r="L749" s="57"/>
      <c r="M749" s="57"/>
      <c r="N749" s="57"/>
      <c r="O749" s="57"/>
      <c r="P749" s="57"/>
      <c r="Q749" s="58"/>
      <c r="R749" s="57"/>
      <c r="S749" s="56"/>
      <c r="T749" s="56"/>
      <c r="U749" s="56"/>
      <c r="V749" s="56"/>
      <c r="W749" s="56"/>
      <c r="X749" s="56"/>
      <c r="Y749" s="56"/>
      <c r="Z749" s="56"/>
      <c r="AA749" s="56"/>
      <c r="AB749" s="56"/>
      <c r="AC749" s="56"/>
      <c r="AD749" s="56"/>
      <c r="AE749" s="56"/>
      <c r="AF749" s="56"/>
      <c r="AG749" s="56"/>
      <c r="AH749" s="56"/>
      <c r="AI749" s="56"/>
      <c r="AJ749" s="56"/>
      <c r="AK749" s="56"/>
      <c r="AL749" s="56"/>
    </row>
    <row r="750" spans="1:38" ht="14.25" customHeight="1">
      <c r="A750" s="56"/>
      <c r="B750" s="56"/>
      <c r="C750" s="56"/>
      <c r="D750" s="62"/>
      <c r="E750" s="56"/>
      <c r="F750" s="57"/>
      <c r="G750" s="57"/>
      <c r="H750" s="57"/>
      <c r="I750" s="57"/>
      <c r="J750" s="57"/>
      <c r="K750" s="58"/>
      <c r="L750" s="57"/>
      <c r="M750" s="57"/>
      <c r="N750" s="57"/>
      <c r="O750" s="57"/>
      <c r="P750" s="57"/>
      <c r="Q750" s="58"/>
      <c r="R750" s="57"/>
      <c r="S750" s="56"/>
      <c r="T750" s="56"/>
      <c r="U750" s="56"/>
      <c r="V750" s="56"/>
      <c r="W750" s="56"/>
      <c r="X750" s="56"/>
      <c r="Y750" s="56"/>
      <c r="Z750" s="56"/>
      <c r="AA750" s="56"/>
      <c r="AB750" s="56"/>
      <c r="AC750" s="56"/>
      <c r="AD750" s="56"/>
      <c r="AE750" s="56"/>
      <c r="AF750" s="56"/>
      <c r="AG750" s="56"/>
      <c r="AH750" s="56"/>
      <c r="AI750" s="56"/>
      <c r="AJ750" s="56"/>
      <c r="AK750" s="56"/>
      <c r="AL750" s="56"/>
    </row>
    <row r="751" spans="1:38" ht="14.25" customHeight="1">
      <c r="A751" s="56"/>
      <c r="B751" s="56"/>
      <c r="C751" s="56"/>
      <c r="D751" s="62"/>
      <c r="E751" s="56"/>
      <c r="F751" s="57"/>
      <c r="G751" s="57"/>
      <c r="H751" s="57"/>
      <c r="I751" s="57"/>
      <c r="J751" s="57"/>
      <c r="K751" s="58"/>
      <c r="L751" s="57"/>
      <c r="M751" s="57"/>
      <c r="N751" s="57"/>
      <c r="O751" s="57"/>
      <c r="P751" s="57"/>
      <c r="Q751" s="58"/>
      <c r="R751" s="57"/>
      <c r="S751" s="56"/>
      <c r="T751" s="56"/>
      <c r="U751" s="56"/>
      <c r="V751" s="56"/>
      <c r="W751" s="56"/>
      <c r="X751" s="56"/>
      <c r="Y751" s="56"/>
      <c r="Z751" s="56"/>
      <c r="AA751" s="56"/>
      <c r="AB751" s="56"/>
      <c r="AC751" s="56"/>
      <c r="AD751" s="56"/>
      <c r="AE751" s="56"/>
      <c r="AF751" s="56"/>
      <c r="AG751" s="56"/>
      <c r="AH751" s="56"/>
      <c r="AI751" s="56"/>
      <c r="AJ751" s="56"/>
      <c r="AK751" s="56"/>
      <c r="AL751" s="56"/>
    </row>
    <row r="752" spans="1:38" ht="14.25" customHeight="1">
      <c r="A752" s="56"/>
      <c r="B752" s="56"/>
      <c r="C752" s="56"/>
      <c r="D752" s="62"/>
      <c r="E752" s="56"/>
      <c r="F752" s="57"/>
      <c r="G752" s="57"/>
      <c r="H752" s="57"/>
      <c r="I752" s="57"/>
      <c r="J752" s="57"/>
      <c r="K752" s="58"/>
      <c r="L752" s="57"/>
      <c r="M752" s="57"/>
      <c r="N752" s="57"/>
      <c r="O752" s="57"/>
      <c r="P752" s="57"/>
      <c r="Q752" s="58"/>
      <c r="R752" s="57"/>
      <c r="S752" s="56"/>
      <c r="T752" s="56"/>
      <c r="U752" s="56"/>
      <c r="V752" s="56"/>
      <c r="W752" s="56"/>
      <c r="X752" s="56"/>
      <c r="Y752" s="56"/>
      <c r="Z752" s="56"/>
      <c r="AA752" s="56"/>
      <c r="AB752" s="56"/>
      <c r="AC752" s="56"/>
      <c r="AD752" s="56"/>
      <c r="AE752" s="56"/>
      <c r="AF752" s="56"/>
      <c r="AG752" s="56"/>
      <c r="AH752" s="56"/>
      <c r="AI752" s="56"/>
      <c r="AJ752" s="56"/>
      <c r="AK752" s="56"/>
      <c r="AL752" s="56"/>
    </row>
    <row r="753" spans="1:38" ht="14.25" customHeight="1">
      <c r="A753" s="56"/>
      <c r="B753" s="56"/>
      <c r="C753" s="56"/>
      <c r="D753" s="62"/>
      <c r="E753" s="56"/>
      <c r="F753" s="57"/>
      <c r="G753" s="57"/>
      <c r="H753" s="57"/>
      <c r="I753" s="57"/>
      <c r="J753" s="57"/>
      <c r="K753" s="58"/>
      <c r="L753" s="57"/>
      <c r="M753" s="57"/>
      <c r="N753" s="57"/>
      <c r="O753" s="57"/>
      <c r="P753" s="57"/>
      <c r="Q753" s="58"/>
      <c r="R753" s="57"/>
      <c r="S753" s="56"/>
      <c r="T753" s="56"/>
      <c r="U753" s="56"/>
      <c r="V753" s="56"/>
      <c r="W753" s="56"/>
      <c r="X753" s="56"/>
      <c r="Y753" s="56"/>
      <c r="Z753" s="56"/>
      <c r="AA753" s="56"/>
      <c r="AB753" s="56"/>
      <c r="AC753" s="56"/>
      <c r="AD753" s="56"/>
      <c r="AE753" s="56"/>
      <c r="AF753" s="56"/>
      <c r="AG753" s="56"/>
      <c r="AH753" s="56"/>
      <c r="AI753" s="56"/>
      <c r="AJ753" s="56"/>
      <c r="AK753" s="56"/>
      <c r="AL753" s="56"/>
    </row>
    <row r="754" spans="1:38" ht="14.25" customHeight="1">
      <c r="A754" s="56"/>
      <c r="B754" s="56"/>
      <c r="C754" s="56"/>
      <c r="D754" s="62"/>
      <c r="E754" s="56"/>
      <c r="F754" s="57"/>
      <c r="G754" s="57"/>
      <c r="H754" s="57"/>
      <c r="I754" s="57"/>
      <c r="J754" s="57"/>
      <c r="K754" s="58"/>
      <c r="L754" s="57"/>
      <c r="M754" s="57"/>
      <c r="N754" s="57"/>
      <c r="O754" s="57"/>
      <c r="P754" s="57"/>
      <c r="Q754" s="58"/>
      <c r="R754" s="57"/>
      <c r="S754" s="56"/>
      <c r="T754" s="56"/>
      <c r="U754" s="56"/>
      <c r="V754" s="56"/>
      <c r="W754" s="56"/>
      <c r="X754" s="56"/>
      <c r="Y754" s="56"/>
      <c r="Z754" s="56"/>
      <c r="AA754" s="56"/>
      <c r="AB754" s="56"/>
      <c r="AC754" s="56"/>
      <c r="AD754" s="56"/>
      <c r="AE754" s="56"/>
      <c r="AF754" s="56"/>
      <c r="AG754" s="56"/>
      <c r="AH754" s="56"/>
      <c r="AI754" s="56"/>
      <c r="AJ754" s="56"/>
      <c r="AK754" s="56"/>
      <c r="AL754" s="56"/>
    </row>
    <row r="755" spans="1:38" ht="14.25" customHeight="1">
      <c r="A755" s="56"/>
      <c r="B755" s="56"/>
      <c r="C755" s="56"/>
      <c r="D755" s="62"/>
      <c r="E755" s="56"/>
      <c r="F755" s="57"/>
      <c r="G755" s="57"/>
      <c r="H755" s="57"/>
      <c r="I755" s="57"/>
      <c r="J755" s="57"/>
      <c r="K755" s="58"/>
      <c r="L755" s="57"/>
      <c r="M755" s="57"/>
      <c r="N755" s="57"/>
      <c r="O755" s="57"/>
      <c r="P755" s="57"/>
      <c r="Q755" s="58"/>
      <c r="R755" s="57"/>
      <c r="S755" s="56"/>
      <c r="T755" s="56"/>
      <c r="U755" s="56"/>
      <c r="V755" s="56"/>
      <c r="W755" s="56"/>
      <c r="X755" s="56"/>
      <c r="Y755" s="56"/>
      <c r="Z755" s="56"/>
      <c r="AA755" s="56"/>
      <c r="AB755" s="56"/>
      <c r="AC755" s="56"/>
      <c r="AD755" s="56"/>
      <c r="AE755" s="56"/>
      <c r="AF755" s="56"/>
      <c r="AG755" s="56"/>
      <c r="AH755" s="56"/>
      <c r="AI755" s="56"/>
      <c r="AJ755" s="56"/>
      <c r="AK755" s="56"/>
      <c r="AL755" s="56"/>
    </row>
    <row r="756" spans="1:38" ht="14.25" customHeight="1">
      <c r="A756" s="56"/>
      <c r="B756" s="56"/>
      <c r="C756" s="56"/>
      <c r="D756" s="62"/>
      <c r="E756" s="56"/>
      <c r="F756" s="57"/>
      <c r="G756" s="57"/>
      <c r="H756" s="57"/>
      <c r="I756" s="57"/>
      <c r="J756" s="57"/>
      <c r="K756" s="58"/>
      <c r="L756" s="57"/>
      <c r="M756" s="57"/>
      <c r="N756" s="57"/>
      <c r="O756" s="57"/>
      <c r="P756" s="57"/>
      <c r="Q756" s="58"/>
      <c r="R756" s="57"/>
      <c r="S756" s="56"/>
      <c r="T756" s="56"/>
      <c r="U756" s="56"/>
      <c r="V756" s="56"/>
      <c r="W756" s="56"/>
      <c r="X756" s="56"/>
      <c r="Y756" s="56"/>
      <c r="Z756" s="56"/>
      <c r="AA756" s="56"/>
      <c r="AB756" s="56"/>
      <c r="AC756" s="56"/>
      <c r="AD756" s="56"/>
      <c r="AE756" s="56"/>
      <c r="AF756" s="56"/>
      <c r="AG756" s="56"/>
      <c r="AH756" s="56"/>
      <c r="AI756" s="56"/>
      <c r="AJ756" s="56"/>
      <c r="AK756" s="56"/>
      <c r="AL756" s="56"/>
    </row>
    <row r="757" spans="1:38" ht="14.25" customHeight="1">
      <c r="A757" s="56"/>
      <c r="B757" s="56"/>
      <c r="C757" s="56"/>
      <c r="D757" s="62"/>
      <c r="E757" s="56"/>
      <c r="F757" s="57"/>
      <c r="G757" s="57"/>
      <c r="H757" s="57"/>
      <c r="I757" s="57"/>
      <c r="J757" s="57"/>
      <c r="K757" s="58"/>
      <c r="L757" s="57"/>
      <c r="M757" s="57"/>
      <c r="N757" s="57"/>
      <c r="O757" s="57"/>
      <c r="P757" s="57"/>
      <c r="Q757" s="58"/>
      <c r="R757" s="57"/>
      <c r="S757" s="56"/>
      <c r="T757" s="56"/>
      <c r="U757" s="56"/>
      <c r="V757" s="56"/>
      <c r="W757" s="56"/>
      <c r="X757" s="56"/>
      <c r="Y757" s="56"/>
      <c r="Z757" s="56"/>
      <c r="AA757" s="56"/>
      <c r="AB757" s="56"/>
      <c r="AC757" s="56"/>
      <c r="AD757" s="56"/>
      <c r="AE757" s="56"/>
      <c r="AF757" s="56"/>
      <c r="AG757" s="56"/>
      <c r="AH757" s="56"/>
      <c r="AI757" s="56"/>
      <c r="AJ757" s="56"/>
      <c r="AK757" s="56"/>
      <c r="AL757" s="56"/>
    </row>
    <row r="758" spans="1:38" ht="14.25" customHeight="1">
      <c r="A758" s="56"/>
      <c r="B758" s="56"/>
      <c r="C758" s="56"/>
      <c r="D758" s="62"/>
      <c r="E758" s="56"/>
      <c r="F758" s="57"/>
      <c r="G758" s="57"/>
      <c r="H758" s="57"/>
      <c r="I758" s="57"/>
      <c r="J758" s="57"/>
      <c r="K758" s="58"/>
      <c r="L758" s="57"/>
      <c r="M758" s="57"/>
      <c r="N758" s="57"/>
      <c r="O758" s="57"/>
      <c r="P758" s="57"/>
      <c r="Q758" s="58"/>
      <c r="R758" s="57"/>
      <c r="S758" s="56"/>
      <c r="T758" s="56"/>
      <c r="U758" s="56"/>
      <c r="V758" s="56"/>
      <c r="W758" s="56"/>
      <c r="X758" s="56"/>
      <c r="Y758" s="56"/>
      <c r="Z758" s="56"/>
      <c r="AA758" s="56"/>
      <c r="AB758" s="56"/>
      <c r="AC758" s="56"/>
      <c r="AD758" s="56"/>
      <c r="AE758" s="56"/>
      <c r="AF758" s="56"/>
      <c r="AG758" s="56"/>
      <c r="AH758" s="56"/>
      <c r="AI758" s="56"/>
      <c r="AJ758" s="56"/>
      <c r="AK758" s="56"/>
      <c r="AL758" s="56"/>
    </row>
    <row r="759" spans="1:38" ht="14.25" customHeight="1">
      <c r="A759" s="56"/>
      <c r="B759" s="56"/>
      <c r="C759" s="56"/>
      <c r="D759" s="62"/>
      <c r="E759" s="56"/>
      <c r="F759" s="57"/>
      <c r="G759" s="57"/>
      <c r="H759" s="57"/>
      <c r="I759" s="57"/>
      <c r="J759" s="57"/>
      <c r="K759" s="58"/>
      <c r="L759" s="57"/>
      <c r="M759" s="57"/>
      <c r="N759" s="57"/>
      <c r="O759" s="57"/>
      <c r="P759" s="57"/>
      <c r="Q759" s="58"/>
      <c r="R759" s="57"/>
      <c r="S759" s="56"/>
      <c r="T759" s="56"/>
      <c r="U759" s="56"/>
      <c r="V759" s="56"/>
      <c r="W759" s="56"/>
      <c r="X759" s="56"/>
      <c r="Y759" s="56"/>
      <c r="Z759" s="56"/>
      <c r="AA759" s="56"/>
      <c r="AB759" s="56"/>
      <c r="AC759" s="56"/>
      <c r="AD759" s="56"/>
      <c r="AE759" s="56"/>
      <c r="AF759" s="56"/>
      <c r="AG759" s="56"/>
      <c r="AH759" s="56"/>
      <c r="AI759" s="56"/>
      <c r="AJ759" s="56"/>
      <c r="AK759" s="56"/>
      <c r="AL759" s="56"/>
    </row>
    <row r="760" spans="1:38" ht="14.25" customHeight="1">
      <c r="A760" s="56"/>
      <c r="B760" s="56"/>
      <c r="C760" s="56"/>
      <c r="D760" s="62"/>
      <c r="E760" s="56"/>
      <c r="F760" s="57"/>
      <c r="G760" s="57"/>
      <c r="H760" s="57"/>
      <c r="I760" s="57"/>
      <c r="J760" s="57"/>
      <c r="K760" s="58"/>
      <c r="L760" s="57"/>
      <c r="M760" s="57"/>
      <c r="N760" s="57"/>
      <c r="O760" s="57"/>
      <c r="P760" s="57"/>
      <c r="Q760" s="58"/>
      <c r="R760" s="57"/>
      <c r="S760" s="56"/>
      <c r="T760" s="56"/>
      <c r="U760" s="56"/>
      <c r="V760" s="56"/>
      <c r="W760" s="56"/>
      <c r="X760" s="56"/>
      <c r="Y760" s="56"/>
      <c r="Z760" s="56"/>
      <c r="AA760" s="56"/>
      <c r="AB760" s="56"/>
      <c r="AC760" s="56"/>
      <c r="AD760" s="56"/>
      <c r="AE760" s="56"/>
      <c r="AF760" s="56"/>
      <c r="AG760" s="56"/>
      <c r="AH760" s="56"/>
      <c r="AI760" s="56"/>
      <c r="AJ760" s="56"/>
      <c r="AK760" s="56"/>
      <c r="AL760" s="56"/>
    </row>
    <row r="761" spans="1:38" ht="14.25" customHeight="1">
      <c r="A761" s="56"/>
      <c r="B761" s="56"/>
      <c r="C761" s="56"/>
      <c r="D761" s="62"/>
      <c r="E761" s="56"/>
      <c r="F761" s="57"/>
      <c r="G761" s="57"/>
      <c r="H761" s="57"/>
      <c r="I761" s="57"/>
      <c r="J761" s="57"/>
      <c r="K761" s="58"/>
      <c r="L761" s="57"/>
      <c r="M761" s="57"/>
      <c r="N761" s="57"/>
      <c r="O761" s="57"/>
      <c r="P761" s="57"/>
      <c r="Q761" s="58"/>
      <c r="R761" s="57"/>
      <c r="S761" s="56"/>
      <c r="T761" s="56"/>
      <c r="U761" s="56"/>
      <c r="V761" s="56"/>
      <c r="W761" s="56"/>
      <c r="X761" s="56"/>
      <c r="Y761" s="56"/>
      <c r="Z761" s="56"/>
      <c r="AA761" s="56"/>
      <c r="AB761" s="56"/>
      <c r="AC761" s="56"/>
      <c r="AD761" s="56"/>
      <c r="AE761" s="56"/>
      <c r="AF761" s="56"/>
      <c r="AG761" s="56"/>
      <c r="AH761" s="56"/>
      <c r="AI761" s="56"/>
      <c r="AJ761" s="56"/>
      <c r="AK761" s="56"/>
      <c r="AL761" s="56"/>
    </row>
    <row r="762" spans="1:38" ht="14.25" customHeight="1">
      <c r="A762" s="56"/>
      <c r="B762" s="56"/>
      <c r="C762" s="56"/>
      <c r="D762" s="62"/>
      <c r="E762" s="56"/>
      <c r="F762" s="57"/>
      <c r="G762" s="57"/>
      <c r="H762" s="57"/>
      <c r="I762" s="57"/>
      <c r="J762" s="57"/>
      <c r="K762" s="58"/>
      <c r="L762" s="57"/>
      <c r="M762" s="57"/>
      <c r="N762" s="57"/>
      <c r="O762" s="57"/>
      <c r="P762" s="57"/>
      <c r="Q762" s="58"/>
      <c r="R762" s="57"/>
      <c r="S762" s="56"/>
      <c r="T762" s="56"/>
      <c r="U762" s="56"/>
      <c r="V762" s="56"/>
      <c r="W762" s="56"/>
      <c r="X762" s="56"/>
      <c r="Y762" s="56"/>
      <c r="Z762" s="56"/>
      <c r="AA762" s="56"/>
      <c r="AB762" s="56"/>
      <c r="AC762" s="56"/>
      <c r="AD762" s="56"/>
      <c r="AE762" s="56"/>
      <c r="AF762" s="56"/>
      <c r="AG762" s="56"/>
      <c r="AH762" s="56"/>
      <c r="AI762" s="56"/>
      <c r="AJ762" s="56"/>
      <c r="AK762" s="56"/>
      <c r="AL762" s="56"/>
    </row>
    <row r="763" spans="1:38" ht="14.25" customHeight="1">
      <c r="A763" s="56"/>
      <c r="B763" s="56"/>
      <c r="C763" s="56"/>
      <c r="D763" s="62"/>
      <c r="E763" s="56"/>
      <c r="F763" s="57"/>
      <c r="G763" s="57"/>
      <c r="H763" s="57"/>
      <c r="I763" s="57"/>
      <c r="J763" s="57"/>
      <c r="K763" s="58"/>
      <c r="L763" s="57"/>
      <c r="M763" s="57"/>
      <c r="N763" s="57"/>
      <c r="O763" s="57"/>
      <c r="P763" s="57"/>
      <c r="Q763" s="58"/>
      <c r="R763" s="57"/>
      <c r="S763" s="56"/>
      <c r="T763" s="56"/>
      <c r="U763" s="56"/>
      <c r="V763" s="56"/>
      <c r="W763" s="56"/>
      <c r="X763" s="56"/>
      <c r="Y763" s="56"/>
      <c r="Z763" s="56"/>
      <c r="AA763" s="56"/>
      <c r="AB763" s="56"/>
      <c r="AC763" s="56"/>
      <c r="AD763" s="56"/>
      <c r="AE763" s="56"/>
      <c r="AF763" s="56"/>
      <c r="AG763" s="56"/>
      <c r="AH763" s="56"/>
      <c r="AI763" s="56"/>
      <c r="AJ763" s="56"/>
      <c r="AK763" s="56"/>
      <c r="AL763" s="56"/>
    </row>
    <row r="764" spans="1:38" ht="14.25" customHeight="1">
      <c r="A764" s="56"/>
      <c r="B764" s="56"/>
      <c r="C764" s="56"/>
      <c r="D764" s="62"/>
      <c r="E764" s="56"/>
      <c r="F764" s="57"/>
      <c r="G764" s="57"/>
      <c r="H764" s="57"/>
      <c r="I764" s="57"/>
      <c r="J764" s="57"/>
      <c r="K764" s="58"/>
      <c r="L764" s="57"/>
      <c r="M764" s="57"/>
      <c r="N764" s="57"/>
      <c r="O764" s="57"/>
      <c r="P764" s="57"/>
      <c r="Q764" s="58"/>
      <c r="R764" s="57"/>
      <c r="S764" s="56"/>
      <c r="T764" s="56"/>
      <c r="U764" s="56"/>
      <c r="V764" s="56"/>
      <c r="W764" s="56"/>
      <c r="X764" s="56"/>
      <c r="Y764" s="56"/>
      <c r="Z764" s="56"/>
      <c r="AA764" s="56"/>
      <c r="AB764" s="56"/>
      <c r="AC764" s="56"/>
      <c r="AD764" s="56"/>
      <c r="AE764" s="56"/>
      <c r="AF764" s="56"/>
      <c r="AG764" s="56"/>
      <c r="AH764" s="56"/>
      <c r="AI764" s="56"/>
      <c r="AJ764" s="56"/>
      <c r="AK764" s="56"/>
      <c r="AL764" s="56"/>
    </row>
    <row r="765" spans="1:38" ht="14.25" customHeight="1">
      <c r="A765" s="56"/>
      <c r="B765" s="56"/>
      <c r="C765" s="56"/>
      <c r="D765" s="62"/>
      <c r="E765" s="56"/>
      <c r="F765" s="57"/>
      <c r="G765" s="57"/>
      <c r="H765" s="57"/>
      <c r="I765" s="57"/>
      <c r="J765" s="57"/>
      <c r="K765" s="58"/>
      <c r="L765" s="57"/>
      <c r="M765" s="57"/>
      <c r="N765" s="57"/>
      <c r="O765" s="57"/>
      <c r="P765" s="57"/>
      <c r="Q765" s="58"/>
      <c r="R765" s="57"/>
      <c r="S765" s="56"/>
      <c r="T765" s="56"/>
      <c r="U765" s="56"/>
      <c r="V765" s="56"/>
      <c r="W765" s="56"/>
      <c r="X765" s="56"/>
      <c r="Y765" s="56"/>
      <c r="Z765" s="56"/>
      <c r="AA765" s="56"/>
      <c r="AB765" s="56"/>
      <c r="AC765" s="56"/>
      <c r="AD765" s="56"/>
      <c r="AE765" s="56"/>
      <c r="AF765" s="56"/>
      <c r="AG765" s="56"/>
      <c r="AH765" s="56"/>
      <c r="AI765" s="56"/>
      <c r="AJ765" s="56"/>
      <c r="AK765" s="56"/>
      <c r="AL765" s="56"/>
    </row>
    <row r="766" spans="1:38" ht="14.25" customHeight="1">
      <c r="A766" s="56"/>
      <c r="B766" s="56"/>
      <c r="C766" s="56"/>
      <c r="D766" s="62"/>
      <c r="E766" s="56"/>
      <c r="F766" s="57"/>
      <c r="G766" s="57"/>
      <c r="H766" s="57"/>
      <c r="I766" s="57"/>
      <c r="J766" s="57"/>
      <c r="K766" s="58"/>
      <c r="L766" s="57"/>
      <c r="M766" s="57"/>
      <c r="N766" s="57"/>
      <c r="O766" s="57"/>
      <c r="P766" s="57"/>
      <c r="Q766" s="58"/>
      <c r="R766" s="57"/>
      <c r="S766" s="56"/>
      <c r="T766" s="56"/>
      <c r="U766" s="56"/>
      <c r="V766" s="56"/>
      <c r="W766" s="56"/>
      <c r="X766" s="56"/>
      <c r="Y766" s="56"/>
      <c r="Z766" s="56"/>
      <c r="AA766" s="56"/>
      <c r="AB766" s="56"/>
      <c r="AC766" s="56"/>
      <c r="AD766" s="56"/>
      <c r="AE766" s="56"/>
      <c r="AF766" s="56"/>
      <c r="AG766" s="56"/>
      <c r="AH766" s="56"/>
      <c r="AI766" s="56"/>
      <c r="AJ766" s="56"/>
      <c r="AK766" s="56"/>
      <c r="AL766" s="56"/>
    </row>
    <row r="767" spans="1:38" ht="14.25" customHeight="1">
      <c r="A767" s="56"/>
      <c r="B767" s="56"/>
      <c r="C767" s="56"/>
      <c r="D767" s="62"/>
      <c r="E767" s="56"/>
      <c r="F767" s="57"/>
      <c r="G767" s="57"/>
      <c r="H767" s="57"/>
      <c r="I767" s="57"/>
      <c r="J767" s="57"/>
      <c r="K767" s="58"/>
      <c r="L767" s="57"/>
      <c r="M767" s="57"/>
      <c r="N767" s="57"/>
      <c r="O767" s="57"/>
      <c r="P767" s="57"/>
      <c r="Q767" s="58"/>
      <c r="R767" s="57"/>
      <c r="S767" s="56"/>
      <c r="T767" s="56"/>
      <c r="U767" s="56"/>
      <c r="V767" s="56"/>
      <c r="W767" s="56"/>
      <c r="X767" s="56"/>
      <c r="Y767" s="56"/>
      <c r="Z767" s="56"/>
      <c r="AA767" s="56"/>
      <c r="AB767" s="56"/>
      <c r="AC767" s="56"/>
      <c r="AD767" s="56"/>
      <c r="AE767" s="56"/>
      <c r="AF767" s="56"/>
      <c r="AG767" s="56"/>
      <c r="AH767" s="56"/>
      <c r="AI767" s="56"/>
      <c r="AJ767" s="56"/>
      <c r="AK767" s="56"/>
      <c r="AL767" s="56"/>
    </row>
    <row r="768" spans="1:38" ht="14.25" customHeight="1">
      <c r="A768" s="56"/>
      <c r="B768" s="56"/>
      <c r="C768" s="56"/>
      <c r="D768" s="62"/>
      <c r="E768" s="56"/>
      <c r="F768" s="57"/>
      <c r="G768" s="57"/>
      <c r="H768" s="57"/>
      <c r="I768" s="57"/>
      <c r="J768" s="57"/>
      <c r="K768" s="58"/>
      <c r="L768" s="57"/>
      <c r="M768" s="57"/>
      <c r="N768" s="57"/>
      <c r="O768" s="57"/>
      <c r="P768" s="57"/>
      <c r="Q768" s="58"/>
      <c r="R768" s="57"/>
      <c r="S768" s="56"/>
      <c r="T768" s="56"/>
      <c r="U768" s="56"/>
      <c r="V768" s="56"/>
      <c r="W768" s="56"/>
      <c r="X768" s="56"/>
      <c r="Y768" s="56"/>
      <c r="Z768" s="56"/>
      <c r="AA768" s="56"/>
      <c r="AB768" s="56"/>
      <c r="AC768" s="56"/>
      <c r="AD768" s="56"/>
      <c r="AE768" s="56"/>
      <c r="AF768" s="56"/>
      <c r="AG768" s="56"/>
      <c r="AH768" s="56"/>
      <c r="AI768" s="56"/>
      <c r="AJ768" s="56"/>
      <c r="AK768" s="56"/>
      <c r="AL768" s="56"/>
    </row>
    <row r="769" spans="1:38" ht="14.25" customHeight="1">
      <c r="A769" s="56"/>
      <c r="B769" s="56"/>
      <c r="C769" s="56"/>
      <c r="D769" s="62"/>
      <c r="E769" s="56"/>
      <c r="F769" s="57"/>
      <c r="G769" s="57"/>
      <c r="H769" s="57"/>
      <c r="I769" s="57"/>
      <c r="J769" s="57"/>
      <c r="K769" s="58"/>
      <c r="L769" s="57"/>
      <c r="M769" s="57"/>
      <c r="N769" s="57"/>
      <c r="O769" s="57"/>
      <c r="P769" s="57"/>
      <c r="Q769" s="58"/>
      <c r="R769" s="57"/>
      <c r="S769" s="56"/>
      <c r="T769" s="56"/>
      <c r="U769" s="56"/>
      <c r="V769" s="56"/>
      <c r="W769" s="56"/>
      <c r="X769" s="56"/>
      <c r="Y769" s="56"/>
      <c r="Z769" s="56"/>
      <c r="AA769" s="56"/>
      <c r="AB769" s="56"/>
      <c r="AC769" s="56"/>
      <c r="AD769" s="56"/>
      <c r="AE769" s="56"/>
      <c r="AF769" s="56"/>
      <c r="AG769" s="56"/>
      <c r="AH769" s="56"/>
      <c r="AI769" s="56"/>
      <c r="AJ769" s="56"/>
      <c r="AK769" s="56"/>
      <c r="AL769" s="56"/>
    </row>
    <row r="770" spans="1:38" ht="14.25" customHeight="1">
      <c r="A770" s="56"/>
      <c r="B770" s="56"/>
      <c r="C770" s="56"/>
      <c r="D770" s="62"/>
      <c r="E770" s="56"/>
      <c r="F770" s="57"/>
      <c r="G770" s="57"/>
      <c r="H770" s="57"/>
      <c r="I770" s="57"/>
      <c r="J770" s="57"/>
      <c r="K770" s="58"/>
      <c r="L770" s="57"/>
      <c r="M770" s="57"/>
      <c r="N770" s="57"/>
      <c r="O770" s="57"/>
      <c r="P770" s="57"/>
      <c r="Q770" s="58"/>
      <c r="R770" s="57"/>
      <c r="S770" s="56"/>
      <c r="T770" s="56"/>
      <c r="U770" s="56"/>
      <c r="V770" s="56"/>
      <c r="W770" s="56"/>
      <c r="X770" s="56"/>
      <c r="Y770" s="56"/>
      <c r="Z770" s="56"/>
      <c r="AA770" s="56"/>
      <c r="AB770" s="56"/>
      <c r="AC770" s="56"/>
      <c r="AD770" s="56"/>
      <c r="AE770" s="56"/>
      <c r="AF770" s="56"/>
      <c r="AG770" s="56"/>
      <c r="AH770" s="56"/>
      <c r="AI770" s="56"/>
      <c r="AJ770" s="56"/>
      <c r="AK770" s="56"/>
      <c r="AL770" s="56"/>
    </row>
    <row r="771" spans="1:38" ht="14.25" customHeight="1">
      <c r="A771" s="56"/>
      <c r="B771" s="56"/>
      <c r="C771" s="56"/>
      <c r="D771" s="62"/>
      <c r="E771" s="56"/>
      <c r="F771" s="57"/>
      <c r="G771" s="57"/>
      <c r="H771" s="57"/>
      <c r="I771" s="57"/>
      <c r="J771" s="57"/>
      <c r="K771" s="58"/>
      <c r="L771" s="57"/>
      <c r="M771" s="57"/>
      <c r="N771" s="57"/>
      <c r="O771" s="57"/>
      <c r="P771" s="57"/>
      <c r="Q771" s="58"/>
      <c r="R771" s="57"/>
      <c r="S771" s="56"/>
      <c r="T771" s="56"/>
      <c r="U771" s="56"/>
      <c r="V771" s="56"/>
      <c r="W771" s="56"/>
      <c r="X771" s="56"/>
      <c r="Y771" s="56"/>
      <c r="Z771" s="56"/>
      <c r="AA771" s="56"/>
      <c r="AB771" s="56"/>
      <c r="AC771" s="56"/>
      <c r="AD771" s="56"/>
      <c r="AE771" s="56"/>
      <c r="AF771" s="56"/>
      <c r="AG771" s="56"/>
      <c r="AH771" s="56"/>
      <c r="AI771" s="56"/>
      <c r="AJ771" s="56"/>
      <c r="AK771" s="56"/>
      <c r="AL771" s="56"/>
    </row>
    <row r="772" spans="1:38" ht="14.25" customHeight="1">
      <c r="A772" s="56"/>
      <c r="B772" s="56"/>
      <c r="C772" s="56"/>
      <c r="D772" s="62"/>
      <c r="E772" s="56"/>
      <c r="F772" s="57"/>
      <c r="G772" s="57"/>
      <c r="H772" s="57"/>
      <c r="I772" s="57"/>
      <c r="J772" s="57"/>
      <c r="K772" s="58"/>
      <c r="L772" s="57"/>
      <c r="M772" s="57"/>
      <c r="N772" s="57"/>
      <c r="O772" s="57"/>
      <c r="P772" s="57"/>
      <c r="Q772" s="58"/>
      <c r="R772" s="57"/>
      <c r="S772" s="56"/>
      <c r="T772" s="56"/>
      <c r="U772" s="56"/>
      <c r="V772" s="56"/>
      <c r="W772" s="56"/>
      <c r="X772" s="56"/>
      <c r="Y772" s="56"/>
      <c r="Z772" s="56"/>
      <c r="AA772" s="56"/>
      <c r="AB772" s="56"/>
      <c r="AC772" s="56"/>
      <c r="AD772" s="56"/>
      <c r="AE772" s="56"/>
      <c r="AF772" s="56"/>
      <c r="AG772" s="56"/>
      <c r="AH772" s="56"/>
      <c r="AI772" s="56"/>
      <c r="AJ772" s="56"/>
      <c r="AK772" s="56"/>
      <c r="AL772" s="56"/>
    </row>
    <row r="773" spans="1:38" ht="14.25" customHeight="1">
      <c r="A773" s="56"/>
      <c r="B773" s="56"/>
      <c r="C773" s="56"/>
      <c r="D773" s="62"/>
      <c r="E773" s="56"/>
      <c r="F773" s="57"/>
      <c r="G773" s="57"/>
      <c r="H773" s="57"/>
      <c r="I773" s="57"/>
      <c r="J773" s="57"/>
      <c r="K773" s="58"/>
      <c r="L773" s="57"/>
      <c r="M773" s="57"/>
      <c r="N773" s="57"/>
      <c r="O773" s="57"/>
      <c r="P773" s="57"/>
      <c r="Q773" s="58"/>
      <c r="R773" s="57"/>
      <c r="S773" s="56"/>
      <c r="T773" s="56"/>
      <c r="U773" s="56"/>
      <c r="V773" s="56"/>
      <c r="W773" s="56"/>
      <c r="X773" s="56"/>
      <c r="Y773" s="56"/>
      <c r="Z773" s="56"/>
      <c r="AA773" s="56"/>
      <c r="AB773" s="56"/>
      <c r="AC773" s="56"/>
      <c r="AD773" s="56"/>
      <c r="AE773" s="56"/>
      <c r="AF773" s="56"/>
      <c r="AG773" s="56"/>
      <c r="AH773" s="56"/>
      <c r="AI773" s="56"/>
      <c r="AJ773" s="56"/>
      <c r="AK773" s="56"/>
      <c r="AL773" s="56"/>
    </row>
    <row r="774" spans="1:38" ht="14.25" customHeight="1">
      <c r="A774" s="56"/>
      <c r="B774" s="56"/>
      <c r="C774" s="56"/>
      <c r="D774" s="62"/>
      <c r="E774" s="56"/>
      <c r="F774" s="57"/>
      <c r="G774" s="57"/>
      <c r="H774" s="57"/>
      <c r="I774" s="57"/>
      <c r="J774" s="57"/>
      <c r="K774" s="58"/>
      <c r="L774" s="57"/>
      <c r="M774" s="57"/>
      <c r="N774" s="57"/>
      <c r="O774" s="57"/>
      <c r="P774" s="57"/>
      <c r="Q774" s="58"/>
      <c r="R774" s="57"/>
      <c r="S774" s="56"/>
      <c r="T774" s="56"/>
      <c r="U774" s="56"/>
      <c r="V774" s="56"/>
      <c r="W774" s="56"/>
      <c r="X774" s="56"/>
      <c r="Y774" s="56"/>
      <c r="Z774" s="56"/>
      <c r="AA774" s="56"/>
      <c r="AB774" s="56"/>
      <c r="AC774" s="56"/>
      <c r="AD774" s="56"/>
      <c r="AE774" s="56"/>
      <c r="AF774" s="56"/>
      <c r="AG774" s="56"/>
      <c r="AH774" s="56"/>
      <c r="AI774" s="56"/>
      <c r="AJ774" s="56"/>
      <c r="AK774" s="56"/>
      <c r="AL774" s="56"/>
    </row>
    <row r="775" spans="1:38" ht="14.25" customHeight="1">
      <c r="A775" s="56"/>
      <c r="B775" s="56"/>
      <c r="C775" s="56"/>
      <c r="D775" s="62"/>
      <c r="E775" s="56"/>
      <c r="F775" s="57"/>
      <c r="G775" s="57"/>
      <c r="H775" s="57"/>
      <c r="I775" s="57"/>
      <c r="J775" s="57"/>
      <c r="K775" s="58"/>
      <c r="L775" s="57"/>
      <c r="M775" s="57"/>
      <c r="N775" s="57"/>
      <c r="O775" s="57"/>
      <c r="P775" s="57"/>
      <c r="Q775" s="58"/>
      <c r="R775" s="57"/>
      <c r="S775" s="56"/>
      <c r="T775" s="56"/>
      <c r="U775" s="56"/>
      <c r="V775" s="56"/>
      <c r="W775" s="56"/>
      <c r="X775" s="56"/>
      <c r="Y775" s="56"/>
      <c r="Z775" s="56"/>
      <c r="AA775" s="56"/>
      <c r="AB775" s="56"/>
      <c r="AC775" s="56"/>
      <c r="AD775" s="56"/>
      <c r="AE775" s="56"/>
      <c r="AF775" s="56"/>
      <c r="AG775" s="56"/>
      <c r="AH775" s="56"/>
      <c r="AI775" s="56"/>
      <c r="AJ775" s="56"/>
      <c r="AK775" s="56"/>
      <c r="AL775" s="56"/>
    </row>
    <row r="776" spans="1:38" ht="14.25" customHeight="1">
      <c r="A776" s="56"/>
      <c r="B776" s="56"/>
      <c r="C776" s="56"/>
      <c r="D776" s="62"/>
      <c r="E776" s="56"/>
      <c r="F776" s="57"/>
      <c r="G776" s="57"/>
      <c r="H776" s="57"/>
      <c r="I776" s="57"/>
      <c r="J776" s="57"/>
      <c r="K776" s="58"/>
      <c r="L776" s="57"/>
      <c r="M776" s="57"/>
      <c r="N776" s="57"/>
      <c r="O776" s="57"/>
      <c r="P776" s="57"/>
      <c r="Q776" s="58"/>
      <c r="R776" s="57"/>
      <c r="S776" s="56"/>
      <c r="T776" s="56"/>
      <c r="U776" s="56"/>
      <c r="V776" s="56"/>
      <c r="W776" s="56"/>
      <c r="X776" s="56"/>
      <c r="Y776" s="56"/>
      <c r="Z776" s="56"/>
      <c r="AA776" s="56"/>
      <c r="AB776" s="56"/>
      <c r="AC776" s="56"/>
      <c r="AD776" s="56"/>
      <c r="AE776" s="56"/>
      <c r="AF776" s="56"/>
      <c r="AG776" s="56"/>
      <c r="AH776" s="56"/>
      <c r="AI776" s="56"/>
      <c r="AJ776" s="56"/>
      <c r="AK776" s="56"/>
      <c r="AL776" s="56"/>
    </row>
    <row r="777" spans="1:38" ht="14.25" customHeight="1">
      <c r="A777" s="56"/>
      <c r="B777" s="56"/>
      <c r="C777" s="56"/>
      <c r="D777" s="62"/>
      <c r="E777" s="56"/>
      <c r="F777" s="57"/>
      <c r="G777" s="57"/>
      <c r="H777" s="57"/>
      <c r="I777" s="57"/>
      <c r="J777" s="57"/>
      <c r="K777" s="58"/>
      <c r="L777" s="57"/>
      <c r="M777" s="57"/>
      <c r="N777" s="57"/>
      <c r="O777" s="57"/>
      <c r="P777" s="57"/>
      <c r="Q777" s="58"/>
      <c r="R777" s="57"/>
      <c r="S777" s="56"/>
      <c r="T777" s="56"/>
      <c r="U777" s="56"/>
      <c r="V777" s="56"/>
      <c r="W777" s="56"/>
      <c r="X777" s="56"/>
      <c r="Y777" s="56"/>
      <c r="Z777" s="56"/>
      <c r="AA777" s="56"/>
      <c r="AB777" s="56"/>
      <c r="AC777" s="56"/>
      <c r="AD777" s="56"/>
      <c r="AE777" s="56"/>
      <c r="AF777" s="56"/>
      <c r="AG777" s="56"/>
      <c r="AH777" s="56"/>
      <c r="AI777" s="56"/>
      <c r="AJ777" s="56"/>
      <c r="AK777" s="56"/>
      <c r="AL777" s="56"/>
    </row>
    <row r="778" spans="1:38" ht="14.25" customHeight="1">
      <c r="A778" s="56"/>
      <c r="B778" s="56"/>
      <c r="C778" s="56"/>
      <c r="D778" s="62"/>
      <c r="E778" s="56"/>
      <c r="F778" s="57"/>
      <c r="G778" s="57"/>
      <c r="H778" s="57"/>
      <c r="I778" s="57"/>
      <c r="J778" s="57"/>
      <c r="K778" s="58"/>
      <c r="L778" s="57"/>
      <c r="M778" s="57"/>
      <c r="N778" s="57"/>
      <c r="O778" s="57"/>
      <c r="P778" s="57"/>
      <c r="Q778" s="58"/>
      <c r="R778" s="57"/>
      <c r="S778" s="56"/>
      <c r="T778" s="56"/>
      <c r="U778" s="56"/>
      <c r="V778" s="56"/>
      <c r="W778" s="56"/>
      <c r="X778" s="56"/>
      <c r="Y778" s="56"/>
      <c r="Z778" s="56"/>
      <c r="AA778" s="56"/>
      <c r="AB778" s="56"/>
      <c r="AC778" s="56"/>
      <c r="AD778" s="56"/>
      <c r="AE778" s="56"/>
      <c r="AF778" s="56"/>
      <c r="AG778" s="56"/>
      <c r="AH778" s="56"/>
      <c r="AI778" s="56"/>
      <c r="AJ778" s="56"/>
      <c r="AK778" s="56"/>
      <c r="AL778" s="56"/>
    </row>
    <row r="779" spans="1:38" ht="14.25" customHeight="1">
      <c r="A779" s="56"/>
      <c r="B779" s="56"/>
      <c r="C779" s="56"/>
      <c r="D779" s="62"/>
      <c r="E779" s="56"/>
      <c r="F779" s="57"/>
      <c r="G779" s="57"/>
      <c r="H779" s="57"/>
      <c r="I779" s="57"/>
      <c r="J779" s="57"/>
      <c r="K779" s="58"/>
      <c r="L779" s="57"/>
      <c r="M779" s="57"/>
      <c r="N779" s="57"/>
      <c r="O779" s="57"/>
      <c r="P779" s="57"/>
      <c r="Q779" s="58"/>
      <c r="R779" s="57"/>
      <c r="S779" s="56"/>
      <c r="T779" s="56"/>
      <c r="U779" s="56"/>
      <c r="V779" s="56"/>
      <c r="W779" s="56"/>
      <c r="X779" s="56"/>
      <c r="Y779" s="56"/>
      <c r="Z779" s="56"/>
      <c r="AA779" s="56"/>
      <c r="AB779" s="56"/>
      <c r="AC779" s="56"/>
      <c r="AD779" s="56"/>
      <c r="AE779" s="56"/>
      <c r="AF779" s="56"/>
      <c r="AG779" s="56"/>
      <c r="AH779" s="56"/>
      <c r="AI779" s="56"/>
      <c r="AJ779" s="56"/>
      <c r="AK779" s="56"/>
      <c r="AL779" s="56"/>
    </row>
    <row r="780" spans="1:38" ht="14.25" customHeight="1">
      <c r="A780" s="56"/>
      <c r="B780" s="56"/>
      <c r="C780" s="56"/>
      <c r="D780" s="62"/>
      <c r="E780" s="56"/>
      <c r="F780" s="57"/>
      <c r="G780" s="57"/>
      <c r="H780" s="57"/>
      <c r="I780" s="57"/>
      <c r="J780" s="57"/>
      <c r="K780" s="58"/>
      <c r="L780" s="57"/>
      <c r="M780" s="57"/>
      <c r="N780" s="57"/>
      <c r="O780" s="57"/>
      <c r="P780" s="57"/>
      <c r="Q780" s="58"/>
      <c r="R780" s="57"/>
      <c r="S780" s="56"/>
      <c r="T780" s="56"/>
      <c r="U780" s="56"/>
      <c r="V780" s="56"/>
      <c r="W780" s="56"/>
      <c r="X780" s="56"/>
      <c r="Y780" s="56"/>
      <c r="Z780" s="56"/>
      <c r="AA780" s="56"/>
      <c r="AB780" s="56"/>
      <c r="AC780" s="56"/>
      <c r="AD780" s="56"/>
      <c r="AE780" s="56"/>
      <c r="AF780" s="56"/>
      <c r="AG780" s="56"/>
      <c r="AH780" s="56"/>
      <c r="AI780" s="56"/>
      <c r="AJ780" s="56"/>
      <c r="AK780" s="56"/>
      <c r="AL780" s="56"/>
    </row>
    <row r="781" spans="1:38" ht="14.25" customHeight="1">
      <c r="A781" s="56"/>
      <c r="B781" s="56"/>
      <c r="C781" s="56"/>
      <c r="D781" s="62"/>
      <c r="E781" s="56"/>
      <c r="F781" s="57"/>
      <c r="G781" s="57"/>
      <c r="H781" s="57"/>
      <c r="I781" s="57"/>
      <c r="J781" s="57"/>
      <c r="K781" s="58"/>
      <c r="L781" s="57"/>
      <c r="M781" s="57"/>
      <c r="N781" s="57"/>
      <c r="O781" s="57"/>
      <c r="P781" s="57"/>
      <c r="Q781" s="58"/>
      <c r="R781" s="57"/>
      <c r="S781" s="56"/>
      <c r="T781" s="56"/>
      <c r="U781" s="56"/>
      <c r="V781" s="56"/>
      <c r="W781" s="56"/>
      <c r="X781" s="56"/>
      <c r="Y781" s="56"/>
      <c r="Z781" s="56"/>
      <c r="AA781" s="56"/>
      <c r="AB781" s="56"/>
      <c r="AC781" s="56"/>
      <c r="AD781" s="56"/>
      <c r="AE781" s="56"/>
      <c r="AF781" s="56"/>
      <c r="AG781" s="56"/>
      <c r="AH781" s="56"/>
      <c r="AI781" s="56"/>
      <c r="AJ781" s="56"/>
      <c r="AK781" s="56"/>
      <c r="AL781" s="56"/>
    </row>
    <row r="782" spans="1:38" ht="14.25" customHeight="1">
      <c r="A782" s="56"/>
      <c r="B782" s="56"/>
      <c r="C782" s="56"/>
      <c r="D782" s="62"/>
      <c r="E782" s="56"/>
      <c r="F782" s="57"/>
      <c r="G782" s="57"/>
      <c r="H782" s="57"/>
      <c r="I782" s="57"/>
      <c r="J782" s="57"/>
      <c r="K782" s="58"/>
      <c r="L782" s="57"/>
      <c r="M782" s="57"/>
      <c r="N782" s="57"/>
      <c r="O782" s="57"/>
      <c r="P782" s="57"/>
      <c r="Q782" s="58"/>
      <c r="R782" s="57"/>
      <c r="S782" s="56"/>
      <c r="T782" s="56"/>
      <c r="U782" s="56"/>
      <c r="V782" s="56"/>
      <c r="W782" s="56"/>
      <c r="X782" s="56"/>
      <c r="Y782" s="56"/>
      <c r="Z782" s="56"/>
      <c r="AA782" s="56"/>
      <c r="AB782" s="56"/>
      <c r="AC782" s="56"/>
      <c r="AD782" s="56"/>
      <c r="AE782" s="56"/>
      <c r="AF782" s="56"/>
      <c r="AG782" s="56"/>
      <c r="AH782" s="56"/>
      <c r="AI782" s="56"/>
      <c r="AJ782" s="56"/>
      <c r="AK782" s="56"/>
      <c r="AL782" s="56"/>
    </row>
    <row r="783" spans="1:38" ht="14.25" customHeight="1">
      <c r="A783" s="56"/>
      <c r="B783" s="56"/>
      <c r="C783" s="56"/>
      <c r="D783" s="62"/>
      <c r="E783" s="56"/>
      <c r="F783" s="57"/>
      <c r="G783" s="57"/>
      <c r="H783" s="57"/>
      <c r="I783" s="57"/>
      <c r="J783" s="57"/>
      <c r="K783" s="58"/>
      <c r="L783" s="57"/>
      <c r="M783" s="57"/>
      <c r="N783" s="57"/>
      <c r="O783" s="57"/>
      <c r="P783" s="57"/>
      <c r="Q783" s="58"/>
      <c r="R783" s="57"/>
      <c r="S783" s="56"/>
      <c r="T783" s="56"/>
      <c r="U783" s="56"/>
      <c r="V783" s="56"/>
      <c r="W783" s="56"/>
      <c r="X783" s="56"/>
      <c r="Y783" s="56"/>
      <c r="Z783" s="56"/>
      <c r="AA783" s="56"/>
      <c r="AB783" s="56"/>
      <c r="AC783" s="56"/>
      <c r="AD783" s="56"/>
      <c r="AE783" s="56"/>
      <c r="AF783" s="56"/>
      <c r="AG783" s="56"/>
      <c r="AH783" s="56"/>
      <c r="AI783" s="56"/>
      <c r="AJ783" s="56"/>
      <c r="AK783" s="56"/>
      <c r="AL783" s="56"/>
    </row>
    <row r="784" spans="1:38" ht="14.25" customHeight="1">
      <c r="A784" s="56"/>
      <c r="B784" s="56"/>
      <c r="C784" s="56"/>
      <c r="D784" s="62"/>
      <c r="E784" s="56"/>
      <c r="F784" s="57"/>
      <c r="G784" s="57"/>
      <c r="H784" s="57"/>
      <c r="I784" s="57"/>
      <c r="J784" s="57"/>
      <c r="K784" s="58"/>
      <c r="L784" s="57"/>
      <c r="M784" s="57"/>
      <c r="N784" s="57"/>
      <c r="O784" s="57"/>
      <c r="P784" s="57"/>
      <c r="Q784" s="58"/>
      <c r="R784" s="57"/>
      <c r="S784" s="56"/>
      <c r="T784" s="56"/>
      <c r="U784" s="56"/>
      <c r="V784" s="56"/>
      <c r="W784" s="56"/>
      <c r="X784" s="56"/>
      <c r="Y784" s="56"/>
      <c r="Z784" s="56"/>
      <c r="AA784" s="56"/>
      <c r="AB784" s="56"/>
      <c r="AC784" s="56"/>
      <c r="AD784" s="56"/>
      <c r="AE784" s="56"/>
      <c r="AF784" s="56"/>
      <c r="AG784" s="56"/>
      <c r="AH784" s="56"/>
      <c r="AI784" s="56"/>
      <c r="AJ784" s="56"/>
      <c r="AK784" s="56"/>
      <c r="AL784" s="56"/>
    </row>
    <row r="785" spans="1:38" ht="14.25" customHeight="1">
      <c r="A785" s="56"/>
      <c r="B785" s="56"/>
      <c r="C785" s="56"/>
      <c r="D785" s="62"/>
      <c r="E785" s="56"/>
      <c r="F785" s="57"/>
      <c r="G785" s="57"/>
      <c r="H785" s="57"/>
      <c r="I785" s="57"/>
      <c r="J785" s="57"/>
      <c r="K785" s="58"/>
      <c r="L785" s="57"/>
      <c r="M785" s="57"/>
      <c r="N785" s="57"/>
      <c r="O785" s="57"/>
      <c r="P785" s="57"/>
      <c r="Q785" s="58"/>
      <c r="R785" s="57"/>
      <c r="S785" s="56"/>
      <c r="T785" s="56"/>
      <c r="U785" s="56"/>
      <c r="V785" s="56"/>
      <c r="W785" s="56"/>
      <c r="X785" s="56"/>
      <c r="Y785" s="56"/>
      <c r="Z785" s="56"/>
      <c r="AA785" s="56"/>
      <c r="AB785" s="56"/>
      <c r="AC785" s="56"/>
      <c r="AD785" s="56"/>
      <c r="AE785" s="56"/>
      <c r="AF785" s="56"/>
      <c r="AG785" s="56"/>
      <c r="AH785" s="56"/>
      <c r="AI785" s="56"/>
      <c r="AJ785" s="56"/>
      <c r="AK785" s="56"/>
      <c r="AL785" s="56"/>
    </row>
    <row r="786" spans="1:38" ht="14.25" customHeight="1">
      <c r="A786" s="56"/>
      <c r="B786" s="56"/>
      <c r="C786" s="56"/>
      <c r="D786" s="62"/>
      <c r="E786" s="56"/>
      <c r="F786" s="57"/>
      <c r="G786" s="57"/>
      <c r="H786" s="57"/>
      <c r="I786" s="57"/>
      <c r="J786" s="57"/>
      <c r="K786" s="58"/>
      <c r="L786" s="57"/>
      <c r="M786" s="57"/>
      <c r="N786" s="57"/>
      <c r="O786" s="57"/>
      <c r="P786" s="57"/>
      <c r="Q786" s="58"/>
      <c r="R786" s="57"/>
      <c r="S786" s="56"/>
      <c r="T786" s="56"/>
      <c r="U786" s="56"/>
      <c r="V786" s="56"/>
      <c r="W786" s="56"/>
      <c r="X786" s="56"/>
      <c r="Y786" s="56"/>
      <c r="Z786" s="56"/>
      <c r="AA786" s="56"/>
      <c r="AB786" s="56"/>
      <c r="AC786" s="56"/>
      <c r="AD786" s="56"/>
      <c r="AE786" s="56"/>
      <c r="AF786" s="56"/>
      <c r="AG786" s="56"/>
      <c r="AH786" s="56"/>
      <c r="AI786" s="56"/>
      <c r="AJ786" s="56"/>
      <c r="AK786" s="56"/>
      <c r="AL786" s="56"/>
    </row>
    <row r="787" spans="1:38" ht="14.25" customHeight="1">
      <c r="A787" s="56"/>
      <c r="B787" s="56"/>
      <c r="C787" s="56"/>
      <c r="D787" s="62"/>
      <c r="E787" s="56"/>
      <c r="F787" s="57"/>
      <c r="G787" s="57"/>
      <c r="H787" s="57"/>
      <c r="I787" s="57"/>
      <c r="J787" s="57"/>
      <c r="K787" s="58"/>
      <c r="L787" s="57"/>
      <c r="M787" s="57"/>
      <c r="N787" s="57"/>
      <c r="O787" s="57"/>
      <c r="P787" s="57"/>
      <c r="Q787" s="58"/>
      <c r="R787" s="57"/>
      <c r="S787" s="56"/>
      <c r="T787" s="56"/>
      <c r="U787" s="56"/>
      <c r="V787" s="56"/>
      <c r="W787" s="56"/>
      <c r="X787" s="56"/>
      <c r="Y787" s="56"/>
      <c r="Z787" s="56"/>
      <c r="AA787" s="56"/>
      <c r="AB787" s="56"/>
      <c r="AC787" s="56"/>
      <c r="AD787" s="56"/>
      <c r="AE787" s="56"/>
      <c r="AF787" s="56"/>
      <c r="AG787" s="56"/>
      <c r="AH787" s="56"/>
      <c r="AI787" s="56"/>
      <c r="AJ787" s="56"/>
      <c r="AK787" s="56"/>
      <c r="AL787" s="56"/>
    </row>
    <row r="788" spans="1:38" ht="14.25" customHeight="1">
      <c r="A788" s="56"/>
      <c r="B788" s="56"/>
      <c r="C788" s="56"/>
      <c r="D788" s="62"/>
      <c r="E788" s="56"/>
      <c r="F788" s="57"/>
      <c r="G788" s="57"/>
      <c r="H788" s="57"/>
      <c r="I788" s="57"/>
      <c r="J788" s="57"/>
      <c r="K788" s="58"/>
      <c r="L788" s="57"/>
      <c r="M788" s="57"/>
      <c r="N788" s="57"/>
      <c r="O788" s="57"/>
      <c r="P788" s="57"/>
      <c r="Q788" s="58"/>
      <c r="R788" s="57"/>
      <c r="S788" s="56"/>
      <c r="T788" s="56"/>
      <c r="U788" s="56"/>
      <c r="V788" s="56"/>
      <c r="W788" s="56"/>
      <c r="X788" s="56"/>
      <c r="Y788" s="56"/>
      <c r="Z788" s="56"/>
      <c r="AA788" s="56"/>
      <c r="AB788" s="56"/>
      <c r="AC788" s="56"/>
      <c r="AD788" s="56"/>
      <c r="AE788" s="56"/>
      <c r="AF788" s="56"/>
      <c r="AG788" s="56"/>
      <c r="AH788" s="56"/>
      <c r="AI788" s="56"/>
      <c r="AJ788" s="56"/>
      <c r="AK788" s="56"/>
      <c r="AL788" s="56"/>
    </row>
    <row r="789" spans="1:38" ht="14.25" customHeight="1">
      <c r="A789" s="56"/>
      <c r="B789" s="56"/>
      <c r="C789" s="56"/>
      <c r="D789" s="62"/>
      <c r="E789" s="56"/>
      <c r="F789" s="57"/>
      <c r="G789" s="57"/>
      <c r="H789" s="57"/>
      <c r="I789" s="57"/>
      <c r="J789" s="57"/>
      <c r="K789" s="58"/>
      <c r="L789" s="57"/>
      <c r="M789" s="57"/>
      <c r="N789" s="57"/>
      <c r="O789" s="57"/>
      <c r="P789" s="57"/>
      <c r="Q789" s="58"/>
      <c r="R789" s="57"/>
      <c r="S789" s="56"/>
      <c r="T789" s="56"/>
      <c r="U789" s="56"/>
      <c r="V789" s="56"/>
      <c r="W789" s="56"/>
      <c r="X789" s="56"/>
      <c r="Y789" s="56"/>
      <c r="Z789" s="56"/>
      <c r="AA789" s="56"/>
      <c r="AB789" s="56"/>
      <c r="AC789" s="56"/>
      <c r="AD789" s="56"/>
      <c r="AE789" s="56"/>
      <c r="AF789" s="56"/>
      <c r="AG789" s="56"/>
      <c r="AH789" s="56"/>
      <c r="AI789" s="56"/>
      <c r="AJ789" s="56"/>
      <c r="AK789" s="56"/>
      <c r="AL789" s="56"/>
    </row>
    <row r="790" spans="1:38" ht="14.25" customHeight="1">
      <c r="A790" s="56"/>
      <c r="B790" s="56"/>
      <c r="C790" s="56"/>
      <c r="D790" s="62"/>
      <c r="E790" s="56"/>
      <c r="F790" s="57"/>
      <c r="G790" s="57"/>
      <c r="H790" s="57"/>
      <c r="I790" s="57"/>
      <c r="J790" s="57"/>
      <c r="K790" s="58"/>
      <c r="L790" s="57"/>
      <c r="M790" s="57"/>
      <c r="N790" s="57"/>
      <c r="O790" s="57"/>
      <c r="P790" s="57"/>
      <c r="Q790" s="58"/>
      <c r="R790" s="57"/>
      <c r="S790" s="56"/>
      <c r="T790" s="56"/>
      <c r="U790" s="56"/>
      <c r="V790" s="56"/>
      <c r="W790" s="56"/>
      <c r="X790" s="56"/>
      <c r="Y790" s="56"/>
      <c r="Z790" s="56"/>
      <c r="AA790" s="56"/>
      <c r="AB790" s="56"/>
      <c r="AC790" s="56"/>
      <c r="AD790" s="56"/>
      <c r="AE790" s="56"/>
      <c r="AF790" s="56"/>
      <c r="AG790" s="56"/>
      <c r="AH790" s="56"/>
      <c r="AI790" s="56"/>
      <c r="AJ790" s="56"/>
      <c r="AK790" s="56"/>
      <c r="AL790" s="56"/>
    </row>
    <row r="791" spans="1:38" ht="14.25" customHeight="1">
      <c r="A791" s="56"/>
      <c r="B791" s="56"/>
      <c r="C791" s="56"/>
      <c r="D791" s="62"/>
      <c r="E791" s="56"/>
      <c r="F791" s="57"/>
      <c r="G791" s="57"/>
      <c r="H791" s="57"/>
      <c r="I791" s="57"/>
      <c r="J791" s="57"/>
      <c r="K791" s="58"/>
      <c r="L791" s="57"/>
      <c r="M791" s="57"/>
      <c r="N791" s="57"/>
      <c r="O791" s="57"/>
      <c r="P791" s="57"/>
      <c r="Q791" s="58"/>
      <c r="R791" s="57"/>
      <c r="S791" s="56"/>
      <c r="T791" s="56"/>
      <c r="U791" s="56"/>
      <c r="V791" s="56"/>
      <c r="W791" s="56"/>
      <c r="X791" s="56"/>
      <c r="Y791" s="56"/>
      <c r="Z791" s="56"/>
      <c r="AA791" s="56"/>
      <c r="AB791" s="56"/>
      <c r="AC791" s="56"/>
      <c r="AD791" s="56"/>
      <c r="AE791" s="56"/>
      <c r="AF791" s="56"/>
      <c r="AG791" s="56"/>
      <c r="AH791" s="56"/>
      <c r="AI791" s="56"/>
      <c r="AJ791" s="56"/>
      <c r="AK791" s="56"/>
      <c r="AL791" s="56"/>
    </row>
    <row r="792" spans="1:38" ht="14.25" customHeight="1">
      <c r="A792" s="56"/>
      <c r="B792" s="56"/>
      <c r="C792" s="56"/>
      <c r="D792" s="62"/>
      <c r="E792" s="56"/>
      <c r="F792" s="57"/>
      <c r="G792" s="57"/>
      <c r="H792" s="57"/>
      <c r="I792" s="57"/>
      <c r="J792" s="57"/>
      <c r="K792" s="58"/>
      <c r="L792" s="57"/>
      <c r="M792" s="57"/>
      <c r="N792" s="57"/>
      <c r="O792" s="57"/>
      <c r="P792" s="57"/>
      <c r="Q792" s="58"/>
      <c r="R792" s="57"/>
      <c r="S792" s="56"/>
      <c r="T792" s="56"/>
      <c r="U792" s="56"/>
      <c r="V792" s="56"/>
      <c r="W792" s="56"/>
      <c r="X792" s="56"/>
      <c r="Y792" s="56"/>
      <c r="Z792" s="56"/>
      <c r="AA792" s="56"/>
      <c r="AB792" s="56"/>
      <c r="AC792" s="56"/>
      <c r="AD792" s="56"/>
      <c r="AE792" s="56"/>
      <c r="AF792" s="56"/>
      <c r="AG792" s="56"/>
      <c r="AH792" s="56"/>
      <c r="AI792" s="56"/>
      <c r="AJ792" s="56"/>
      <c r="AK792" s="56"/>
      <c r="AL792" s="56"/>
    </row>
    <row r="793" spans="1:38" ht="14.25" customHeight="1">
      <c r="A793" s="56"/>
      <c r="B793" s="56"/>
      <c r="C793" s="56"/>
      <c r="D793" s="62"/>
      <c r="E793" s="56"/>
      <c r="F793" s="57"/>
      <c r="G793" s="57"/>
      <c r="H793" s="57"/>
      <c r="I793" s="57"/>
      <c r="J793" s="57"/>
      <c r="K793" s="58"/>
      <c r="L793" s="57"/>
      <c r="M793" s="57"/>
      <c r="N793" s="57"/>
      <c r="O793" s="57"/>
      <c r="P793" s="57"/>
      <c r="Q793" s="58"/>
      <c r="R793" s="57"/>
      <c r="S793" s="56"/>
      <c r="T793" s="56"/>
      <c r="U793" s="56"/>
      <c r="V793" s="56"/>
      <c r="W793" s="56"/>
      <c r="X793" s="56"/>
      <c r="Y793" s="56"/>
      <c r="Z793" s="56"/>
      <c r="AA793" s="56"/>
      <c r="AB793" s="56"/>
      <c r="AC793" s="56"/>
      <c r="AD793" s="56"/>
      <c r="AE793" s="56"/>
      <c r="AF793" s="56"/>
      <c r="AG793" s="56"/>
      <c r="AH793" s="56"/>
      <c r="AI793" s="56"/>
      <c r="AJ793" s="56"/>
      <c r="AK793" s="56"/>
      <c r="AL793" s="56"/>
    </row>
    <row r="794" spans="1:38" ht="14.25" customHeight="1">
      <c r="A794" s="56"/>
      <c r="B794" s="56"/>
      <c r="C794" s="56"/>
      <c r="D794" s="62"/>
      <c r="E794" s="56"/>
      <c r="F794" s="57"/>
      <c r="G794" s="57"/>
      <c r="H794" s="57"/>
      <c r="I794" s="57"/>
      <c r="J794" s="57"/>
      <c r="K794" s="58"/>
      <c r="L794" s="57"/>
      <c r="M794" s="57"/>
      <c r="N794" s="57"/>
      <c r="O794" s="57"/>
      <c r="P794" s="57"/>
      <c r="Q794" s="58"/>
      <c r="R794" s="57"/>
      <c r="S794" s="56"/>
      <c r="T794" s="56"/>
      <c r="U794" s="56"/>
      <c r="V794" s="56"/>
      <c r="W794" s="56"/>
      <c r="X794" s="56"/>
      <c r="Y794" s="56"/>
      <c r="Z794" s="56"/>
      <c r="AA794" s="56"/>
      <c r="AB794" s="56"/>
      <c r="AC794" s="56"/>
      <c r="AD794" s="56"/>
      <c r="AE794" s="56"/>
      <c r="AF794" s="56"/>
      <c r="AG794" s="56"/>
      <c r="AH794" s="56"/>
      <c r="AI794" s="56"/>
      <c r="AJ794" s="56"/>
      <c r="AK794" s="56"/>
      <c r="AL794" s="56"/>
    </row>
    <row r="795" spans="1:38" ht="14.25" customHeight="1">
      <c r="A795" s="56"/>
      <c r="B795" s="56"/>
      <c r="C795" s="56"/>
      <c r="D795" s="62"/>
      <c r="E795" s="56"/>
      <c r="F795" s="57"/>
      <c r="G795" s="57"/>
      <c r="H795" s="57"/>
      <c r="I795" s="57"/>
      <c r="J795" s="57"/>
      <c r="K795" s="58"/>
      <c r="L795" s="57"/>
      <c r="M795" s="57"/>
      <c r="N795" s="57"/>
      <c r="O795" s="57"/>
      <c r="P795" s="57"/>
      <c r="Q795" s="58"/>
      <c r="R795" s="57"/>
      <c r="S795" s="56"/>
      <c r="T795" s="56"/>
      <c r="U795" s="56"/>
      <c r="V795" s="56"/>
      <c r="W795" s="56"/>
      <c r="X795" s="56"/>
      <c r="Y795" s="56"/>
      <c r="Z795" s="56"/>
      <c r="AA795" s="56"/>
      <c r="AB795" s="56"/>
      <c r="AC795" s="56"/>
      <c r="AD795" s="56"/>
      <c r="AE795" s="56"/>
      <c r="AF795" s="56"/>
      <c r="AG795" s="56"/>
      <c r="AH795" s="56"/>
      <c r="AI795" s="56"/>
      <c r="AJ795" s="56"/>
      <c r="AK795" s="56"/>
      <c r="AL795" s="56"/>
    </row>
    <row r="796" spans="1:38" ht="14.25" customHeight="1">
      <c r="A796" s="56"/>
      <c r="B796" s="56"/>
      <c r="C796" s="56"/>
      <c r="D796" s="62"/>
      <c r="E796" s="56"/>
      <c r="F796" s="57"/>
      <c r="G796" s="57"/>
      <c r="H796" s="57"/>
      <c r="I796" s="57"/>
      <c r="J796" s="57"/>
      <c r="K796" s="58"/>
      <c r="L796" s="57"/>
      <c r="M796" s="57"/>
      <c r="N796" s="57"/>
      <c r="O796" s="57"/>
      <c r="P796" s="57"/>
      <c r="Q796" s="58"/>
      <c r="R796" s="57"/>
      <c r="S796" s="56"/>
      <c r="T796" s="56"/>
      <c r="U796" s="56"/>
      <c r="V796" s="56"/>
      <c r="W796" s="56"/>
      <c r="X796" s="56"/>
      <c r="Y796" s="56"/>
      <c r="Z796" s="56"/>
      <c r="AA796" s="56"/>
      <c r="AB796" s="56"/>
      <c r="AC796" s="56"/>
      <c r="AD796" s="56"/>
      <c r="AE796" s="56"/>
      <c r="AF796" s="56"/>
      <c r="AG796" s="56"/>
      <c r="AH796" s="56"/>
      <c r="AI796" s="56"/>
      <c r="AJ796" s="56"/>
      <c r="AK796" s="56"/>
      <c r="AL796" s="56"/>
    </row>
    <row r="797" spans="1:38" ht="14.25" customHeight="1">
      <c r="A797" s="56"/>
      <c r="B797" s="56"/>
      <c r="C797" s="56"/>
      <c r="D797" s="62"/>
      <c r="E797" s="56"/>
      <c r="F797" s="57"/>
      <c r="G797" s="57"/>
      <c r="H797" s="57"/>
      <c r="I797" s="57"/>
      <c r="J797" s="57"/>
      <c r="K797" s="58"/>
      <c r="L797" s="57"/>
      <c r="M797" s="57"/>
      <c r="N797" s="57"/>
      <c r="O797" s="57"/>
      <c r="P797" s="57"/>
      <c r="Q797" s="58"/>
      <c r="R797" s="57"/>
      <c r="S797" s="56"/>
      <c r="T797" s="56"/>
      <c r="U797" s="56"/>
      <c r="V797" s="56"/>
      <c r="W797" s="56"/>
      <c r="X797" s="56"/>
      <c r="Y797" s="56"/>
      <c r="Z797" s="56"/>
      <c r="AA797" s="56"/>
      <c r="AB797" s="56"/>
      <c r="AC797" s="56"/>
      <c r="AD797" s="56"/>
      <c r="AE797" s="56"/>
      <c r="AF797" s="56"/>
      <c r="AG797" s="56"/>
      <c r="AH797" s="56"/>
      <c r="AI797" s="56"/>
      <c r="AJ797" s="56"/>
      <c r="AK797" s="56"/>
      <c r="AL797" s="56"/>
    </row>
    <row r="798" spans="1:38" ht="14.25" customHeight="1">
      <c r="A798" s="56"/>
      <c r="B798" s="56"/>
      <c r="C798" s="56"/>
      <c r="D798" s="62"/>
      <c r="E798" s="56"/>
      <c r="F798" s="57"/>
      <c r="G798" s="57"/>
      <c r="H798" s="57"/>
      <c r="I798" s="57"/>
      <c r="J798" s="57"/>
      <c r="K798" s="58"/>
      <c r="L798" s="57"/>
      <c r="M798" s="57"/>
      <c r="N798" s="57"/>
      <c r="O798" s="57"/>
      <c r="P798" s="57"/>
      <c r="Q798" s="58"/>
      <c r="R798" s="57"/>
      <c r="S798" s="56"/>
      <c r="T798" s="56"/>
      <c r="U798" s="56"/>
      <c r="V798" s="56"/>
      <c r="W798" s="56"/>
      <c r="X798" s="56"/>
      <c r="Y798" s="56"/>
      <c r="Z798" s="56"/>
      <c r="AA798" s="56"/>
      <c r="AB798" s="56"/>
      <c r="AC798" s="56"/>
      <c r="AD798" s="56"/>
      <c r="AE798" s="56"/>
      <c r="AF798" s="56"/>
      <c r="AG798" s="56"/>
      <c r="AH798" s="56"/>
      <c r="AI798" s="56"/>
      <c r="AJ798" s="56"/>
      <c r="AK798" s="56"/>
      <c r="AL798" s="56"/>
    </row>
    <row r="799" spans="1:38" ht="14.25" customHeight="1">
      <c r="A799" s="56"/>
      <c r="B799" s="56"/>
      <c r="C799" s="56"/>
      <c r="D799" s="62"/>
      <c r="E799" s="56"/>
      <c r="F799" s="57"/>
      <c r="G799" s="57"/>
      <c r="H799" s="57"/>
      <c r="I799" s="57"/>
      <c r="J799" s="57"/>
      <c r="K799" s="58"/>
      <c r="L799" s="57"/>
      <c r="M799" s="57"/>
      <c r="N799" s="57"/>
      <c r="O799" s="57"/>
      <c r="P799" s="57"/>
      <c r="Q799" s="58"/>
      <c r="R799" s="57"/>
      <c r="S799" s="56"/>
      <c r="T799" s="56"/>
      <c r="U799" s="56"/>
      <c r="V799" s="56"/>
      <c r="W799" s="56"/>
      <c r="X799" s="56"/>
      <c r="Y799" s="56"/>
      <c r="Z799" s="56"/>
      <c r="AA799" s="56"/>
      <c r="AB799" s="56"/>
      <c r="AC799" s="56"/>
      <c r="AD799" s="56"/>
      <c r="AE799" s="56"/>
      <c r="AF799" s="56"/>
      <c r="AG799" s="56"/>
      <c r="AH799" s="56"/>
      <c r="AI799" s="56"/>
      <c r="AJ799" s="56"/>
      <c r="AK799" s="56"/>
      <c r="AL799" s="56"/>
    </row>
    <row r="800" spans="1:38" ht="14.25" customHeight="1">
      <c r="A800" s="56"/>
      <c r="B800" s="56"/>
      <c r="C800" s="56"/>
      <c r="D800" s="62"/>
      <c r="E800" s="56"/>
      <c r="F800" s="57"/>
      <c r="G800" s="57"/>
      <c r="H800" s="57"/>
      <c r="I800" s="57"/>
      <c r="J800" s="57"/>
      <c r="K800" s="58"/>
      <c r="L800" s="57"/>
      <c r="M800" s="57"/>
      <c r="N800" s="57"/>
      <c r="O800" s="57"/>
      <c r="P800" s="57"/>
      <c r="Q800" s="58"/>
      <c r="R800" s="57"/>
      <c r="S800" s="56"/>
      <c r="T800" s="56"/>
      <c r="U800" s="56"/>
      <c r="V800" s="56"/>
      <c r="W800" s="56"/>
      <c r="X800" s="56"/>
      <c r="Y800" s="56"/>
      <c r="Z800" s="56"/>
      <c r="AA800" s="56"/>
      <c r="AB800" s="56"/>
      <c r="AC800" s="56"/>
      <c r="AD800" s="56"/>
      <c r="AE800" s="56"/>
      <c r="AF800" s="56"/>
      <c r="AG800" s="56"/>
      <c r="AH800" s="56"/>
      <c r="AI800" s="56"/>
      <c r="AJ800" s="56"/>
      <c r="AK800" s="56"/>
      <c r="AL800" s="56"/>
    </row>
    <row r="801" spans="1:38" ht="14.25" customHeight="1">
      <c r="A801" s="56"/>
      <c r="B801" s="56"/>
      <c r="C801" s="56"/>
      <c r="D801" s="62"/>
      <c r="E801" s="56"/>
      <c r="F801" s="57"/>
      <c r="G801" s="57"/>
      <c r="H801" s="57"/>
      <c r="I801" s="57"/>
      <c r="J801" s="57"/>
      <c r="K801" s="58"/>
      <c r="L801" s="57"/>
      <c r="M801" s="57"/>
      <c r="N801" s="57"/>
      <c r="O801" s="57"/>
      <c r="P801" s="57"/>
      <c r="Q801" s="58"/>
      <c r="R801" s="57"/>
      <c r="S801" s="56"/>
      <c r="T801" s="56"/>
      <c r="U801" s="56"/>
      <c r="V801" s="56"/>
      <c r="W801" s="56"/>
      <c r="X801" s="56"/>
      <c r="Y801" s="56"/>
      <c r="Z801" s="56"/>
      <c r="AA801" s="56"/>
      <c r="AB801" s="56"/>
      <c r="AC801" s="56"/>
      <c r="AD801" s="56"/>
      <c r="AE801" s="56"/>
      <c r="AF801" s="56"/>
      <c r="AG801" s="56"/>
      <c r="AH801" s="56"/>
      <c r="AI801" s="56"/>
      <c r="AJ801" s="56"/>
      <c r="AK801" s="56"/>
      <c r="AL801" s="56"/>
    </row>
    <row r="802" spans="1:38" ht="14.25" customHeight="1">
      <c r="A802" s="56"/>
      <c r="B802" s="56"/>
      <c r="C802" s="56"/>
      <c r="D802" s="62"/>
      <c r="E802" s="56"/>
      <c r="F802" s="57"/>
      <c r="G802" s="57"/>
      <c r="H802" s="57"/>
      <c r="I802" s="57"/>
      <c r="J802" s="57"/>
      <c r="K802" s="58"/>
      <c r="L802" s="57"/>
      <c r="M802" s="57"/>
      <c r="N802" s="57"/>
      <c r="O802" s="57"/>
      <c r="P802" s="57"/>
      <c r="Q802" s="58"/>
      <c r="R802" s="57"/>
      <c r="S802" s="56"/>
      <c r="T802" s="56"/>
      <c r="U802" s="56"/>
      <c r="V802" s="56"/>
      <c r="W802" s="56"/>
      <c r="X802" s="56"/>
      <c r="Y802" s="56"/>
      <c r="Z802" s="56"/>
      <c r="AA802" s="56"/>
      <c r="AB802" s="56"/>
      <c r="AC802" s="56"/>
      <c r="AD802" s="56"/>
      <c r="AE802" s="56"/>
      <c r="AF802" s="56"/>
      <c r="AG802" s="56"/>
      <c r="AH802" s="56"/>
      <c r="AI802" s="56"/>
      <c r="AJ802" s="56"/>
      <c r="AK802" s="56"/>
      <c r="AL802" s="56"/>
    </row>
    <row r="803" spans="1:38" ht="14.25" customHeight="1">
      <c r="A803" s="56"/>
      <c r="B803" s="56"/>
      <c r="C803" s="56"/>
      <c r="D803" s="62"/>
      <c r="E803" s="56"/>
      <c r="F803" s="57"/>
      <c r="G803" s="57"/>
      <c r="H803" s="57"/>
      <c r="I803" s="57"/>
      <c r="J803" s="57"/>
      <c r="K803" s="58"/>
      <c r="L803" s="57"/>
      <c r="M803" s="57"/>
      <c r="N803" s="57"/>
      <c r="O803" s="57"/>
      <c r="P803" s="57"/>
      <c r="Q803" s="58"/>
      <c r="R803" s="57"/>
      <c r="S803" s="56"/>
      <c r="T803" s="56"/>
      <c r="U803" s="56"/>
      <c r="V803" s="56"/>
      <c r="W803" s="56"/>
      <c r="X803" s="56"/>
      <c r="Y803" s="56"/>
      <c r="Z803" s="56"/>
      <c r="AA803" s="56"/>
      <c r="AB803" s="56"/>
      <c r="AC803" s="56"/>
      <c r="AD803" s="56"/>
      <c r="AE803" s="56"/>
      <c r="AF803" s="56"/>
      <c r="AG803" s="56"/>
      <c r="AH803" s="56"/>
      <c r="AI803" s="56"/>
      <c r="AJ803" s="56"/>
      <c r="AK803" s="56"/>
      <c r="AL803" s="56"/>
    </row>
    <row r="804" spans="1:38" ht="14.25" customHeight="1">
      <c r="A804" s="56"/>
      <c r="B804" s="56"/>
      <c r="C804" s="56"/>
      <c r="D804" s="62"/>
      <c r="E804" s="56"/>
      <c r="F804" s="57"/>
      <c r="G804" s="57"/>
      <c r="H804" s="57"/>
      <c r="I804" s="57"/>
      <c r="J804" s="57"/>
      <c r="K804" s="58"/>
      <c r="L804" s="57"/>
      <c r="M804" s="57"/>
      <c r="N804" s="57"/>
      <c r="O804" s="57"/>
      <c r="P804" s="57"/>
      <c r="Q804" s="58"/>
      <c r="R804" s="57"/>
      <c r="S804" s="56"/>
      <c r="T804" s="56"/>
      <c r="U804" s="56"/>
      <c r="V804" s="56"/>
      <c r="W804" s="56"/>
      <c r="X804" s="56"/>
      <c r="Y804" s="56"/>
      <c r="Z804" s="56"/>
      <c r="AA804" s="56"/>
      <c r="AB804" s="56"/>
      <c r="AC804" s="56"/>
      <c r="AD804" s="56"/>
      <c r="AE804" s="56"/>
      <c r="AF804" s="56"/>
      <c r="AG804" s="56"/>
      <c r="AH804" s="56"/>
      <c r="AI804" s="56"/>
      <c r="AJ804" s="56"/>
      <c r="AK804" s="56"/>
      <c r="AL804" s="56"/>
    </row>
    <row r="805" spans="1:38" ht="14.25" customHeight="1">
      <c r="A805" s="56"/>
      <c r="B805" s="56"/>
      <c r="C805" s="56"/>
      <c r="D805" s="62"/>
      <c r="E805" s="56"/>
      <c r="F805" s="57"/>
      <c r="G805" s="57"/>
      <c r="H805" s="57"/>
      <c r="I805" s="57"/>
      <c r="J805" s="57"/>
      <c r="K805" s="58"/>
      <c r="L805" s="57"/>
      <c r="M805" s="57"/>
      <c r="N805" s="57"/>
      <c r="O805" s="57"/>
      <c r="P805" s="57"/>
      <c r="Q805" s="58"/>
      <c r="R805" s="57"/>
      <c r="S805" s="56"/>
      <c r="T805" s="56"/>
      <c r="U805" s="56"/>
      <c r="V805" s="56"/>
      <c r="W805" s="56"/>
      <c r="X805" s="56"/>
      <c r="Y805" s="56"/>
      <c r="Z805" s="56"/>
      <c r="AA805" s="56"/>
      <c r="AB805" s="56"/>
      <c r="AC805" s="56"/>
      <c r="AD805" s="56"/>
      <c r="AE805" s="56"/>
      <c r="AF805" s="56"/>
      <c r="AG805" s="56"/>
      <c r="AH805" s="56"/>
      <c r="AI805" s="56"/>
      <c r="AJ805" s="56"/>
      <c r="AK805" s="56"/>
      <c r="AL805" s="56"/>
    </row>
    <row r="806" spans="1:38" ht="14.25" customHeight="1">
      <c r="A806" s="56"/>
      <c r="B806" s="56"/>
      <c r="C806" s="56"/>
      <c r="D806" s="62"/>
      <c r="E806" s="56"/>
      <c r="F806" s="57"/>
      <c r="G806" s="57"/>
      <c r="H806" s="57"/>
      <c r="I806" s="57"/>
      <c r="J806" s="57"/>
      <c r="K806" s="58"/>
      <c r="L806" s="57"/>
      <c r="M806" s="57"/>
      <c r="N806" s="57"/>
      <c r="O806" s="57"/>
      <c r="P806" s="57"/>
      <c r="Q806" s="58"/>
      <c r="R806" s="57"/>
      <c r="S806" s="56"/>
      <c r="T806" s="56"/>
      <c r="U806" s="56"/>
      <c r="V806" s="56"/>
      <c r="W806" s="56"/>
      <c r="X806" s="56"/>
      <c r="Y806" s="56"/>
      <c r="Z806" s="56"/>
      <c r="AA806" s="56"/>
      <c r="AB806" s="56"/>
      <c r="AC806" s="56"/>
      <c r="AD806" s="56"/>
      <c r="AE806" s="56"/>
      <c r="AF806" s="56"/>
      <c r="AG806" s="56"/>
      <c r="AH806" s="56"/>
      <c r="AI806" s="56"/>
      <c r="AJ806" s="56"/>
      <c r="AK806" s="56"/>
      <c r="AL806" s="56"/>
    </row>
    <row r="807" spans="1:38" ht="14.25" customHeight="1">
      <c r="A807" s="56"/>
      <c r="B807" s="56"/>
      <c r="C807" s="56"/>
      <c r="D807" s="62"/>
      <c r="E807" s="56"/>
      <c r="F807" s="57"/>
      <c r="G807" s="57"/>
      <c r="H807" s="57"/>
      <c r="I807" s="57"/>
      <c r="J807" s="57"/>
      <c r="K807" s="58"/>
      <c r="L807" s="57"/>
      <c r="M807" s="57"/>
      <c r="N807" s="57"/>
      <c r="O807" s="57"/>
      <c r="P807" s="57"/>
      <c r="Q807" s="58"/>
      <c r="R807" s="57"/>
      <c r="S807" s="56"/>
      <c r="T807" s="56"/>
      <c r="U807" s="56"/>
      <c r="V807" s="56"/>
      <c r="W807" s="56"/>
      <c r="X807" s="56"/>
      <c r="Y807" s="56"/>
      <c r="Z807" s="56"/>
      <c r="AA807" s="56"/>
      <c r="AB807" s="56"/>
      <c r="AC807" s="56"/>
      <c r="AD807" s="56"/>
      <c r="AE807" s="56"/>
      <c r="AF807" s="56"/>
      <c r="AG807" s="56"/>
      <c r="AH807" s="56"/>
      <c r="AI807" s="56"/>
      <c r="AJ807" s="56"/>
      <c r="AK807" s="56"/>
      <c r="AL807" s="56"/>
    </row>
    <row r="808" spans="1:38" ht="14.25" customHeight="1">
      <c r="A808" s="56"/>
      <c r="B808" s="56"/>
      <c r="C808" s="56"/>
      <c r="D808" s="62"/>
      <c r="E808" s="56"/>
      <c r="F808" s="57"/>
      <c r="G808" s="57"/>
      <c r="H808" s="57"/>
      <c r="I808" s="57"/>
      <c r="J808" s="57"/>
      <c r="K808" s="58"/>
      <c r="L808" s="57"/>
      <c r="M808" s="57"/>
      <c r="N808" s="57"/>
      <c r="O808" s="57"/>
      <c r="P808" s="57"/>
      <c r="Q808" s="58"/>
      <c r="R808" s="57"/>
      <c r="S808" s="56"/>
      <c r="T808" s="56"/>
      <c r="U808" s="56"/>
      <c r="V808" s="56"/>
      <c r="W808" s="56"/>
      <c r="X808" s="56"/>
      <c r="Y808" s="56"/>
      <c r="Z808" s="56"/>
      <c r="AA808" s="56"/>
      <c r="AB808" s="56"/>
      <c r="AC808" s="56"/>
      <c r="AD808" s="56"/>
      <c r="AE808" s="56"/>
      <c r="AF808" s="56"/>
      <c r="AG808" s="56"/>
      <c r="AH808" s="56"/>
      <c r="AI808" s="56"/>
      <c r="AJ808" s="56"/>
      <c r="AK808" s="56"/>
      <c r="AL808" s="56"/>
    </row>
    <row r="809" spans="1:38" ht="14.25" customHeight="1">
      <c r="A809" s="56"/>
      <c r="B809" s="56"/>
      <c r="C809" s="56"/>
      <c r="D809" s="62"/>
      <c r="E809" s="56"/>
      <c r="F809" s="57"/>
      <c r="G809" s="57"/>
      <c r="H809" s="57"/>
      <c r="I809" s="57"/>
      <c r="J809" s="57"/>
      <c r="K809" s="58"/>
      <c r="L809" s="57"/>
      <c r="M809" s="57"/>
      <c r="N809" s="57"/>
      <c r="O809" s="57"/>
      <c r="P809" s="57"/>
      <c r="Q809" s="58"/>
      <c r="R809" s="57"/>
      <c r="S809" s="56"/>
      <c r="T809" s="56"/>
      <c r="U809" s="56"/>
      <c r="V809" s="56"/>
      <c r="W809" s="56"/>
      <c r="X809" s="56"/>
      <c r="Y809" s="56"/>
      <c r="Z809" s="56"/>
      <c r="AA809" s="56"/>
      <c r="AB809" s="56"/>
      <c r="AC809" s="56"/>
      <c r="AD809" s="56"/>
      <c r="AE809" s="56"/>
      <c r="AF809" s="56"/>
      <c r="AG809" s="56"/>
      <c r="AH809" s="56"/>
      <c r="AI809" s="56"/>
      <c r="AJ809" s="56"/>
      <c r="AK809" s="56"/>
      <c r="AL809" s="56"/>
    </row>
    <row r="810" spans="1:38" ht="14.25" customHeight="1">
      <c r="A810" s="56"/>
      <c r="B810" s="56"/>
      <c r="C810" s="56"/>
      <c r="D810" s="62"/>
      <c r="E810" s="56"/>
      <c r="F810" s="57"/>
      <c r="G810" s="57"/>
      <c r="H810" s="57"/>
      <c r="I810" s="57"/>
      <c r="J810" s="57"/>
      <c r="K810" s="58"/>
      <c r="L810" s="57"/>
      <c r="M810" s="57"/>
      <c r="N810" s="57"/>
      <c r="O810" s="57"/>
      <c r="P810" s="57"/>
      <c r="Q810" s="58"/>
      <c r="R810" s="57"/>
      <c r="S810" s="56"/>
      <c r="T810" s="56"/>
      <c r="U810" s="56"/>
      <c r="V810" s="56"/>
      <c r="W810" s="56"/>
      <c r="X810" s="56"/>
      <c r="Y810" s="56"/>
      <c r="Z810" s="56"/>
      <c r="AA810" s="56"/>
      <c r="AB810" s="56"/>
      <c r="AC810" s="56"/>
      <c r="AD810" s="56"/>
      <c r="AE810" s="56"/>
      <c r="AF810" s="56"/>
      <c r="AG810" s="56"/>
      <c r="AH810" s="56"/>
      <c r="AI810" s="56"/>
      <c r="AJ810" s="56"/>
      <c r="AK810" s="56"/>
      <c r="AL810" s="56"/>
    </row>
    <row r="811" spans="1:38" ht="14.25" customHeight="1">
      <c r="A811" s="56"/>
      <c r="B811" s="56"/>
      <c r="C811" s="56"/>
      <c r="D811" s="62"/>
      <c r="E811" s="56"/>
      <c r="F811" s="57"/>
      <c r="G811" s="57"/>
      <c r="H811" s="57"/>
      <c r="I811" s="57"/>
      <c r="J811" s="57"/>
      <c r="K811" s="58"/>
      <c r="L811" s="57"/>
      <c r="M811" s="57"/>
      <c r="N811" s="57"/>
      <c r="O811" s="57"/>
      <c r="P811" s="57"/>
      <c r="Q811" s="58"/>
      <c r="R811" s="57"/>
      <c r="S811" s="56"/>
      <c r="T811" s="56"/>
      <c r="U811" s="56"/>
      <c r="V811" s="56"/>
      <c r="W811" s="56"/>
      <c r="X811" s="56"/>
      <c r="Y811" s="56"/>
      <c r="Z811" s="56"/>
      <c r="AA811" s="56"/>
      <c r="AB811" s="56"/>
      <c r="AC811" s="56"/>
      <c r="AD811" s="56"/>
      <c r="AE811" s="56"/>
      <c r="AF811" s="56"/>
      <c r="AG811" s="56"/>
      <c r="AH811" s="56"/>
      <c r="AI811" s="56"/>
      <c r="AJ811" s="56"/>
      <c r="AK811" s="56"/>
      <c r="AL811" s="56"/>
    </row>
    <row r="812" spans="1:38" ht="14.25" customHeight="1">
      <c r="A812" s="56"/>
      <c r="B812" s="56"/>
      <c r="C812" s="56"/>
      <c r="D812" s="62"/>
      <c r="E812" s="56"/>
      <c r="F812" s="57"/>
      <c r="G812" s="57"/>
      <c r="H812" s="57"/>
      <c r="I812" s="57"/>
      <c r="J812" s="57"/>
      <c r="K812" s="58"/>
      <c r="L812" s="57"/>
      <c r="M812" s="57"/>
      <c r="N812" s="57"/>
      <c r="O812" s="57"/>
      <c r="P812" s="57"/>
      <c r="Q812" s="58"/>
      <c r="R812" s="57"/>
      <c r="S812" s="56"/>
      <c r="T812" s="56"/>
      <c r="U812" s="56"/>
      <c r="V812" s="56"/>
      <c r="W812" s="56"/>
      <c r="X812" s="56"/>
      <c r="Y812" s="56"/>
      <c r="Z812" s="56"/>
      <c r="AA812" s="56"/>
      <c r="AB812" s="56"/>
      <c r="AC812" s="56"/>
      <c r="AD812" s="56"/>
      <c r="AE812" s="56"/>
      <c r="AF812" s="56"/>
      <c r="AG812" s="56"/>
      <c r="AH812" s="56"/>
      <c r="AI812" s="56"/>
      <c r="AJ812" s="56"/>
      <c r="AK812" s="56"/>
      <c r="AL812" s="56"/>
    </row>
    <row r="813" spans="1:38" ht="14.25" customHeight="1">
      <c r="A813" s="56"/>
      <c r="B813" s="56"/>
      <c r="C813" s="56"/>
      <c r="D813" s="62"/>
      <c r="E813" s="56"/>
      <c r="F813" s="57"/>
      <c r="G813" s="57"/>
      <c r="H813" s="57"/>
      <c r="I813" s="57"/>
      <c r="J813" s="57"/>
      <c r="K813" s="58"/>
      <c r="L813" s="57"/>
      <c r="M813" s="57"/>
      <c r="N813" s="57"/>
      <c r="O813" s="57"/>
      <c r="P813" s="57"/>
      <c r="Q813" s="58"/>
      <c r="R813" s="57"/>
      <c r="S813" s="56"/>
      <c r="T813" s="56"/>
      <c r="U813" s="56"/>
      <c r="V813" s="56"/>
      <c r="W813" s="56"/>
      <c r="X813" s="56"/>
      <c r="Y813" s="56"/>
      <c r="Z813" s="56"/>
      <c r="AA813" s="56"/>
      <c r="AB813" s="56"/>
      <c r="AC813" s="56"/>
      <c r="AD813" s="56"/>
      <c r="AE813" s="56"/>
      <c r="AF813" s="56"/>
      <c r="AG813" s="56"/>
      <c r="AH813" s="56"/>
      <c r="AI813" s="56"/>
      <c r="AJ813" s="56"/>
      <c r="AK813" s="56"/>
      <c r="AL813" s="56"/>
    </row>
    <row r="814" spans="1:38" ht="14.25" customHeight="1">
      <c r="A814" s="56"/>
      <c r="B814" s="56"/>
      <c r="C814" s="56"/>
      <c r="D814" s="62"/>
      <c r="E814" s="56"/>
      <c r="F814" s="57"/>
      <c r="G814" s="57"/>
      <c r="H814" s="57"/>
      <c r="I814" s="57"/>
      <c r="J814" s="57"/>
      <c r="K814" s="58"/>
      <c r="L814" s="57"/>
      <c r="M814" s="57"/>
      <c r="N814" s="57"/>
      <c r="O814" s="57"/>
      <c r="P814" s="57"/>
      <c r="Q814" s="58"/>
      <c r="R814" s="57"/>
      <c r="S814" s="56"/>
      <c r="T814" s="56"/>
      <c r="U814" s="56"/>
      <c r="V814" s="56"/>
      <c r="W814" s="56"/>
      <c r="X814" s="56"/>
      <c r="Y814" s="56"/>
      <c r="Z814" s="56"/>
      <c r="AA814" s="56"/>
      <c r="AB814" s="56"/>
      <c r="AC814" s="56"/>
      <c r="AD814" s="56"/>
      <c r="AE814" s="56"/>
      <c r="AF814" s="56"/>
      <c r="AG814" s="56"/>
      <c r="AH814" s="56"/>
      <c r="AI814" s="56"/>
      <c r="AJ814" s="56"/>
      <c r="AK814" s="56"/>
      <c r="AL814" s="56"/>
    </row>
    <row r="815" spans="1:38" ht="14.25" customHeight="1">
      <c r="A815" s="56"/>
      <c r="B815" s="56"/>
      <c r="C815" s="56"/>
      <c r="D815" s="62"/>
      <c r="E815" s="56"/>
      <c r="F815" s="57"/>
      <c r="G815" s="57"/>
      <c r="H815" s="57"/>
      <c r="I815" s="57"/>
      <c r="J815" s="57"/>
      <c r="K815" s="58"/>
      <c r="L815" s="57"/>
      <c r="M815" s="57"/>
      <c r="N815" s="57"/>
      <c r="O815" s="57"/>
      <c r="P815" s="57"/>
      <c r="Q815" s="58"/>
      <c r="R815" s="57"/>
      <c r="S815" s="56"/>
      <c r="T815" s="56"/>
      <c r="U815" s="56"/>
      <c r="V815" s="56"/>
      <c r="W815" s="56"/>
      <c r="X815" s="56"/>
      <c r="Y815" s="56"/>
      <c r="Z815" s="56"/>
      <c r="AA815" s="56"/>
      <c r="AB815" s="56"/>
      <c r="AC815" s="56"/>
      <c r="AD815" s="56"/>
      <c r="AE815" s="56"/>
      <c r="AF815" s="56"/>
      <c r="AG815" s="56"/>
      <c r="AH815" s="56"/>
      <c r="AI815" s="56"/>
      <c r="AJ815" s="56"/>
      <c r="AK815" s="56"/>
      <c r="AL815" s="56"/>
    </row>
    <row r="816" spans="1:38" ht="14.25" customHeight="1">
      <c r="A816" s="56"/>
      <c r="B816" s="56"/>
      <c r="C816" s="56"/>
      <c r="D816" s="62"/>
      <c r="E816" s="56"/>
      <c r="F816" s="57"/>
      <c r="G816" s="57"/>
      <c r="H816" s="57"/>
      <c r="I816" s="57"/>
      <c r="J816" s="57"/>
      <c r="K816" s="58"/>
      <c r="L816" s="57"/>
      <c r="M816" s="57"/>
      <c r="N816" s="57"/>
      <c r="O816" s="57"/>
      <c r="P816" s="57"/>
      <c r="Q816" s="58"/>
      <c r="R816" s="57"/>
      <c r="S816" s="56"/>
      <c r="T816" s="56"/>
      <c r="U816" s="56"/>
      <c r="V816" s="56"/>
      <c r="W816" s="56"/>
      <c r="X816" s="56"/>
      <c r="Y816" s="56"/>
      <c r="Z816" s="56"/>
      <c r="AA816" s="56"/>
      <c r="AB816" s="56"/>
      <c r="AC816" s="56"/>
      <c r="AD816" s="56"/>
      <c r="AE816" s="56"/>
      <c r="AF816" s="56"/>
      <c r="AG816" s="56"/>
      <c r="AH816" s="56"/>
      <c r="AI816" s="56"/>
      <c r="AJ816" s="56"/>
      <c r="AK816" s="56"/>
      <c r="AL816" s="56"/>
    </row>
    <row r="817" spans="1:38" ht="14.25" customHeight="1">
      <c r="A817" s="56"/>
      <c r="B817" s="56"/>
      <c r="C817" s="56"/>
      <c r="D817" s="62"/>
      <c r="E817" s="56"/>
      <c r="F817" s="57"/>
      <c r="G817" s="57"/>
      <c r="H817" s="57"/>
      <c r="I817" s="57"/>
      <c r="J817" s="57"/>
      <c r="K817" s="58"/>
      <c r="L817" s="57"/>
      <c r="M817" s="57"/>
      <c r="N817" s="57"/>
      <c r="O817" s="57"/>
      <c r="P817" s="57"/>
      <c r="Q817" s="58"/>
      <c r="R817" s="57"/>
      <c r="S817" s="56"/>
      <c r="T817" s="56"/>
      <c r="U817" s="56"/>
      <c r="V817" s="56"/>
      <c r="W817" s="56"/>
      <c r="X817" s="56"/>
      <c r="Y817" s="56"/>
      <c r="Z817" s="56"/>
      <c r="AA817" s="56"/>
      <c r="AB817" s="56"/>
      <c r="AC817" s="56"/>
      <c r="AD817" s="56"/>
      <c r="AE817" s="56"/>
      <c r="AF817" s="56"/>
      <c r="AG817" s="56"/>
      <c r="AH817" s="56"/>
      <c r="AI817" s="56"/>
      <c r="AJ817" s="56"/>
      <c r="AK817" s="56"/>
      <c r="AL817" s="56"/>
    </row>
    <row r="818" spans="1:38" ht="14.25" customHeight="1">
      <c r="A818" s="56"/>
      <c r="B818" s="56"/>
      <c r="C818" s="56"/>
      <c r="D818" s="62"/>
      <c r="E818" s="56"/>
      <c r="F818" s="57"/>
      <c r="G818" s="57"/>
      <c r="H818" s="57"/>
      <c r="I818" s="57"/>
      <c r="J818" s="57"/>
      <c r="K818" s="58"/>
      <c r="L818" s="57"/>
      <c r="M818" s="57"/>
      <c r="N818" s="57"/>
      <c r="O818" s="57"/>
      <c r="P818" s="57"/>
      <c r="Q818" s="58"/>
      <c r="R818" s="57"/>
      <c r="S818" s="56"/>
      <c r="T818" s="56"/>
      <c r="U818" s="56"/>
      <c r="V818" s="56"/>
      <c r="W818" s="56"/>
      <c r="X818" s="56"/>
      <c r="Y818" s="56"/>
      <c r="Z818" s="56"/>
      <c r="AA818" s="56"/>
      <c r="AB818" s="56"/>
      <c r="AC818" s="56"/>
      <c r="AD818" s="56"/>
      <c r="AE818" s="56"/>
      <c r="AF818" s="56"/>
      <c r="AG818" s="56"/>
      <c r="AH818" s="56"/>
      <c r="AI818" s="56"/>
      <c r="AJ818" s="56"/>
      <c r="AK818" s="56"/>
      <c r="AL818" s="56"/>
    </row>
    <row r="819" spans="1:38" ht="14.25" customHeight="1">
      <c r="A819" s="56"/>
      <c r="B819" s="56"/>
      <c r="C819" s="56"/>
      <c r="D819" s="62"/>
      <c r="E819" s="56"/>
      <c r="F819" s="57"/>
      <c r="G819" s="57"/>
      <c r="H819" s="57"/>
      <c r="I819" s="57"/>
      <c r="J819" s="57"/>
      <c r="K819" s="58"/>
      <c r="L819" s="57"/>
      <c r="M819" s="57"/>
      <c r="N819" s="57"/>
      <c r="O819" s="57"/>
      <c r="P819" s="57"/>
      <c r="Q819" s="58"/>
      <c r="R819" s="57"/>
      <c r="S819" s="56"/>
      <c r="T819" s="56"/>
      <c r="U819" s="56"/>
      <c r="V819" s="56"/>
      <c r="W819" s="56"/>
      <c r="X819" s="56"/>
      <c r="Y819" s="56"/>
      <c r="Z819" s="56"/>
      <c r="AA819" s="56"/>
      <c r="AB819" s="56"/>
      <c r="AC819" s="56"/>
      <c r="AD819" s="56"/>
      <c r="AE819" s="56"/>
      <c r="AF819" s="56"/>
      <c r="AG819" s="56"/>
      <c r="AH819" s="56"/>
      <c r="AI819" s="56"/>
      <c r="AJ819" s="56"/>
      <c r="AK819" s="56"/>
      <c r="AL819" s="56"/>
    </row>
    <row r="820" spans="1:38" ht="14.25" customHeight="1">
      <c r="A820" s="56"/>
      <c r="B820" s="56"/>
      <c r="C820" s="56"/>
      <c r="D820" s="62"/>
      <c r="E820" s="56"/>
      <c r="F820" s="57"/>
      <c r="G820" s="57"/>
      <c r="H820" s="57"/>
      <c r="I820" s="57"/>
      <c r="J820" s="57"/>
      <c r="K820" s="58"/>
      <c r="L820" s="57"/>
      <c r="M820" s="57"/>
      <c r="N820" s="57"/>
      <c r="O820" s="57"/>
      <c r="P820" s="57"/>
      <c r="Q820" s="58"/>
      <c r="R820" s="57"/>
      <c r="S820" s="56"/>
      <c r="T820" s="56"/>
      <c r="U820" s="56"/>
      <c r="V820" s="56"/>
      <c r="W820" s="56"/>
      <c r="X820" s="56"/>
      <c r="Y820" s="56"/>
      <c r="Z820" s="56"/>
      <c r="AA820" s="56"/>
      <c r="AB820" s="56"/>
      <c r="AC820" s="56"/>
      <c r="AD820" s="56"/>
      <c r="AE820" s="56"/>
      <c r="AF820" s="56"/>
      <c r="AG820" s="56"/>
      <c r="AH820" s="56"/>
      <c r="AI820" s="56"/>
      <c r="AJ820" s="56"/>
      <c r="AK820" s="56"/>
      <c r="AL820" s="56"/>
    </row>
    <row r="821" spans="1:38" ht="14.25" customHeight="1">
      <c r="A821" s="56"/>
      <c r="B821" s="56"/>
      <c r="C821" s="56"/>
      <c r="D821" s="62"/>
      <c r="E821" s="56"/>
      <c r="F821" s="57"/>
      <c r="G821" s="57"/>
      <c r="H821" s="57"/>
      <c r="I821" s="57"/>
      <c r="J821" s="57"/>
      <c r="K821" s="58"/>
      <c r="L821" s="57"/>
      <c r="M821" s="57"/>
      <c r="N821" s="57"/>
      <c r="O821" s="57"/>
      <c r="P821" s="57"/>
      <c r="Q821" s="58"/>
      <c r="R821" s="57"/>
      <c r="S821" s="56"/>
      <c r="T821" s="56"/>
      <c r="U821" s="56"/>
      <c r="V821" s="56"/>
      <c r="W821" s="56"/>
      <c r="X821" s="56"/>
      <c r="Y821" s="56"/>
      <c r="Z821" s="56"/>
      <c r="AA821" s="56"/>
      <c r="AB821" s="56"/>
      <c r="AC821" s="56"/>
      <c r="AD821" s="56"/>
      <c r="AE821" s="56"/>
      <c r="AF821" s="56"/>
      <c r="AG821" s="56"/>
      <c r="AH821" s="56"/>
      <c r="AI821" s="56"/>
      <c r="AJ821" s="56"/>
      <c r="AK821" s="56"/>
      <c r="AL821" s="56"/>
    </row>
    <row r="822" spans="1:38" ht="14.25" customHeight="1">
      <c r="A822" s="56"/>
      <c r="B822" s="56"/>
      <c r="C822" s="56"/>
      <c r="D822" s="62"/>
      <c r="E822" s="56"/>
      <c r="F822" s="57"/>
      <c r="G822" s="57"/>
      <c r="H822" s="57"/>
      <c r="I822" s="57"/>
      <c r="J822" s="57"/>
      <c r="K822" s="58"/>
      <c r="L822" s="57"/>
      <c r="M822" s="57"/>
      <c r="N822" s="57"/>
      <c r="O822" s="57"/>
      <c r="P822" s="57"/>
      <c r="Q822" s="58"/>
      <c r="R822" s="57"/>
      <c r="S822" s="56"/>
      <c r="T822" s="56"/>
      <c r="U822" s="56"/>
      <c r="V822" s="56"/>
      <c r="W822" s="56"/>
      <c r="X822" s="56"/>
      <c r="Y822" s="56"/>
      <c r="Z822" s="56"/>
      <c r="AA822" s="56"/>
      <c r="AB822" s="56"/>
      <c r="AC822" s="56"/>
      <c r="AD822" s="56"/>
      <c r="AE822" s="56"/>
      <c r="AF822" s="56"/>
      <c r="AG822" s="56"/>
      <c r="AH822" s="56"/>
      <c r="AI822" s="56"/>
      <c r="AJ822" s="56"/>
      <c r="AK822" s="56"/>
      <c r="AL822" s="56"/>
    </row>
    <row r="823" spans="1:38" ht="14.25" customHeight="1">
      <c r="A823" s="56"/>
      <c r="B823" s="56"/>
      <c r="C823" s="56"/>
      <c r="D823" s="62"/>
      <c r="E823" s="56"/>
      <c r="F823" s="57"/>
      <c r="G823" s="57"/>
      <c r="H823" s="57"/>
      <c r="I823" s="57"/>
      <c r="J823" s="57"/>
      <c r="K823" s="58"/>
      <c r="L823" s="57"/>
      <c r="M823" s="57"/>
      <c r="N823" s="57"/>
      <c r="O823" s="57"/>
      <c r="P823" s="57"/>
      <c r="Q823" s="58"/>
      <c r="R823" s="57"/>
      <c r="S823" s="56"/>
      <c r="T823" s="56"/>
      <c r="U823" s="56"/>
      <c r="V823" s="56"/>
      <c r="W823" s="56"/>
      <c r="X823" s="56"/>
      <c r="Y823" s="56"/>
      <c r="Z823" s="56"/>
      <c r="AA823" s="56"/>
      <c r="AB823" s="56"/>
      <c r="AC823" s="56"/>
      <c r="AD823" s="56"/>
      <c r="AE823" s="56"/>
      <c r="AF823" s="56"/>
      <c r="AG823" s="56"/>
      <c r="AH823" s="56"/>
      <c r="AI823" s="56"/>
      <c r="AJ823" s="56"/>
      <c r="AK823" s="56"/>
      <c r="AL823" s="56"/>
    </row>
    <row r="824" spans="1:38" ht="14.25" customHeight="1">
      <c r="A824" s="56"/>
      <c r="B824" s="56"/>
      <c r="C824" s="56"/>
      <c r="D824" s="62"/>
      <c r="E824" s="56"/>
      <c r="F824" s="57"/>
      <c r="G824" s="57"/>
      <c r="H824" s="57"/>
      <c r="I824" s="57"/>
      <c r="J824" s="57"/>
      <c r="K824" s="58"/>
      <c r="L824" s="57"/>
      <c r="M824" s="57"/>
      <c r="N824" s="57"/>
      <c r="O824" s="57"/>
      <c r="P824" s="57"/>
      <c r="Q824" s="58"/>
      <c r="R824" s="57"/>
      <c r="S824" s="56"/>
      <c r="T824" s="56"/>
      <c r="U824" s="56"/>
      <c r="V824" s="56"/>
      <c r="W824" s="56"/>
      <c r="X824" s="56"/>
      <c r="Y824" s="56"/>
      <c r="Z824" s="56"/>
      <c r="AA824" s="56"/>
      <c r="AB824" s="56"/>
      <c r="AC824" s="56"/>
      <c r="AD824" s="56"/>
      <c r="AE824" s="56"/>
      <c r="AF824" s="56"/>
      <c r="AG824" s="56"/>
      <c r="AH824" s="56"/>
      <c r="AI824" s="56"/>
      <c r="AJ824" s="56"/>
      <c r="AK824" s="56"/>
      <c r="AL824" s="56"/>
    </row>
    <row r="825" spans="1:38" ht="14.25" customHeight="1">
      <c r="A825" s="56"/>
      <c r="B825" s="56"/>
      <c r="C825" s="56"/>
      <c r="D825" s="62"/>
      <c r="E825" s="56"/>
      <c r="F825" s="57"/>
      <c r="G825" s="57"/>
      <c r="H825" s="57"/>
      <c r="I825" s="57"/>
      <c r="J825" s="57"/>
      <c r="K825" s="58"/>
      <c r="L825" s="57"/>
      <c r="M825" s="57"/>
      <c r="N825" s="57"/>
      <c r="O825" s="57"/>
      <c r="P825" s="57"/>
      <c r="Q825" s="58"/>
      <c r="R825" s="57"/>
      <c r="S825" s="56"/>
      <c r="T825" s="56"/>
      <c r="U825" s="56"/>
      <c r="V825" s="56"/>
      <c r="W825" s="56"/>
      <c r="X825" s="56"/>
      <c r="Y825" s="56"/>
      <c r="Z825" s="56"/>
      <c r="AA825" s="56"/>
      <c r="AB825" s="56"/>
      <c r="AC825" s="56"/>
      <c r="AD825" s="56"/>
      <c r="AE825" s="56"/>
      <c r="AF825" s="56"/>
      <c r="AG825" s="56"/>
      <c r="AH825" s="56"/>
      <c r="AI825" s="56"/>
      <c r="AJ825" s="56"/>
      <c r="AK825" s="56"/>
      <c r="AL825" s="56"/>
    </row>
    <row r="826" spans="1:38" ht="14.25" customHeight="1">
      <c r="A826" s="56"/>
      <c r="B826" s="56"/>
      <c r="C826" s="56"/>
      <c r="D826" s="62"/>
      <c r="E826" s="56"/>
      <c r="F826" s="57"/>
      <c r="G826" s="57"/>
      <c r="H826" s="57"/>
      <c r="I826" s="57"/>
      <c r="J826" s="57"/>
      <c r="K826" s="58"/>
      <c r="L826" s="57"/>
      <c r="M826" s="57"/>
      <c r="N826" s="57"/>
      <c r="O826" s="57"/>
      <c r="P826" s="57"/>
      <c r="Q826" s="58"/>
      <c r="R826" s="57"/>
      <c r="S826" s="56"/>
      <c r="T826" s="56"/>
      <c r="U826" s="56"/>
      <c r="V826" s="56"/>
      <c r="W826" s="56"/>
      <c r="X826" s="56"/>
      <c r="Y826" s="56"/>
      <c r="Z826" s="56"/>
      <c r="AA826" s="56"/>
      <c r="AB826" s="56"/>
      <c r="AC826" s="56"/>
      <c r="AD826" s="56"/>
      <c r="AE826" s="56"/>
      <c r="AF826" s="56"/>
      <c r="AG826" s="56"/>
      <c r="AH826" s="56"/>
      <c r="AI826" s="56"/>
      <c r="AJ826" s="56"/>
      <c r="AK826" s="56"/>
      <c r="AL826" s="56"/>
    </row>
    <row r="827" spans="1:38" ht="14.25" customHeight="1">
      <c r="A827" s="56"/>
      <c r="B827" s="56"/>
      <c r="C827" s="56"/>
      <c r="D827" s="62"/>
      <c r="E827" s="56"/>
      <c r="F827" s="57"/>
      <c r="G827" s="57"/>
      <c r="H827" s="57"/>
      <c r="I827" s="57"/>
      <c r="J827" s="57"/>
      <c r="K827" s="58"/>
      <c r="L827" s="57"/>
      <c r="M827" s="57"/>
      <c r="N827" s="57"/>
      <c r="O827" s="57"/>
      <c r="P827" s="57"/>
      <c r="Q827" s="58"/>
      <c r="R827" s="57"/>
      <c r="S827" s="56"/>
      <c r="T827" s="56"/>
      <c r="U827" s="56"/>
      <c r="V827" s="56"/>
      <c r="W827" s="56"/>
      <c r="X827" s="56"/>
      <c r="Y827" s="56"/>
      <c r="Z827" s="56"/>
      <c r="AA827" s="56"/>
      <c r="AB827" s="56"/>
      <c r="AC827" s="56"/>
      <c r="AD827" s="56"/>
      <c r="AE827" s="56"/>
      <c r="AF827" s="56"/>
      <c r="AG827" s="56"/>
      <c r="AH827" s="56"/>
      <c r="AI827" s="56"/>
      <c r="AJ827" s="56"/>
      <c r="AK827" s="56"/>
      <c r="AL827" s="56"/>
    </row>
    <row r="828" spans="1:38" ht="14.25" customHeight="1">
      <c r="A828" s="56"/>
      <c r="B828" s="56"/>
      <c r="C828" s="56"/>
      <c r="D828" s="62"/>
      <c r="E828" s="56"/>
      <c r="F828" s="57"/>
      <c r="G828" s="57"/>
      <c r="H828" s="57"/>
      <c r="I828" s="57"/>
      <c r="J828" s="57"/>
      <c r="K828" s="58"/>
      <c r="L828" s="57"/>
      <c r="M828" s="57"/>
      <c r="N828" s="57"/>
      <c r="O828" s="57"/>
      <c r="P828" s="57"/>
      <c r="Q828" s="58"/>
      <c r="R828" s="57"/>
      <c r="S828" s="56"/>
      <c r="T828" s="56"/>
      <c r="U828" s="56"/>
      <c r="V828" s="56"/>
      <c r="W828" s="56"/>
      <c r="X828" s="56"/>
      <c r="Y828" s="56"/>
      <c r="Z828" s="56"/>
      <c r="AA828" s="56"/>
      <c r="AB828" s="56"/>
      <c r="AC828" s="56"/>
      <c r="AD828" s="56"/>
      <c r="AE828" s="56"/>
      <c r="AF828" s="56"/>
      <c r="AG828" s="56"/>
      <c r="AH828" s="56"/>
      <c r="AI828" s="56"/>
      <c r="AJ828" s="56"/>
      <c r="AK828" s="56"/>
      <c r="AL828" s="56"/>
    </row>
    <row r="829" spans="1:38" ht="14.25" customHeight="1">
      <c r="A829" s="56"/>
      <c r="B829" s="56"/>
      <c r="C829" s="56"/>
      <c r="D829" s="62"/>
      <c r="E829" s="56"/>
      <c r="F829" s="57"/>
      <c r="G829" s="57"/>
      <c r="H829" s="57"/>
      <c r="I829" s="57"/>
      <c r="J829" s="57"/>
      <c r="K829" s="58"/>
      <c r="L829" s="57"/>
      <c r="M829" s="57"/>
      <c r="N829" s="57"/>
      <c r="O829" s="57"/>
      <c r="P829" s="57"/>
      <c r="Q829" s="58"/>
      <c r="R829" s="57"/>
      <c r="S829" s="56"/>
      <c r="T829" s="56"/>
      <c r="U829" s="56"/>
      <c r="V829" s="56"/>
      <c r="W829" s="56"/>
      <c r="X829" s="56"/>
      <c r="Y829" s="56"/>
      <c r="Z829" s="56"/>
      <c r="AA829" s="56"/>
      <c r="AB829" s="56"/>
      <c r="AC829" s="56"/>
      <c r="AD829" s="56"/>
      <c r="AE829" s="56"/>
      <c r="AF829" s="56"/>
      <c r="AG829" s="56"/>
      <c r="AH829" s="56"/>
      <c r="AI829" s="56"/>
      <c r="AJ829" s="56"/>
      <c r="AK829" s="56"/>
      <c r="AL829" s="56"/>
    </row>
    <row r="830" spans="1:38" ht="14.25" customHeight="1">
      <c r="A830" s="56"/>
      <c r="B830" s="56"/>
      <c r="C830" s="56"/>
      <c r="D830" s="62"/>
      <c r="E830" s="56"/>
      <c r="F830" s="57"/>
      <c r="G830" s="57"/>
      <c r="H830" s="57"/>
      <c r="I830" s="57"/>
      <c r="J830" s="57"/>
      <c r="K830" s="58"/>
      <c r="L830" s="57"/>
      <c r="M830" s="57"/>
      <c r="N830" s="57"/>
      <c r="O830" s="57"/>
      <c r="P830" s="57"/>
      <c r="Q830" s="58"/>
      <c r="R830" s="57"/>
      <c r="S830" s="56"/>
      <c r="T830" s="56"/>
      <c r="U830" s="56"/>
      <c r="V830" s="56"/>
      <c r="W830" s="56"/>
      <c r="X830" s="56"/>
      <c r="Y830" s="56"/>
      <c r="Z830" s="56"/>
      <c r="AA830" s="56"/>
      <c r="AB830" s="56"/>
      <c r="AC830" s="56"/>
      <c r="AD830" s="56"/>
      <c r="AE830" s="56"/>
      <c r="AF830" s="56"/>
      <c r="AG830" s="56"/>
      <c r="AH830" s="56"/>
      <c r="AI830" s="56"/>
      <c r="AJ830" s="56"/>
      <c r="AK830" s="56"/>
      <c r="AL830" s="56"/>
    </row>
    <row r="831" spans="1:38" ht="14.25" customHeight="1">
      <c r="A831" s="56"/>
      <c r="B831" s="56"/>
      <c r="C831" s="56"/>
      <c r="D831" s="62"/>
      <c r="E831" s="56"/>
      <c r="F831" s="57"/>
      <c r="G831" s="57"/>
      <c r="H831" s="57"/>
      <c r="I831" s="57"/>
      <c r="J831" s="57"/>
      <c r="K831" s="58"/>
      <c r="L831" s="57"/>
      <c r="M831" s="57"/>
      <c r="N831" s="57"/>
      <c r="O831" s="57"/>
      <c r="P831" s="57"/>
      <c r="Q831" s="58"/>
      <c r="R831" s="57"/>
      <c r="S831" s="56"/>
      <c r="T831" s="56"/>
      <c r="U831" s="56"/>
      <c r="V831" s="56"/>
      <c r="W831" s="56"/>
      <c r="X831" s="56"/>
      <c r="Y831" s="56"/>
      <c r="Z831" s="56"/>
      <c r="AA831" s="56"/>
      <c r="AB831" s="56"/>
      <c r="AC831" s="56"/>
      <c r="AD831" s="56"/>
      <c r="AE831" s="56"/>
      <c r="AF831" s="56"/>
      <c r="AG831" s="56"/>
      <c r="AH831" s="56"/>
      <c r="AI831" s="56"/>
      <c r="AJ831" s="56"/>
      <c r="AK831" s="56"/>
      <c r="AL831" s="56"/>
    </row>
    <row r="832" spans="1:38" ht="14.25" customHeight="1">
      <c r="A832" s="56"/>
      <c r="B832" s="56"/>
      <c r="C832" s="56"/>
      <c r="D832" s="62"/>
      <c r="E832" s="56"/>
      <c r="F832" s="57"/>
      <c r="G832" s="57"/>
      <c r="H832" s="57"/>
      <c r="I832" s="57"/>
      <c r="J832" s="57"/>
      <c r="K832" s="58"/>
      <c r="L832" s="57"/>
      <c r="M832" s="57"/>
      <c r="N832" s="57"/>
      <c r="O832" s="57"/>
      <c r="P832" s="57"/>
      <c r="Q832" s="58"/>
      <c r="R832" s="57"/>
      <c r="S832" s="56"/>
      <c r="T832" s="56"/>
      <c r="U832" s="56"/>
      <c r="V832" s="56"/>
      <c r="W832" s="56"/>
      <c r="X832" s="56"/>
      <c r="Y832" s="56"/>
      <c r="Z832" s="56"/>
      <c r="AA832" s="56"/>
      <c r="AB832" s="56"/>
      <c r="AC832" s="56"/>
      <c r="AD832" s="56"/>
      <c r="AE832" s="56"/>
      <c r="AF832" s="56"/>
      <c r="AG832" s="56"/>
      <c r="AH832" s="56"/>
      <c r="AI832" s="56"/>
      <c r="AJ832" s="56"/>
      <c r="AK832" s="56"/>
      <c r="AL832" s="56"/>
    </row>
    <row r="833" spans="1:38" ht="14.25" customHeight="1">
      <c r="A833" s="56"/>
      <c r="B833" s="56"/>
      <c r="C833" s="56"/>
      <c r="D833" s="62"/>
      <c r="E833" s="56"/>
      <c r="F833" s="57"/>
      <c r="G833" s="57"/>
      <c r="H833" s="57"/>
      <c r="I833" s="57"/>
      <c r="J833" s="57"/>
      <c r="K833" s="58"/>
      <c r="L833" s="57"/>
      <c r="M833" s="57"/>
      <c r="N833" s="57"/>
      <c r="O833" s="57"/>
      <c r="P833" s="57"/>
      <c r="Q833" s="58"/>
      <c r="R833" s="57"/>
      <c r="S833" s="56"/>
      <c r="T833" s="56"/>
      <c r="U833" s="56"/>
      <c r="V833" s="56"/>
      <c r="W833" s="56"/>
      <c r="X833" s="56"/>
      <c r="Y833" s="56"/>
      <c r="Z833" s="56"/>
      <c r="AA833" s="56"/>
      <c r="AB833" s="56"/>
      <c r="AC833" s="56"/>
      <c r="AD833" s="56"/>
      <c r="AE833" s="56"/>
      <c r="AF833" s="56"/>
      <c r="AG833" s="56"/>
      <c r="AH833" s="56"/>
      <c r="AI833" s="56"/>
      <c r="AJ833" s="56"/>
      <c r="AK833" s="56"/>
      <c r="AL833" s="56"/>
    </row>
    <row r="834" spans="1:38" ht="14.25" customHeight="1">
      <c r="A834" s="56"/>
      <c r="B834" s="56"/>
      <c r="C834" s="56"/>
      <c r="D834" s="62"/>
      <c r="E834" s="56"/>
      <c r="F834" s="57"/>
      <c r="G834" s="57"/>
      <c r="H834" s="57"/>
      <c r="I834" s="57"/>
      <c r="J834" s="57"/>
      <c r="K834" s="58"/>
      <c r="L834" s="57"/>
      <c r="M834" s="57"/>
      <c r="N834" s="57"/>
      <c r="O834" s="57"/>
      <c r="P834" s="57"/>
      <c r="Q834" s="58"/>
      <c r="R834" s="57"/>
      <c r="S834" s="56"/>
      <c r="T834" s="56"/>
      <c r="U834" s="56"/>
      <c r="V834" s="56"/>
      <c r="W834" s="56"/>
      <c r="X834" s="56"/>
      <c r="Y834" s="56"/>
      <c r="Z834" s="56"/>
      <c r="AA834" s="56"/>
      <c r="AB834" s="56"/>
      <c r="AC834" s="56"/>
      <c r="AD834" s="56"/>
      <c r="AE834" s="56"/>
      <c r="AF834" s="56"/>
      <c r="AG834" s="56"/>
      <c r="AH834" s="56"/>
      <c r="AI834" s="56"/>
      <c r="AJ834" s="56"/>
      <c r="AK834" s="56"/>
      <c r="AL834" s="56"/>
    </row>
    <row r="835" spans="1:38" ht="14.25" customHeight="1">
      <c r="A835" s="56"/>
      <c r="B835" s="56"/>
      <c r="C835" s="56"/>
      <c r="D835" s="62"/>
      <c r="E835" s="56"/>
      <c r="F835" s="57"/>
      <c r="G835" s="57"/>
      <c r="H835" s="57"/>
      <c r="I835" s="57"/>
      <c r="J835" s="57"/>
      <c r="K835" s="58"/>
      <c r="L835" s="57"/>
      <c r="M835" s="57"/>
      <c r="N835" s="57"/>
      <c r="O835" s="57"/>
      <c r="P835" s="57"/>
      <c r="Q835" s="58"/>
      <c r="R835" s="57"/>
      <c r="S835" s="56"/>
      <c r="T835" s="56"/>
      <c r="U835" s="56"/>
      <c r="V835" s="56"/>
      <c r="W835" s="56"/>
      <c r="X835" s="56"/>
      <c r="Y835" s="56"/>
      <c r="Z835" s="56"/>
      <c r="AA835" s="56"/>
      <c r="AB835" s="56"/>
      <c r="AC835" s="56"/>
      <c r="AD835" s="56"/>
      <c r="AE835" s="56"/>
      <c r="AF835" s="56"/>
      <c r="AG835" s="56"/>
      <c r="AH835" s="56"/>
      <c r="AI835" s="56"/>
      <c r="AJ835" s="56"/>
      <c r="AK835" s="56"/>
      <c r="AL835" s="56"/>
    </row>
    <row r="836" spans="1:38" ht="14.25" customHeight="1">
      <c r="A836" s="56"/>
      <c r="B836" s="56"/>
      <c r="C836" s="56"/>
      <c r="D836" s="62"/>
      <c r="E836" s="56"/>
      <c r="F836" s="57"/>
      <c r="G836" s="57"/>
      <c r="H836" s="57"/>
      <c r="I836" s="57"/>
      <c r="J836" s="57"/>
      <c r="K836" s="58"/>
      <c r="L836" s="57"/>
      <c r="M836" s="57"/>
      <c r="N836" s="57"/>
      <c r="O836" s="57"/>
      <c r="P836" s="57"/>
      <c r="Q836" s="58"/>
      <c r="R836" s="57"/>
      <c r="S836" s="56"/>
      <c r="T836" s="56"/>
      <c r="U836" s="56"/>
      <c r="V836" s="56"/>
      <c r="W836" s="56"/>
      <c r="X836" s="56"/>
      <c r="Y836" s="56"/>
      <c r="Z836" s="56"/>
      <c r="AA836" s="56"/>
      <c r="AB836" s="56"/>
      <c r="AC836" s="56"/>
      <c r="AD836" s="56"/>
      <c r="AE836" s="56"/>
      <c r="AF836" s="56"/>
      <c r="AG836" s="56"/>
      <c r="AH836" s="56"/>
      <c r="AI836" s="56"/>
      <c r="AJ836" s="56"/>
      <c r="AK836" s="56"/>
      <c r="AL836" s="56"/>
    </row>
    <row r="837" spans="1:38" ht="14.25" customHeight="1">
      <c r="A837" s="56"/>
      <c r="B837" s="56"/>
      <c r="C837" s="56"/>
      <c r="D837" s="62"/>
      <c r="E837" s="56"/>
      <c r="F837" s="57"/>
      <c r="G837" s="57"/>
      <c r="H837" s="57"/>
      <c r="I837" s="57"/>
      <c r="J837" s="57"/>
      <c r="K837" s="58"/>
      <c r="L837" s="57"/>
      <c r="M837" s="57"/>
      <c r="N837" s="57"/>
      <c r="O837" s="57"/>
      <c r="P837" s="57"/>
      <c r="Q837" s="58"/>
      <c r="R837" s="57"/>
      <c r="S837" s="56"/>
      <c r="T837" s="56"/>
      <c r="U837" s="56"/>
      <c r="V837" s="56"/>
      <c r="W837" s="56"/>
      <c r="X837" s="56"/>
      <c r="Y837" s="56"/>
      <c r="Z837" s="56"/>
      <c r="AA837" s="56"/>
      <c r="AB837" s="56"/>
      <c r="AC837" s="56"/>
      <c r="AD837" s="56"/>
      <c r="AE837" s="56"/>
      <c r="AF837" s="56"/>
      <c r="AG837" s="56"/>
      <c r="AH837" s="56"/>
      <c r="AI837" s="56"/>
      <c r="AJ837" s="56"/>
      <c r="AK837" s="56"/>
      <c r="AL837" s="56"/>
    </row>
    <row r="838" spans="1:38" ht="14.25" customHeight="1">
      <c r="A838" s="56"/>
      <c r="B838" s="56"/>
      <c r="C838" s="56"/>
      <c r="D838" s="62"/>
      <c r="E838" s="56"/>
      <c r="F838" s="57"/>
      <c r="G838" s="57"/>
      <c r="H838" s="57"/>
      <c r="I838" s="57"/>
      <c r="J838" s="57"/>
      <c r="K838" s="58"/>
      <c r="L838" s="57"/>
      <c r="M838" s="57"/>
      <c r="N838" s="57"/>
      <c r="O838" s="57"/>
      <c r="P838" s="57"/>
      <c r="Q838" s="58"/>
      <c r="R838" s="57"/>
      <c r="S838" s="56"/>
      <c r="T838" s="56"/>
      <c r="U838" s="56"/>
      <c r="V838" s="56"/>
      <c r="W838" s="56"/>
      <c r="X838" s="56"/>
      <c r="Y838" s="56"/>
      <c r="Z838" s="56"/>
      <c r="AA838" s="56"/>
      <c r="AB838" s="56"/>
      <c r="AC838" s="56"/>
      <c r="AD838" s="56"/>
      <c r="AE838" s="56"/>
      <c r="AF838" s="56"/>
      <c r="AG838" s="56"/>
      <c r="AH838" s="56"/>
      <c r="AI838" s="56"/>
      <c r="AJ838" s="56"/>
      <c r="AK838" s="56"/>
      <c r="AL838" s="56"/>
    </row>
    <row r="839" spans="1:38" ht="14.25" customHeight="1">
      <c r="A839" s="56"/>
      <c r="B839" s="56"/>
      <c r="C839" s="56"/>
      <c r="D839" s="62"/>
      <c r="E839" s="56"/>
      <c r="F839" s="57"/>
      <c r="G839" s="57"/>
      <c r="H839" s="57"/>
      <c r="I839" s="57"/>
      <c r="J839" s="57"/>
      <c r="K839" s="58"/>
      <c r="L839" s="57"/>
      <c r="M839" s="57"/>
      <c r="N839" s="57"/>
      <c r="O839" s="57"/>
      <c r="P839" s="57"/>
      <c r="Q839" s="58"/>
      <c r="R839" s="57"/>
      <c r="S839" s="56"/>
      <c r="T839" s="56"/>
      <c r="U839" s="56"/>
      <c r="V839" s="56"/>
      <c r="W839" s="56"/>
      <c r="X839" s="56"/>
      <c r="Y839" s="56"/>
      <c r="Z839" s="56"/>
      <c r="AA839" s="56"/>
      <c r="AB839" s="56"/>
      <c r="AC839" s="56"/>
      <c r="AD839" s="56"/>
      <c r="AE839" s="56"/>
      <c r="AF839" s="56"/>
      <c r="AG839" s="56"/>
      <c r="AH839" s="56"/>
      <c r="AI839" s="56"/>
      <c r="AJ839" s="56"/>
      <c r="AK839" s="56"/>
      <c r="AL839" s="56"/>
    </row>
    <row r="840" spans="1:38" ht="14.25" customHeight="1">
      <c r="A840" s="56"/>
      <c r="B840" s="56"/>
      <c r="C840" s="56"/>
      <c r="D840" s="62"/>
      <c r="E840" s="56"/>
      <c r="F840" s="57"/>
      <c r="G840" s="57"/>
      <c r="H840" s="57"/>
      <c r="I840" s="57"/>
      <c r="J840" s="57"/>
      <c r="K840" s="58"/>
      <c r="L840" s="57"/>
      <c r="M840" s="57"/>
      <c r="N840" s="57"/>
      <c r="O840" s="57"/>
      <c r="P840" s="57"/>
      <c r="Q840" s="58"/>
      <c r="R840" s="57"/>
      <c r="S840" s="56"/>
      <c r="T840" s="56"/>
      <c r="U840" s="56"/>
      <c r="V840" s="56"/>
      <c r="W840" s="56"/>
      <c r="X840" s="56"/>
      <c r="Y840" s="56"/>
      <c r="Z840" s="56"/>
      <c r="AA840" s="56"/>
      <c r="AB840" s="56"/>
      <c r="AC840" s="56"/>
      <c r="AD840" s="56"/>
      <c r="AE840" s="56"/>
      <c r="AF840" s="56"/>
      <c r="AG840" s="56"/>
      <c r="AH840" s="56"/>
      <c r="AI840" s="56"/>
      <c r="AJ840" s="56"/>
      <c r="AK840" s="56"/>
      <c r="AL840" s="56"/>
    </row>
    <row r="841" spans="1:38" ht="14.25" customHeight="1">
      <c r="A841" s="56"/>
      <c r="B841" s="56"/>
      <c r="C841" s="56"/>
      <c r="D841" s="62"/>
      <c r="E841" s="56"/>
      <c r="F841" s="57"/>
      <c r="G841" s="57"/>
      <c r="H841" s="57"/>
      <c r="I841" s="57"/>
      <c r="J841" s="57"/>
      <c r="K841" s="58"/>
      <c r="L841" s="57"/>
      <c r="M841" s="57"/>
      <c r="N841" s="57"/>
      <c r="O841" s="57"/>
      <c r="P841" s="57"/>
      <c r="Q841" s="58"/>
      <c r="R841" s="57"/>
      <c r="S841" s="56"/>
      <c r="T841" s="56"/>
      <c r="U841" s="56"/>
      <c r="V841" s="56"/>
      <c r="W841" s="56"/>
      <c r="X841" s="56"/>
      <c r="Y841" s="56"/>
      <c r="Z841" s="56"/>
      <c r="AA841" s="56"/>
      <c r="AB841" s="56"/>
      <c r="AC841" s="56"/>
      <c r="AD841" s="56"/>
      <c r="AE841" s="56"/>
      <c r="AF841" s="56"/>
      <c r="AG841" s="56"/>
      <c r="AH841" s="56"/>
      <c r="AI841" s="56"/>
      <c r="AJ841" s="56"/>
      <c r="AK841" s="56"/>
      <c r="AL841" s="56"/>
    </row>
    <row r="842" spans="1:38" ht="14.25" customHeight="1">
      <c r="A842" s="56"/>
      <c r="B842" s="56"/>
      <c r="C842" s="56"/>
      <c r="D842" s="62"/>
      <c r="E842" s="56"/>
      <c r="F842" s="57"/>
      <c r="G842" s="57"/>
      <c r="H842" s="57"/>
      <c r="I842" s="57"/>
      <c r="J842" s="57"/>
      <c r="K842" s="58"/>
      <c r="L842" s="57"/>
      <c r="M842" s="57"/>
      <c r="N842" s="57"/>
      <c r="O842" s="57"/>
      <c r="P842" s="57"/>
      <c r="Q842" s="58"/>
      <c r="R842" s="57"/>
      <c r="S842" s="56"/>
      <c r="T842" s="56"/>
      <c r="U842" s="56"/>
      <c r="V842" s="56"/>
      <c r="W842" s="56"/>
      <c r="X842" s="56"/>
      <c r="Y842" s="56"/>
      <c r="Z842" s="56"/>
      <c r="AA842" s="56"/>
      <c r="AB842" s="56"/>
      <c r="AC842" s="56"/>
      <c r="AD842" s="56"/>
      <c r="AE842" s="56"/>
      <c r="AF842" s="56"/>
      <c r="AG842" s="56"/>
      <c r="AH842" s="56"/>
      <c r="AI842" s="56"/>
      <c r="AJ842" s="56"/>
      <c r="AK842" s="56"/>
      <c r="AL842" s="56"/>
    </row>
    <row r="843" spans="1:38" ht="14.25" customHeight="1">
      <c r="A843" s="56"/>
      <c r="B843" s="56"/>
      <c r="C843" s="56"/>
      <c r="D843" s="62"/>
      <c r="E843" s="56"/>
      <c r="F843" s="57"/>
      <c r="G843" s="57"/>
      <c r="H843" s="57"/>
      <c r="I843" s="57"/>
      <c r="J843" s="57"/>
      <c r="K843" s="58"/>
      <c r="L843" s="57"/>
      <c r="M843" s="57"/>
      <c r="N843" s="57"/>
      <c r="O843" s="57"/>
      <c r="P843" s="57"/>
      <c r="Q843" s="58"/>
      <c r="R843" s="57"/>
      <c r="S843" s="56"/>
      <c r="T843" s="56"/>
      <c r="U843" s="56"/>
      <c r="V843" s="56"/>
      <c r="W843" s="56"/>
      <c r="X843" s="56"/>
      <c r="Y843" s="56"/>
      <c r="Z843" s="56"/>
      <c r="AA843" s="56"/>
      <c r="AB843" s="56"/>
      <c r="AC843" s="56"/>
      <c r="AD843" s="56"/>
      <c r="AE843" s="56"/>
      <c r="AF843" s="56"/>
      <c r="AG843" s="56"/>
      <c r="AH843" s="56"/>
      <c r="AI843" s="56"/>
      <c r="AJ843" s="56"/>
      <c r="AK843" s="56"/>
      <c r="AL843" s="56"/>
    </row>
    <row r="844" spans="1:38" ht="14.25" customHeight="1">
      <c r="A844" s="56"/>
      <c r="B844" s="56"/>
      <c r="C844" s="56"/>
      <c r="D844" s="62"/>
      <c r="E844" s="56"/>
      <c r="F844" s="57"/>
      <c r="G844" s="57"/>
      <c r="H844" s="57"/>
      <c r="I844" s="57"/>
      <c r="J844" s="57"/>
      <c r="K844" s="58"/>
      <c r="L844" s="57"/>
      <c r="M844" s="57"/>
      <c r="N844" s="57"/>
      <c r="O844" s="57"/>
      <c r="P844" s="57"/>
      <c r="Q844" s="58"/>
      <c r="R844" s="57"/>
      <c r="S844" s="56"/>
      <c r="T844" s="56"/>
      <c r="U844" s="56"/>
      <c r="V844" s="56"/>
      <c r="W844" s="56"/>
      <c r="X844" s="56"/>
      <c r="Y844" s="56"/>
      <c r="Z844" s="56"/>
      <c r="AA844" s="56"/>
      <c r="AB844" s="56"/>
      <c r="AC844" s="56"/>
      <c r="AD844" s="56"/>
      <c r="AE844" s="56"/>
      <c r="AF844" s="56"/>
      <c r="AG844" s="56"/>
      <c r="AH844" s="56"/>
      <c r="AI844" s="56"/>
      <c r="AJ844" s="56"/>
      <c r="AK844" s="56"/>
      <c r="AL844" s="56"/>
    </row>
    <row r="845" spans="1:38" ht="14.25" customHeight="1">
      <c r="A845" s="56"/>
      <c r="B845" s="56"/>
      <c r="C845" s="56"/>
      <c r="D845" s="62"/>
      <c r="E845" s="56"/>
      <c r="F845" s="57"/>
      <c r="G845" s="57"/>
      <c r="H845" s="57"/>
      <c r="I845" s="57"/>
      <c r="J845" s="57"/>
      <c r="K845" s="58"/>
      <c r="L845" s="57"/>
      <c r="M845" s="57"/>
      <c r="N845" s="57"/>
      <c r="O845" s="57"/>
      <c r="P845" s="57"/>
      <c r="Q845" s="58"/>
      <c r="R845" s="57"/>
      <c r="S845" s="56"/>
      <c r="T845" s="56"/>
      <c r="U845" s="56"/>
      <c r="V845" s="56"/>
      <c r="W845" s="56"/>
      <c r="X845" s="56"/>
      <c r="Y845" s="56"/>
      <c r="Z845" s="56"/>
      <c r="AA845" s="56"/>
      <c r="AB845" s="56"/>
      <c r="AC845" s="56"/>
      <c r="AD845" s="56"/>
      <c r="AE845" s="56"/>
      <c r="AF845" s="56"/>
      <c r="AG845" s="56"/>
      <c r="AH845" s="56"/>
      <c r="AI845" s="56"/>
      <c r="AJ845" s="56"/>
      <c r="AK845" s="56"/>
      <c r="AL845" s="56"/>
    </row>
    <row r="846" spans="1:38" ht="14.25" customHeight="1">
      <c r="A846" s="56"/>
      <c r="B846" s="56"/>
      <c r="C846" s="56"/>
      <c r="D846" s="62"/>
      <c r="E846" s="56"/>
      <c r="F846" s="57"/>
      <c r="G846" s="57"/>
      <c r="H846" s="57"/>
      <c r="I846" s="57"/>
      <c r="J846" s="57"/>
      <c r="K846" s="58"/>
      <c r="L846" s="57"/>
      <c r="M846" s="57"/>
      <c r="N846" s="57"/>
      <c r="O846" s="57"/>
      <c r="P846" s="57"/>
      <c r="Q846" s="58"/>
      <c r="R846" s="57"/>
      <c r="S846" s="56"/>
      <c r="T846" s="56"/>
      <c r="U846" s="56"/>
      <c r="V846" s="56"/>
      <c r="W846" s="56"/>
      <c r="X846" s="56"/>
      <c r="Y846" s="56"/>
      <c r="Z846" s="56"/>
      <c r="AA846" s="56"/>
      <c r="AB846" s="56"/>
      <c r="AC846" s="56"/>
      <c r="AD846" s="56"/>
      <c r="AE846" s="56"/>
      <c r="AF846" s="56"/>
      <c r="AG846" s="56"/>
      <c r="AH846" s="56"/>
      <c r="AI846" s="56"/>
      <c r="AJ846" s="56"/>
      <c r="AK846" s="56"/>
      <c r="AL846" s="56"/>
    </row>
    <row r="847" spans="1:38" ht="14.25" customHeight="1">
      <c r="A847" s="56"/>
      <c r="B847" s="56"/>
      <c r="C847" s="56"/>
      <c r="D847" s="62"/>
      <c r="E847" s="56"/>
      <c r="F847" s="57"/>
      <c r="G847" s="57"/>
      <c r="H847" s="57"/>
      <c r="I847" s="57"/>
      <c r="J847" s="57"/>
      <c r="K847" s="58"/>
      <c r="L847" s="57"/>
      <c r="M847" s="57"/>
      <c r="N847" s="57"/>
      <c r="O847" s="57"/>
      <c r="P847" s="57"/>
      <c r="Q847" s="58"/>
      <c r="R847" s="57"/>
      <c r="S847" s="56"/>
      <c r="T847" s="56"/>
      <c r="U847" s="56"/>
      <c r="V847" s="56"/>
      <c r="W847" s="56"/>
      <c r="X847" s="56"/>
      <c r="Y847" s="56"/>
      <c r="Z847" s="56"/>
      <c r="AA847" s="56"/>
      <c r="AB847" s="56"/>
      <c r="AC847" s="56"/>
      <c r="AD847" s="56"/>
      <c r="AE847" s="56"/>
      <c r="AF847" s="56"/>
      <c r="AG847" s="56"/>
      <c r="AH847" s="56"/>
      <c r="AI847" s="56"/>
      <c r="AJ847" s="56"/>
      <c r="AK847" s="56"/>
      <c r="AL847" s="56"/>
    </row>
    <row r="848" spans="1:38" ht="14.25" customHeight="1">
      <c r="A848" s="56"/>
      <c r="B848" s="56"/>
      <c r="C848" s="56"/>
      <c r="D848" s="62"/>
      <c r="E848" s="56"/>
      <c r="F848" s="57"/>
      <c r="G848" s="57"/>
      <c r="H848" s="57"/>
      <c r="I848" s="57"/>
      <c r="J848" s="57"/>
      <c r="K848" s="58"/>
      <c r="L848" s="57"/>
      <c r="M848" s="57"/>
      <c r="N848" s="57"/>
      <c r="O848" s="57"/>
      <c r="P848" s="57"/>
      <c r="Q848" s="58"/>
      <c r="R848" s="57"/>
      <c r="S848" s="56"/>
      <c r="T848" s="56"/>
      <c r="U848" s="56"/>
      <c r="V848" s="56"/>
      <c r="W848" s="56"/>
      <c r="X848" s="56"/>
      <c r="Y848" s="56"/>
      <c r="Z848" s="56"/>
      <c r="AA848" s="56"/>
      <c r="AB848" s="56"/>
      <c r="AC848" s="56"/>
      <c r="AD848" s="56"/>
      <c r="AE848" s="56"/>
      <c r="AF848" s="56"/>
      <c r="AG848" s="56"/>
      <c r="AH848" s="56"/>
      <c r="AI848" s="56"/>
      <c r="AJ848" s="56"/>
      <c r="AK848" s="56"/>
      <c r="AL848" s="56"/>
    </row>
    <row r="849" spans="1:38" ht="14.25" customHeight="1">
      <c r="A849" s="56"/>
      <c r="B849" s="56"/>
      <c r="C849" s="56"/>
      <c r="D849" s="62"/>
      <c r="E849" s="56"/>
      <c r="F849" s="57"/>
      <c r="G849" s="57"/>
      <c r="H849" s="57"/>
      <c r="I849" s="57"/>
      <c r="J849" s="57"/>
      <c r="K849" s="58"/>
      <c r="L849" s="57"/>
      <c r="M849" s="57"/>
      <c r="N849" s="57"/>
      <c r="O849" s="57"/>
      <c r="P849" s="57"/>
      <c r="Q849" s="58"/>
      <c r="R849" s="57"/>
      <c r="S849" s="56"/>
      <c r="T849" s="56"/>
      <c r="U849" s="56"/>
      <c r="V849" s="56"/>
      <c r="W849" s="56"/>
      <c r="X849" s="56"/>
      <c r="Y849" s="56"/>
      <c r="Z849" s="56"/>
      <c r="AA849" s="56"/>
      <c r="AB849" s="56"/>
      <c r="AC849" s="56"/>
      <c r="AD849" s="56"/>
      <c r="AE849" s="56"/>
      <c r="AF849" s="56"/>
      <c r="AG849" s="56"/>
      <c r="AH849" s="56"/>
      <c r="AI849" s="56"/>
      <c r="AJ849" s="56"/>
      <c r="AK849" s="56"/>
      <c r="AL849" s="56"/>
    </row>
    <row r="850" spans="1:38" ht="14.25" customHeight="1">
      <c r="A850" s="56"/>
      <c r="B850" s="56"/>
      <c r="C850" s="56"/>
      <c r="D850" s="62"/>
      <c r="E850" s="56"/>
      <c r="F850" s="57"/>
      <c r="G850" s="57"/>
      <c r="H850" s="57"/>
      <c r="I850" s="57"/>
      <c r="J850" s="57"/>
      <c r="K850" s="58"/>
      <c r="L850" s="57"/>
      <c r="M850" s="57"/>
      <c r="N850" s="57"/>
      <c r="O850" s="57"/>
      <c r="P850" s="57"/>
      <c r="Q850" s="58"/>
      <c r="R850" s="57"/>
      <c r="S850" s="56"/>
      <c r="T850" s="56"/>
      <c r="U850" s="56"/>
      <c r="V850" s="56"/>
      <c r="W850" s="56"/>
      <c r="X850" s="56"/>
      <c r="Y850" s="56"/>
      <c r="Z850" s="56"/>
      <c r="AA850" s="56"/>
      <c r="AB850" s="56"/>
      <c r="AC850" s="56"/>
      <c r="AD850" s="56"/>
      <c r="AE850" s="56"/>
      <c r="AF850" s="56"/>
      <c r="AG850" s="56"/>
      <c r="AH850" s="56"/>
      <c r="AI850" s="56"/>
      <c r="AJ850" s="56"/>
      <c r="AK850" s="56"/>
      <c r="AL850" s="56"/>
    </row>
    <row r="851" spans="1:38" ht="14.25" customHeight="1">
      <c r="A851" s="56"/>
      <c r="B851" s="56"/>
      <c r="C851" s="56"/>
      <c r="D851" s="62"/>
      <c r="E851" s="56"/>
      <c r="F851" s="57"/>
      <c r="G851" s="57"/>
      <c r="H851" s="57"/>
      <c r="I851" s="57"/>
      <c r="J851" s="57"/>
      <c r="K851" s="58"/>
      <c r="L851" s="57"/>
      <c r="M851" s="57"/>
      <c r="N851" s="57"/>
      <c r="O851" s="57"/>
      <c r="P851" s="57"/>
      <c r="Q851" s="58"/>
      <c r="R851" s="57"/>
      <c r="S851" s="56"/>
      <c r="T851" s="56"/>
      <c r="U851" s="56"/>
      <c r="V851" s="56"/>
      <c r="W851" s="56"/>
      <c r="X851" s="56"/>
      <c r="Y851" s="56"/>
      <c r="Z851" s="56"/>
      <c r="AA851" s="56"/>
      <c r="AB851" s="56"/>
      <c r="AC851" s="56"/>
      <c r="AD851" s="56"/>
      <c r="AE851" s="56"/>
      <c r="AF851" s="56"/>
      <c r="AG851" s="56"/>
      <c r="AH851" s="56"/>
      <c r="AI851" s="56"/>
      <c r="AJ851" s="56"/>
      <c r="AK851" s="56"/>
      <c r="AL851" s="56"/>
    </row>
    <row r="852" spans="1:38" ht="14.25" customHeight="1">
      <c r="A852" s="56"/>
      <c r="B852" s="56"/>
      <c r="C852" s="56"/>
      <c r="D852" s="62"/>
      <c r="E852" s="56"/>
      <c r="F852" s="57"/>
      <c r="G852" s="57"/>
      <c r="H852" s="57"/>
      <c r="I852" s="57"/>
      <c r="J852" s="57"/>
      <c r="K852" s="58"/>
      <c r="L852" s="57"/>
      <c r="M852" s="57"/>
      <c r="N852" s="57"/>
      <c r="O852" s="57"/>
      <c r="P852" s="57"/>
      <c r="Q852" s="58"/>
      <c r="R852" s="57"/>
      <c r="S852" s="56"/>
      <c r="T852" s="56"/>
      <c r="U852" s="56"/>
      <c r="V852" s="56"/>
      <c r="W852" s="56"/>
      <c r="X852" s="56"/>
      <c r="Y852" s="56"/>
      <c r="Z852" s="56"/>
      <c r="AA852" s="56"/>
      <c r="AB852" s="56"/>
      <c r="AC852" s="56"/>
      <c r="AD852" s="56"/>
      <c r="AE852" s="56"/>
      <c r="AF852" s="56"/>
      <c r="AG852" s="56"/>
      <c r="AH852" s="56"/>
      <c r="AI852" s="56"/>
      <c r="AJ852" s="56"/>
      <c r="AK852" s="56"/>
      <c r="AL852" s="56"/>
    </row>
    <row r="853" spans="1:38" ht="14.25" customHeight="1">
      <c r="A853" s="56"/>
      <c r="B853" s="56"/>
      <c r="C853" s="56"/>
      <c r="D853" s="62"/>
      <c r="E853" s="56"/>
      <c r="F853" s="57"/>
      <c r="G853" s="57"/>
      <c r="H853" s="57"/>
      <c r="I853" s="57"/>
      <c r="J853" s="57"/>
      <c r="K853" s="58"/>
      <c r="L853" s="57"/>
      <c r="M853" s="57"/>
      <c r="N853" s="57"/>
      <c r="O853" s="57"/>
      <c r="P853" s="57"/>
      <c r="Q853" s="58"/>
      <c r="R853" s="57"/>
      <c r="S853" s="56"/>
      <c r="T853" s="56"/>
      <c r="U853" s="56"/>
      <c r="V853" s="56"/>
      <c r="W853" s="56"/>
      <c r="X853" s="56"/>
      <c r="Y853" s="56"/>
      <c r="Z853" s="56"/>
      <c r="AA853" s="56"/>
      <c r="AB853" s="56"/>
      <c r="AC853" s="56"/>
      <c r="AD853" s="56"/>
      <c r="AE853" s="56"/>
      <c r="AF853" s="56"/>
      <c r="AG853" s="56"/>
      <c r="AH853" s="56"/>
      <c r="AI853" s="56"/>
      <c r="AJ853" s="56"/>
      <c r="AK853" s="56"/>
      <c r="AL853" s="56"/>
    </row>
    <row r="854" spans="1:38" ht="14.25" customHeight="1">
      <c r="A854" s="56"/>
      <c r="B854" s="56"/>
      <c r="C854" s="56"/>
      <c r="D854" s="62"/>
      <c r="E854" s="56"/>
      <c r="F854" s="57"/>
      <c r="G854" s="57"/>
      <c r="H854" s="57"/>
      <c r="I854" s="57"/>
      <c r="J854" s="57"/>
      <c r="K854" s="58"/>
      <c r="L854" s="57"/>
      <c r="M854" s="57"/>
      <c r="N854" s="57"/>
      <c r="O854" s="57"/>
      <c r="P854" s="57"/>
      <c r="Q854" s="58"/>
      <c r="R854" s="57"/>
      <c r="S854" s="56"/>
      <c r="T854" s="56"/>
      <c r="U854" s="56"/>
      <c r="V854" s="56"/>
      <c r="W854" s="56"/>
      <c r="X854" s="56"/>
      <c r="Y854" s="56"/>
      <c r="Z854" s="56"/>
      <c r="AA854" s="56"/>
      <c r="AB854" s="56"/>
      <c r="AC854" s="56"/>
      <c r="AD854" s="56"/>
      <c r="AE854" s="56"/>
      <c r="AF854" s="56"/>
      <c r="AG854" s="56"/>
      <c r="AH854" s="56"/>
      <c r="AI854" s="56"/>
      <c r="AJ854" s="56"/>
      <c r="AK854" s="56"/>
      <c r="AL854" s="56"/>
    </row>
    <row r="855" spans="1:38" ht="14.25" customHeight="1">
      <c r="A855" s="56"/>
      <c r="B855" s="56"/>
      <c r="C855" s="56"/>
      <c r="D855" s="62"/>
      <c r="E855" s="56"/>
      <c r="F855" s="57"/>
      <c r="G855" s="57"/>
      <c r="H855" s="57"/>
      <c r="I855" s="57"/>
      <c r="J855" s="57"/>
      <c r="K855" s="58"/>
      <c r="L855" s="57"/>
      <c r="M855" s="57"/>
      <c r="N855" s="57"/>
      <c r="O855" s="57"/>
      <c r="P855" s="57"/>
      <c r="Q855" s="58"/>
      <c r="R855" s="57"/>
      <c r="S855" s="56"/>
      <c r="T855" s="56"/>
      <c r="U855" s="56"/>
      <c r="V855" s="56"/>
      <c r="W855" s="56"/>
      <c r="X855" s="56"/>
      <c r="Y855" s="56"/>
      <c r="Z855" s="56"/>
      <c r="AA855" s="56"/>
      <c r="AB855" s="56"/>
      <c r="AC855" s="56"/>
      <c r="AD855" s="56"/>
      <c r="AE855" s="56"/>
      <c r="AF855" s="56"/>
      <c r="AG855" s="56"/>
      <c r="AH855" s="56"/>
      <c r="AI855" s="56"/>
      <c r="AJ855" s="56"/>
      <c r="AK855" s="56"/>
      <c r="AL855" s="56"/>
    </row>
    <row r="856" spans="1:38" ht="14.25" customHeight="1">
      <c r="A856" s="56"/>
      <c r="B856" s="56"/>
      <c r="C856" s="56"/>
      <c r="D856" s="62"/>
      <c r="E856" s="56"/>
      <c r="F856" s="57"/>
      <c r="G856" s="57"/>
      <c r="H856" s="57"/>
      <c r="I856" s="57"/>
      <c r="J856" s="57"/>
      <c r="K856" s="58"/>
      <c r="L856" s="57"/>
      <c r="M856" s="57"/>
      <c r="N856" s="57"/>
      <c r="O856" s="57"/>
      <c r="P856" s="57"/>
      <c r="Q856" s="58"/>
      <c r="R856" s="57"/>
      <c r="S856" s="56"/>
      <c r="T856" s="56"/>
      <c r="U856" s="56"/>
      <c r="V856" s="56"/>
      <c r="W856" s="56"/>
      <c r="X856" s="56"/>
      <c r="Y856" s="56"/>
      <c r="Z856" s="56"/>
      <c r="AA856" s="56"/>
      <c r="AB856" s="56"/>
      <c r="AC856" s="56"/>
      <c r="AD856" s="56"/>
      <c r="AE856" s="56"/>
      <c r="AF856" s="56"/>
      <c r="AG856" s="56"/>
      <c r="AH856" s="56"/>
      <c r="AI856" s="56"/>
      <c r="AJ856" s="56"/>
      <c r="AK856" s="56"/>
      <c r="AL856" s="56"/>
    </row>
    <row r="857" spans="1:38" ht="14.25" customHeight="1">
      <c r="A857" s="56"/>
      <c r="B857" s="56"/>
      <c r="C857" s="56"/>
      <c r="D857" s="62"/>
      <c r="E857" s="56"/>
      <c r="F857" s="57"/>
      <c r="G857" s="57"/>
      <c r="H857" s="57"/>
      <c r="I857" s="57"/>
      <c r="J857" s="57"/>
      <c r="K857" s="58"/>
      <c r="L857" s="57"/>
      <c r="M857" s="57"/>
      <c r="N857" s="57"/>
      <c r="O857" s="57"/>
      <c r="P857" s="57"/>
      <c r="Q857" s="58"/>
      <c r="R857" s="57"/>
      <c r="S857" s="56"/>
      <c r="T857" s="56"/>
      <c r="U857" s="56"/>
      <c r="V857" s="56"/>
      <c r="W857" s="56"/>
      <c r="X857" s="56"/>
      <c r="Y857" s="56"/>
      <c r="Z857" s="56"/>
      <c r="AA857" s="56"/>
      <c r="AB857" s="56"/>
      <c r="AC857" s="56"/>
      <c r="AD857" s="56"/>
      <c r="AE857" s="56"/>
      <c r="AF857" s="56"/>
      <c r="AG857" s="56"/>
      <c r="AH857" s="56"/>
      <c r="AI857" s="56"/>
      <c r="AJ857" s="56"/>
      <c r="AK857" s="56"/>
      <c r="AL857" s="56"/>
    </row>
    <row r="858" spans="1:38" ht="14.25" customHeight="1">
      <c r="A858" s="56"/>
      <c r="B858" s="56"/>
      <c r="C858" s="56"/>
      <c r="D858" s="62"/>
      <c r="E858" s="56"/>
      <c r="F858" s="57"/>
      <c r="G858" s="57"/>
      <c r="H858" s="57"/>
      <c r="I858" s="57"/>
      <c r="J858" s="57"/>
      <c r="K858" s="58"/>
      <c r="L858" s="57"/>
      <c r="M858" s="57"/>
      <c r="N858" s="57"/>
      <c r="O858" s="57"/>
      <c r="P858" s="57"/>
      <c r="Q858" s="58"/>
      <c r="R858" s="57"/>
      <c r="S858" s="56"/>
      <c r="T858" s="56"/>
      <c r="U858" s="56"/>
      <c r="V858" s="56"/>
      <c r="W858" s="56"/>
      <c r="X858" s="56"/>
      <c r="Y858" s="56"/>
      <c r="Z858" s="56"/>
      <c r="AA858" s="56"/>
      <c r="AB858" s="56"/>
      <c r="AC858" s="56"/>
      <c r="AD858" s="56"/>
      <c r="AE858" s="56"/>
      <c r="AF858" s="56"/>
      <c r="AG858" s="56"/>
      <c r="AH858" s="56"/>
      <c r="AI858" s="56"/>
      <c r="AJ858" s="56"/>
      <c r="AK858" s="56"/>
      <c r="AL858" s="56"/>
    </row>
    <row r="859" spans="1:38" ht="14.25" customHeight="1">
      <c r="A859" s="56"/>
      <c r="B859" s="56"/>
      <c r="C859" s="56"/>
      <c r="D859" s="62"/>
      <c r="E859" s="56"/>
      <c r="F859" s="57"/>
      <c r="G859" s="57"/>
      <c r="H859" s="57"/>
      <c r="I859" s="57"/>
      <c r="J859" s="57"/>
      <c r="K859" s="58"/>
      <c r="L859" s="57"/>
      <c r="M859" s="57"/>
      <c r="N859" s="57"/>
      <c r="O859" s="57"/>
      <c r="P859" s="57"/>
      <c r="Q859" s="58"/>
      <c r="R859" s="57"/>
      <c r="S859" s="56"/>
      <c r="T859" s="56"/>
      <c r="U859" s="56"/>
      <c r="V859" s="56"/>
      <c r="W859" s="56"/>
      <c r="X859" s="56"/>
      <c r="Y859" s="56"/>
      <c r="Z859" s="56"/>
      <c r="AA859" s="56"/>
      <c r="AB859" s="56"/>
      <c r="AC859" s="56"/>
      <c r="AD859" s="56"/>
      <c r="AE859" s="56"/>
      <c r="AF859" s="56"/>
      <c r="AG859" s="56"/>
      <c r="AH859" s="56"/>
      <c r="AI859" s="56"/>
      <c r="AJ859" s="56"/>
      <c r="AK859" s="56"/>
      <c r="AL859" s="56"/>
    </row>
    <row r="860" spans="1:38" ht="14.25" customHeight="1">
      <c r="A860" s="56"/>
      <c r="B860" s="56"/>
      <c r="C860" s="56"/>
      <c r="D860" s="62"/>
      <c r="E860" s="56"/>
      <c r="F860" s="57"/>
      <c r="G860" s="57"/>
      <c r="H860" s="57"/>
      <c r="I860" s="57"/>
      <c r="J860" s="57"/>
      <c r="K860" s="58"/>
      <c r="L860" s="57"/>
      <c r="M860" s="57"/>
      <c r="N860" s="57"/>
      <c r="O860" s="57"/>
      <c r="P860" s="57"/>
      <c r="Q860" s="58"/>
      <c r="R860" s="57"/>
      <c r="S860" s="56"/>
      <c r="T860" s="56"/>
      <c r="U860" s="56"/>
      <c r="V860" s="56"/>
      <c r="W860" s="56"/>
      <c r="X860" s="56"/>
      <c r="Y860" s="56"/>
      <c r="Z860" s="56"/>
      <c r="AA860" s="56"/>
      <c r="AB860" s="56"/>
      <c r="AC860" s="56"/>
      <c r="AD860" s="56"/>
      <c r="AE860" s="56"/>
      <c r="AF860" s="56"/>
      <c r="AG860" s="56"/>
      <c r="AH860" s="56"/>
      <c r="AI860" s="56"/>
      <c r="AJ860" s="56"/>
      <c r="AK860" s="56"/>
      <c r="AL860" s="56"/>
    </row>
    <row r="861" spans="1:38" ht="14.25" customHeight="1">
      <c r="A861" s="56"/>
      <c r="B861" s="56"/>
      <c r="C861" s="56"/>
      <c r="D861" s="62"/>
      <c r="E861" s="56"/>
      <c r="F861" s="57"/>
      <c r="G861" s="57"/>
      <c r="H861" s="57"/>
      <c r="I861" s="57"/>
      <c r="J861" s="57"/>
      <c r="K861" s="58"/>
      <c r="L861" s="57"/>
      <c r="M861" s="57"/>
      <c r="N861" s="57"/>
      <c r="O861" s="57"/>
      <c r="P861" s="57"/>
      <c r="Q861" s="58"/>
      <c r="R861" s="57"/>
      <c r="S861" s="56"/>
      <c r="T861" s="56"/>
      <c r="U861" s="56"/>
      <c r="V861" s="56"/>
      <c r="W861" s="56"/>
      <c r="X861" s="56"/>
      <c r="Y861" s="56"/>
      <c r="Z861" s="56"/>
      <c r="AA861" s="56"/>
      <c r="AB861" s="56"/>
      <c r="AC861" s="56"/>
      <c r="AD861" s="56"/>
      <c r="AE861" s="56"/>
      <c r="AF861" s="56"/>
      <c r="AG861" s="56"/>
      <c r="AH861" s="56"/>
      <c r="AI861" s="56"/>
      <c r="AJ861" s="56"/>
      <c r="AK861" s="56"/>
      <c r="AL861" s="56"/>
    </row>
    <row r="862" spans="1:38" ht="14.25" customHeight="1">
      <c r="A862" s="56"/>
      <c r="B862" s="56"/>
      <c r="C862" s="56"/>
      <c r="D862" s="62"/>
      <c r="E862" s="56"/>
      <c r="F862" s="57"/>
      <c r="G862" s="57"/>
      <c r="H862" s="57"/>
      <c r="I862" s="57"/>
      <c r="J862" s="57"/>
      <c r="K862" s="58"/>
      <c r="L862" s="57"/>
      <c r="M862" s="57"/>
      <c r="N862" s="57"/>
      <c r="O862" s="57"/>
      <c r="P862" s="57"/>
      <c r="Q862" s="58"/>
      <c r="R862" s="57"/>
      <c r="S862" s="56"/>
      <c r="T862" s="56"/>
      <c r="U862" s="56"/>
      <c r="V862" s="56"/>
      <c r="W862" s="56"/>
      <c r="X862" s="56"/>
      <c r="Y862" s="56"/>
      <c r="Z862" s="56"/>
      <c r="AA862" s="56"/>
      <c r="AB862" s="56"/>
      <c r="AC862" s="56"/>
      <c r="AD862" s="56"/>
      <c r="AE862" s="56"/>
      <c r="AF862" s="56"/>
      <c r="AG862" s="56"/>
      <c r="AH862" s="56"/>
      <c r="AI862" s="56"/>
      <c r="AJ862" s="56"/>
      <c r="AK862" s="56"/>
      <c r="AL862" s="56"/>
    </row>
    <row r="863" spans="1:38" ht="14.25" customHeight="1">
      <c r="A863" s="56"/>
      <c r="B863" s="56"/>
      <c r="C863" s="56"/>
      <c r="D863" s="62"/>
      <c r="E863" s="56"/>
      <c r="F863" s="57"/>
      <c r="G863" s="57"/>
      <c r="H863" s="57"/>
      <c r="I863" s="57"/>
      <c r="J863" s="57"/>
      <c r="K863" s="58"/>
      <c r="L863" s="57"/>
      <c r="M863" s="57"/>
      <c r="N863" s="57"/>
      <c r="O863" s="57"/>
      <c r="P863" s="57"/>
      <c r="Q863" s="58"/>
      <c r="R863" s="57"/>
      <c r="S863" s="56"/>
      <c r="T863" s="56"/>
      <c r="U863" s="56"/>
      <c r="V863" s="56"/>
      <c r="W863" s="56"/>
      <c r="X863" s="56"/>
      <c r="Y863" s="56"/>
      <c r="Z863" s="56"/>
      <c r="AA863" s="56"/>
      <c r="AB863" s="56"/>
      <c r="AC863" s="56"/>
      <c r="AD863" s="56"/>
      <c r="AE863" s="56"/>
      <c r="AF863" s="56"/>
      <c r="AG863" s="56"/>
      <c r="AH863" s="56"/>
      <c r="AI863" s="56"/>
      <c r="AJ863" s="56"/>
      <c r="AK863" s="56"/>
      <c r="AL863" s="56"/>
    </row>
    <row r="864" spans="1:38" ht="14.25" customHeight="1">
      <c r="A864" s="56"/>
      <c r="B864" s="56"/>
      <c r="C864" s="56"/>
      <c r="D864" s="62"/>
      <c r="E864" s="56"/>
      <c r="F864" s="57"/>
      <c r="G864" s="57"/>
      <c r="H864" s="57"/>
      <c r="I864" s="57"/>
      <c r="J864" s="57"/>
      <c r="K864" s="58"/>
      <c r="L864" s="57"/>
      <c r="M864" s="57"/>
      <c r="N864" s="57"/>
      <c r="O864" s="57"/>
      <c r="P864" s="57"/>
      <c r="Q864" s="58"/>
      <c r="R864" s="57"/>
      <c r="S864" s="56"/>
      <c r="T864" s="56"/>
      <c r="U864" s="56"/>
      <c r="V864" s="56"/>
      <c r="W864" s="56"/>
      <c r="X864" s="56"/>
      <c r="Y864" s="56"/>
      <c r="Z864" s="56"/>
      <c r="AA864" s="56"/>
      <c r="AB864" s="56"/>
      <c r="AC864" s="56"/>
      <c r="AD864" s="56"/>
      <c r="AE864" s="56"/>
      <c r="AF864" s="56"/>
      <c r="AG864" s="56"/>
      <c r="AH864" s="56"/>
      <c r="AI864" s="56"/>
      <c r="AJ864" s="56"/>
      <c r="AK864" s="56"/>
      <c r="AL864" s="56"/>
    </row>
    <row r="865" spans="1:38" ht="14.25" customHeight="1">
      <c r="A865" s="56"/>
      <c r="B865" s="56"/>
      <c r="C865" s="56"/>
      <c r="D865" s="62"/>
      <c r="E865" s="56"/>
      <c r="F865" s="57"/>
      <c r="G865" s="57"/>
      <c r="H865" s="57"/>
      <c r="I865" s="57"/>
      <c r="J865" s="57"/>
      <c r="K865" s="58"/>
      <c r="L865" s="57"/>
      <c r="M865" s="57"/>
      <c r="N865" s="57"/>
      <c r="O865" s="57"/>
      <c r="P865" s="57"/>
      <c r="Q865" s="58"/>
      <c r="R865" s="57"/>
      <c r="S865" s="56"/>
      <c r="T865" s="56"/>
      <c r="U865" s="56"/>
      <c r="V865" s="56"/>
      <c r="W865" s="56"/>
      <c r="X865" s="56"/>
      <c r="Y865" s="56"/>
      <c r="Z865" s="56"/>
      <c r="AA865" s="56"/>
      <c r="AB865" s="56"/>
      <c r="AC865" s="56"/>
      <c r="AD865" s="56"/>
      <c r="AE865" s="56"/>
      <c r="AF865" s="56"/>
      <c r="AG865" s="56"/>
      <c r="AH865" s="56"/>
      <c r="AI865" s="56"/>
      <c r="AJ865" s="56"/>
      <c r="AK865" s="56"/>
      <c r="AL865" s="56"/>
    </row>
    <row r="866" spans="1:38" ht="14.25" customHeight="1">
      <c r="A866" s="56"/>
      <c r="B866" s="56"/>
      <c r="C866" s="56"/>
      <c r="D866" s="62"/>
      <c r="E866" s="56"/>
      <c r="F866" s="57"/>
      <c r="G866" s="57"/>
      <c r="H866" s="57"/>
      <c r="I866" s="57"/>
      <c r="J866" s="57"/>
      <c r="K866" s="58"/>
      <c r="L866" s="57"/>
      <c r="M866" s="57"/>
      <c r="N866" s="57"/>
      <c r="O866" s="57"/>
      <c r="P866" s="57"/>
      <c r="Q866" s="58"/>
      <c r="R866" s="57"/>
      <c r="S866" s="56"/>
      <c r="T866" s="56"/>
      <c r="U866" s="56"/>
      <c r="V866" s="56"/>
      <c r="W866" s="56"/>
      <c r="X866" s="56"/>
      <c r="Y866" s="56"/>
      <c r="Z866" s="56"/>
      <c r="AA866" s="56"/>
      <c r="AB866" s="56"/>
      <c r="AC866" s="56"/>
      <c r="AD866" s="56"/>
      <c r="AE866" s="56"/>
      <c r="AF866" s="56"/>
      <c r="AG866" s="56"/>
      <c r="AH866" s="56"/>
      <c r="AI866" s="56"/>
      <c r="AJ866" s="56"/>
      <c r="AK866" s="56"/>
      <c r="AL866" s="56"/>
    </row>
    <row r="867" spans="1:38" ht="14.25" customHeight="1">
      <c r="A867" s="56"/>
      <c r="B867" s="56"/>
      <c r="C867" s="56"/>
      <c r="D867" s="62"/>
      <c r="E867" s="56"/>
      <c r="F867" s="57"/>
      <c r="G867" s="57"/>
      <c r="H867" s="57"/>
      <c r="I867" s="57"/>
      <c r="J867" s="57"/>
      <c r="K867" s="58"/>
      <c r="L867" s="57"/>
      <c r="M867" s="57"/>
      <c r="N867" s="57"/>
      <c r="O867" s="57"/>
      <c r="P867" s="57"/>
      <c r="Q867" s="58"/>
      <c r="R867" s="57"/>
      <c r="S867" s="56"/>
      <c r="T867" s="56"/>
      <c r="U867" s="56"/>
      <c r="V867" s="56"/>
      <c r="W867" s="56"/>
      <c r="X867" s="56"/>
      <c r="Y867" s="56"/>
      <c r="Z867" s="56"/>
      <c r="AA867" s="56"/>
      <c r="AB867" s="56"/>
      <c r="AC867" s="56"/>
      <c r="AD867" s="56"/>
      <c r="AE867" s="56"/>
      <c r="AF867" s="56"/>
      <c r="AG867" s="56"/>
      <c r="AH867" s="56"/>
      <c r="AI867" s="56"/>
      <c r="AJ867" s="56"/>
      <c r="AK867" s="56"/>
      <c r="AL867" s="56"/>
    </row>
    <row r="868" spans="1:38" ht="14.25" customHeight="1">
      <c r="A868" s="56"/>
      <c r="B868" s="56"/>
      <c r="C868" s="56"/>
      <c r="D868" s="62"/>
      <c r="E868" s="56"/>
      <c r="F868" s="57"/>
      <c r="G868" s="57"/>
      <c r="H868" s="57"/>
      <c r="I868" s="57"/>
      <c r="J868" s="57"/>
      <c r="K868" s="58"/>
      <c r="L868" s="57"/>
      <c r="M868" s="57"/>
      <c r="N868" s="57"/>
      <c r="O868" s="57"/>
      <c r="P868" s="57"/>
      <c r="Q868" s="58"/>
      <c r="R868" s="57"/>
      <c r="S868" s="56"/>
      <c r="T868" s="56"/>
      <c r="U868" s="56"/>
      <c r="V868" s="56"/>
      <c r="W868" s="56"/>
      <c r="X868" s="56"/>
      <c r="Y868" s="56"/>
      <c r="Z868" s="56"/>
      <c r="AA868" s="56"/>
      <c r="AB868" s="56"/>
      <c r="AC868" s="56"/>
      <c r="AD868" s="56"/>
      <c r="AE868" s="56"/>
      <c r="AF868" s="56"/>
      <c r="AG868" s="56"/>
      <c r="AH868" s="56"/>
      <c r="AI868" s="56"/>
      <c r="AJ868" s="56"/>
      <c r="AK868" s="56"/>
      <c r="AL868" s="56"/>
    </row>
    <row r="869" spans="1:38" ht="14.25" customHeight="1">
      <c r="A869" s="56"/>
      <c r="B869" s="56"/>
      <c r="C869" s="56"/>
      <c r="D869" s="62"/>
      <c r="E869" s="56"/>
      <c r="F869" s="57"/>
      <c r="G869" s="57"/>
      <c r="H869" s="57"/>
      <c r="I869" s="57"/>
      <c r="J869" s="57"/>
      <c r="K869" s="58"/>
      <c r="L869" s="57"/>
      <c r="M869" s="57"/>
      <c r="N869" s="57"/>
      <c r="O869" s="57"/>
      <c r="P869" s="57"/>
      <c r="Q869" s="58"/>
      <c r="R869" s="57"/>
      <c r="S869" s="56"/>
      <c r="T869" s="56"/>
      <c r="U869" s="56"/>
      <c r="V869" s="56"/>
      <c r="W869" s="56"/>
      <c r="X869" s="56"/>
      <c r="Y869" s="56"/>
      <c r="Z869" s="56"/>
      <c r="AA869" s="56"/>
      <c r="AB869" s="56"/>
      <c r="AC869" s="56"/>
      <c r="AD869" s="56"/>
      <c r="AE869" s="56"/>
      <c r="AF869" s="56"/>
      <c r="AG869" s="56"/>
      <c r="AH869" s="56"/>
      <c r="AI869" s="56"/>
      <c r="AJ869" s="56"/>
      <c r="AK869" s="56"/>
      <c r="AL869" s="56"/>
    </row>
    <row r="870" spans="1:38" ht="14.25" customHeight="1">
      <c r="A870" s="56"/>
      <c r="B870" s="56"/>
      <c r="C870" s="56"/>
      <c r="D870" s="62"/>
      <c r="E870" s="56"/>
      <c r="F870" s="57"/>
      <c r="G870" s="57"/>
      <c r="H870" s="57"/>
      <c r="I870" s="57"/>
      <c r="J870" s="57"/>
      <c r="K870" s="58"/>
      <c r="L870" s="57"/>
      <c r="M870" s="57"/>
      <c r="N870" s="57"/>
      <c r="O870" s="57"/>
      <c r="P870" s="57"/>
      <c r="Q870" s="58"/>
      <c r="R870" s="57"/>
      <c r="S870" s="56"/>
      <c r="T870" s="56"/>
      <c r="U870" s="56"/>
      <c r="V870" s="56"/>
      <c r="W870" s="56"/>
      <c r="X870" s="56"/>
      <c r="Y870" s="56"/>
      <c r="Z870" s="56"/>
      <c r="AA870" s="56"/>
      <c r="AB870" s="56"/>
      <c r="AC870" s="56"/>
      <c r="AD870" s="56"/>
      <c r="AE870" s="56"/>
      <c r="AF870" s="56"/>
      <c r="AG870" s="56"/>
      <c r="AH870" s="56"/>
      <c r="AI870" s="56"/>
      <c r="AJ870" s="56"/>
      <c r="AK870" s="56"/>
      <c r="AL870" s="56"/>
    </row>
    <row r="871" spans="1:38" ht="14.25" customHeight="1">
      <c r="A871" s="56"/>
      <c r="B871" s="56"/>
      <c r="C871" s="56"/>
      <c r="D871" s="62"/>
      <c r="E871" s="56"/>
      <c r="F871" s="57"/>
      <c r="G871" s="57"/>
      <c r="H871" s="57"/>
      <c r="I871" s="57"/>
      <c r="J871" s="57"/>
      <c r="K871" s="58"/>
      <c r="L871" s="57"/>
      <c r="M871" s="57"/>
      <c r="N871" s="57"/>
      <c r="O871" s="57"/>
      <c r="P871" s="57"/>
      <c r="Q871" s="58"/>
      <c r="R871" s="57"/>
      <c r="S871" s="56"/>
      <c r="T871" s="56"/>
      <c r="U871" s="56"/>
      <c r="V871" s="56"/>
      <c r="W871" s="56"/>
      <c r="X871" s="56"/>
      <c r="Y871" s="56"/>
      <c r="Z871" s="56"/>
      <c r="AA871" s="56"/>
      <c r="AB871" s="56"/>
      <c r="AC871" s="56"/>
      <c r="AD871" s="56"/>
      <c r="AE871" s="56"/>
      <c r="AF871" s="56"/>
      <c r="AG871" s="56"/>
      <c r="AH871" s="56"/>
      <c r="AI871" s="56"/>
      <c r="AJ871" s="56"/>
      <c r="AK871" s="56"/>
      <c r="AL871" s="56"/>
    </row>
    <row r="872" spans="1:38" ht="14.25" customHeight="1">
      <c r="A872" s="56"/>
      <c r="B872" s="56"/>
      <c r="C872" s="56"/>
      <c r="D872" s="62"/>
      <c r="E872" s="56"/>
      <c r="F872" s="57"/>
      <c r="G872" s="57"/>
      <c r="H872" s="57"/>
      <c r="I872" s="57"/>
      <c r="J872" s="57"/>
      <c r="K872" s="58"/>
      <c r="L872" s="57"/>
      <c r="M872" s="57"/>
      <c r="N872" s="57"/>
      <c r="O872" s="57"/>
      <c r="P872" s="57"/>
      <c r="Q872" s="58"/>
      <c r="R872" s="57"/>
      <c r="S872" s="56"/>
      <c r="T872" s="56"/>
      <c r="U872" s="56"/>
      <c r="V872" s="56"/>
      <c r="W872" s="56"/>
      <c r="X872" s="56"/>
      <c r="Y872" s="56"/>
      <c r="Z872" s="56"/>
      <c r="AA872" s="56"/>
      <c r="AB872" s="56"/>
      <c r="AC872" s="56"/>
      <c r="AD872" s="56"/>
      <c r="AE872" s="56"/>
      <c r="AF872" s="56"/>
      <c r="AG872" s="56"/>
      <c r="AH872" s="56"/>
      <c r="AI872" s="56"/>
      <c r="AJ872" s="56"/>
      <c r="AK872" s="56"/>
      <c r="AL872" s="56"/>
    </row>
    <row r="873" spans="1:38" ht="14.25" customHeight="1">
      <c r="A873" s="56"/>
      <c r="B873" s="56"/>
      <c r="C873" s="56"/>
      <c r="D873" s="62"/>
      <c r="E873" s="56"/>
      <c r="F873" s="57"/>
      <c r="G873" s="57"/>
      <c r="H873" s="57"/>
      <c r="I873" s="57"/>
      <c r="J873" s="57"/>
      <c r="K873" s="58"/>
      <c r="L873" s="57"/>
      <c r="M873" s="57"/>
      <c r="N873" s="57"/>
      <c r="O873" s="57"/>
      <c r="P873" s="57"/>
      <c r="Q873" s="58"/>
      <c r="R873" s="57"/>
      <c r="S873" s="56"/>
      <c r="T873" s="56"/>
      <c r="U873" s="56"/>
      <c r="V873" s="56"/>
      <c r="W873" s="56"/>
      <c r="X873" s="56"/>
      <c r="Y873" s="56"/>
      <c r="Z873" s="56"/>
      <c r="AA873" s="56"/>
      <c r="AB873" s="56"/>
      <c r="AC873" s="56"/>
      <c r="AD873" s="56"/>
      <c r="AE873" s="56"/>
      <c r="AF873" s="56"/>
      <c r="AG873" s="56"/>
      <c r="AH873" s="56"/>
      <c r="AI873" s="56"/>
      <c r="AJ873" s="56"/>
      <c r="AK873" s="56"/>
      <c r="AL873" s="56"/>
    </row>
    <row r="874" spans="1:38" ht="14.25" customHeight="1">
      <c r="A874" s="56"/>
      <c r="B874" s="56"/>
      <c r="C874" s="56"/>
      <c r="D874" s="62"/>
      <c r="E874" s="56"/>
      <c r="F874" s="57"/>
      <c r="G874" s="57"/>
      <c r="H874" s="57"/>
      <c r="I874" s="57"/>
      <c r="J874" s="57"/>
      <c r="K874" s="58"/>
      <c r="L874" s="57"/>
      <c r="M874" s="57"/>
      <c r="N874" s="57"/>
      <c r="O874" s="57"/>
      <c r="P874" s="57"/>
      <c r="Q874" s="58"/>
      <c r="R874" s="57"/>
      <c r="S874" s="56"/>
      <c r="T874" s="56"/>
      <c r="U874" s="56"/>
      <c r="V874" s="56"/>
      <c r="W874" s="56"/>
      <c r="X874" s="56"/>
      <c r="Y874" s="56"/>
      <c r="Z874" s="56"/>
      <c r="AA874" s="56"/>
      <c r="AB874" s="56"/>
      <c r="AC874" s="56"/>
      <c r="AD874" s="56"/>
      <c r="AE874" s="56"/>
      <c r="AF874" s="56"/>
      <c r="AG874" s="56"/>
      <c r="AH874" s="56"/>
      <c r="AI874" s="56"/>
      <c r="AJ874" s="56"/>
      <c r="AK874" s="56"/>
      <c r="AL874" s="56"/>
    </row>
    <row r="875" spans="1:38" ht="14.25" customHeight="1">
      <c r="A875" s="56"/>
      <c r="B875" s="56"/>
      <c r="C875" s="56"/>
      <c r="D875" s="62"/>
      <c r="E875" s="56"/>
      <c r="F875" s="57"/>
      <c r="G875" s="57"/>
      <c r="H875" s="57"/>
      <c r="I875" s="57"/>
      <c r="J875" s="57"/>
      <c r="K875" s="58"/>
      <c r="L875" s="57"/>
      <c r="M875" s="57"/>
      <c r="N875" s="57"/>
      <c r="O875" s="57"/>
      <c r="P875" s="57"/>
      <c r="Q875" s="58"/>
      <c r="R875" s="57"/>
      <c r="S875" s="56"/>
      <c r="T875" s="56"/>
      <c r="U875" s="56"/>
      <c r="V875" s="56"/>
      <c r="W875" s="56"/>
      <c r="X875" s="56"/>
      <c r="Y875" s="56"/>
      <c r="Z875" s="56"/>
      <c r="AA875" s="56"/>
      <c r="AB875" s="56"/>
      <c r="AC875" s="56"/>
      <c r="AD875" s="56"/>
      <c r="AE875" s="56"/>
      <c r="AF875" s="56"/>
      <c r="AG875" s="56"/>
      <c r="AH875" s="56"/>
      <c r="AI875" s="56"/>
      <c r="AJ875" s="56"/>
      <c r="AK875" s="56"/>
      <c r="AL875" s="56"/>
    </row>
    <row r="876" spans="1:38" ht="14.25" customHeight="1">
      <c r="A876" s="56"/>
      <c r="B876" s="56"/>
      <c r="C876" s="56"/>
      <c r="D876" s="62"/>
      <c r="E876" s="56"/>
      <c r="F876" s="57"/>
      <c r="G876" s="57"/>
      <c r="H876" s="57"/>
      <c r="I876" s="57"/>
      <c r="J876" s="57"/>
      <c r="K876" s="58"/>
      <c r="L876" s="57"/>
      <c r="M876" s="57"/>
      <c r="N876" s="57"/>
      <c r="O876" s="57"/>
      <c r="P876" s="57"/>
      <c r="Q876" s="58"/>
      <c r="R876" s="57"/>
      <c r="S876" s="56"/>
      <c r="T876" s="56"/>
      <c r="U876" s="56"/>
      <c r="V876" s="56"/>
      <c r="W876" s="56"/>
      <c r="X876" s="56"/>
      <c r="Y876" s="56"/>
      <c r="Z876" s="56"/>
      <c r="AA876" s="56"/>
      <c r="AB876" s="56"/>
      <c r="AC876" s="56"/>
      <c r="AD876" s="56"/>
      <c r="AE876" s="56"/>
      <c r="AF876" s="56"/>
      <c r="AG876" s="56"/>
      <c r="AH876" s="56"/>
      <c r="AI876" s="56"/>
      <c r="AJ876" s="56"/>
      <c r="AK876" s="56"/>
      <c r="AL876" s="56"/>
    </row>
    <row r="877" spans="1:38" ht="14.25" customHeight="1">
      <c r="A877" s="56"/>
      <c r="B877" s="56"/>
      <c r="C877" s="56"/>
      <c r="D877" s="62"/>
      <c r="E877" s="56"/>
      <c r="F877" s="57"/>
      <c r="G877" s="57"/>
      <c r="H877" s="57"/>
      <c r="I877" s="57"/>
      <c r="J877" s="57"/>
      <c r="K877" s="58"/>
      <c r="L877" s="57"/>
      <c r="M877" s="57"/>
      <c r="N877" s="57"/>
      <c r="O877" s="57"/>
      <c r="P877" s="57"/>
      <c r="Q877" s="58"/>
      <c r="R877" s="57"/>
      <c r="S877" s="56"/>
      <c r="T877" s="56"/>
      <c r="U877" s="56"/>
      <c r="V877" s="56"/>
      <c r="W877" s="56"/>
      <c r="X877" s="56"/>
      <c r="Y877" s="56"/>
      <c r="Z877" s="56"/>
      <c r="AA877" s="56"/>
      <c r="AB877" s="56"/>
      <c r="AC877" s="56"/>
      <c r="AD877" s="56"/>
      <c r="AE877" s="56"/>
      <c r="AF877" s="56"/>
      <c r="AG877" s="56"/>
      <c r="AH877" s="56"/>
      <c r="AI877" s="56"/>
      <c r="AJ877" s="56"/>
      <c r="AK877" s="56"/>
      <c r="AL877" s="56"/>
    </row>
    <row r="878" spans="1:38" ht="14.25" customHeight="1">
      <c r="A878" s="56"/>
      <c r="B878" s="56"/>
      <c r="C878" s="56"/>
      <c r="D878" s="62"/>
      <c r="E878" s="56"/>
      <c r="F878" s="57"/>
      <c r="G878" s="57"/>
      <c r="H878" s="57"/>
      <c r="I878" s="57"/>
      <c r="J878" s="57"/>
      <c r="K878" s="58"/>
      <c r="L878" s="57"/>
      <c r="M878" s="57"/>
      <c r="N878" s="57"/>
      <c r="O878" s="57"/>
      <c r="P878" s="57"/>
      <c r="Q878" s="58"/>
      <c r="R878" s="57"/>
      <c r="S878" s="56"/>
      <c r="T878" s="56"/>
      <c r="U878" s="56"/>
      <c r="V878" s="56"/>
      <c r="W878" s="56"/>
      <c r="X878" s="56"/>
      <c r="Y878" s="56"/>
      <c r="Z878" s="56"/>
      <c r="AA878" s="56"/>
      <c r="AB878" s="56"/>
      <c r="AC878" s="56"/>
      <c r="AD878" s="56"/>
      <c r="AE878" s="56"/>
      <c r="AF878" s="56"/>
      <c r="AG878" s="56"/>
      <c r="AH878" s="56"/>
      <c r="AI878" s="56"/>
      <c r="AJ878" s="56"/>
      <c r="AK878" s="56"/>
      <c r="AL878" s="56"/>
    </row>
    <row r="879" spans="1:38" ht="14.25" customHeight="1">
      <c r="A879" s="56"/>
      <c r="B879" s="56"/>
      <c r="C879" s="56"/>
      <c r="D879" s="62"/>
      <c r="E879" s="56"/>
      <c r="F879" s="57"/>
      <c r="G879" s="57"/>
      <c r="H879" s="57"/>
      <c r="I879" s="57"/>
      <c r="J879" s="57"/>
      <c r="K879" s="58"/>
      <c r="L879" s="57"/>
      <c r="M879" s="57"/>
      <c r="N879" s="57"/>
      <c r="O879" s="57"/>
      <c r="P879" s="57"/>
      <c r="Q879" s="58"/>
      <c r="R879" s="57"/>
      <c r="S879" s="56"/>
      <c r="T879" s="56"/>
      <c r="U879" s="56"/>
      <c r="V879" s="56"/>
      <c r="W879" s="56"/>
      <c r="X879" s="56"/>
      <c r="Y879" s="56"/>
      <c r="Z879" s="56"/>
      <c r="AA879" s="56"/>
      <c r="AB879" s="56"/>
      <c r="AC879" s="56"/>
      <c r="AD879" s="56"/>
      <c r="AE879" s="56"/>
      <c r="AF879" s="56"/>
      <c r="AG879" s="56"/>
      <c r="AH879" s="56"/>
      <c r="AI879" s="56"/>
      <c r="AJ879" s="56"/>
      <c r="AK879" s="56"/>
      <c r="AL879" s="56"/>
    </row>
    <row r="880" spans="1:38" ht="14.25" customHeight="1">
      <c r="A880" s="56"/>
      <c r="B880" s="56"/>
      <c r="C880" s="56"/>
      <c r="D880" s="62"/>
      <c r="E880" s="56"/>
      <c r="F880" s="57"/>
      <c r="G880" s="57"/>
      <c r="H880" s="57"/>
      <c r="I880" s="57"/>
      <c r="J880" s="57"/>
      <c r="K880" s="58"/>
      <c r="L880" s="57"/>
      <c r="M880" s="57"/>
      <c r="N880" s="57"/>
      <c r="O880" s="57"/>
      <c r="P880" s="57"/>
      <c r="Q880" s="58"/>
      <c r="R880" s="57"/>
      <c r="S880" s="56"/>
      <c r="T880" s="56"/>
      <c r="U880" s="56"/>
      <c r="V880" s="56"/>
      <c r="W880" s="56"/>
      <c r="X880" s="56"/>
      <c r="Y880" s="56"/>
      <c r="Z880" s="56"/>
      <c r="AA880" s="56"/>
      <c r="AB880" s="56"/>
      <c r="AC880" s="56"/>
      <c r="AD880" s="56"/>
      <c r="AE880" s="56"/>
      <c r="AF880" s="56"/>
      <c r="AG880" s="56"/>
      <c r="AH880" s="56"/>
      <c r="AI880" s="56"/>
      <c r="AJ880" s="56"/>
      <c r="AK880" s="56"/>
      <c r="AL880" s="56"/>
    </row>
    <row r="881" spans="1:38" ht="14.25" customHeight="1">
      <c r="A881" s="56"/>
      <c r="B881" s="56"/>
      <c r="C881" s="56"/>
      <c r="D881" s="62"/>
      <c r="E881" s="56"/>
      <c r="F881" s="57"/>
      <c r="G881" s="57"/>
      <c r="H881" s="57"/>
      <c r="I881" s="57"/>
      <c r="J881" s="57"/>
      <c r="K881" s="58"/>
      <c r="L881" s="57"/>
      <c r="M881" s="57"/>
      <c r="N881" s="57"/>
      <c r="O881" s="57"/>
      <c r="P881" s="57"/>
      <c r="Q881" s="58"/>
      <c r="R881" s="57"/>
      <c r="S881" s="56"/>
      <c r="T881" s="56"/>
      <c r="U881" s="56"/>
      <c r="V881" s="56"/>
      <c r="W881" s="56"/>
      <c r="X881" s="56"/>
      <c r="Y881" s="56"/>
      <c r="Z881" s="56"/>
      <c r="AA881" s="56"/>
      <c r="AB881" s="56"/>
      <c r="AC881" s="56"/>
      <c r="AD881" s="56"/>
      <c r="AE881" s="56"/>
      <c r="AF881" s="56"/>
      <c r="AG881" s="56"/>
      <c r="AH881" s="56"/>
      <c r="AI881" s="56"/>
      <c r="AJ881" s="56"/>
      <c r="AK881" s="56"/>
      <c r="AL881" s="56"/>
    </row>
    <row r="882" spans="1:38" ht="14.25" customHeight="1">
      <c r="A882" s="56"/>
      <c r="B882" s="56"/>
      <c r="C882" s="56"/>
      <c r="D882" s="62"/>
      <c r="E882" s="56"/>
      <c r="F882" s="57"/>
      <c r="G882" s="57"/>
      <c r="H882" s="57"/>
      <c r="I882" s="57"/>
      <c r="J882" s="57"/>
      <c r="K882" s="58"/>
      <c r="L882" s="57"/>
      <c r="M882" s="57"/>
      <c r="N882" s="57"/>
      <c r="O882" s="57"/>
      <c r="P882" s="57"/>
      <c r="Q882" s="58"/>
      <c r="R882" s="57"/>
      <c r="S882" s="56"/>
      <c r="T882" s="56"/>
      <c r="U882" s="56"/>
      <c r="V882" s="56"/>
      <c r="W882" s="56"/>
      <c r="X882" s="56"/>
      <c r="Y882" s="56"/>
      <c r="Z882" s="56"/>
      <c r="AA882" s="56"/>
      <c r="AB882" s="56"/>
      <c r="AC882" s="56"/>
      <c r="AD882" s="56"/>
      <c r="AE882" s="56"/>
      <c r="AF882" s="56"/>
      <c r="AG882" s="56"/>
      <c r="AH882" s="56"/>
      <c r="AI882" s="56"/>
      <c r="AJ882" s="56"/>
      <c r="AK882" s="56"/>
      <c r="AL882" s="56"/>
    </row>
    <row r="883" spans="1:38" ht="14.25" customHeight="1">
      <c r="A883" s="56"/>
      <c r="B883" s="56"/>
      <c r="C883" s="56"/>
      <c r="D883" s="62"/>
      <c r="E883" s="56"/>
      <c r="F883" s="57"/>
      <c r="G883" s="57"/>
      <c r="H883" s="57"/>
      <c r="I883" s="57"/>
      <c r="J883" s="57"/>
      <c r="K883" s="58"/>
      <c r="L883" s="57"/>
      <c r="M883" s="57"/>
      <c r="N883" s="57"/>
      <c r="O883" s="57"/>
      <c r="P883" s="57"/>
      <c r="Q883" s="58"/>
      <c r="R883" s="57"/>
      <c r="S883" s="56"/>
      <c r="T883" s="56"/>
      <c r="U883" s="56"/>
      <c r="V883" s="56"/>
      <c r="W883" s="56"/>
      <c r="X883" s="56"/>
      <c r="Y883" s="56"/>
      <c r="Z883" s="56"/>
      <c r="AA883" s="56"/>
      <c r="AB883" s="56"/>
      <c r="AC883" s="56"/>
      <c r="AD883" s="56"/>
      <c r="AE883" s="56"/>
      <c r="AF883" s="56"/>
      <c r="AG883" s="56"/>
      <c r="AH883" s="56"/>
      <c r="AI883" s="56"/>
      <c r="AJ883" s="56"/>
      <c r="AK883" s="56"/>
      <c r="AL883" s="56"/>
    </row>
    <row r="884" spans="1:38" ht="14.25" customHeight="1">
      <c r="A884" s="56"/>
      <c r="B884" s="56"/>
      <c r="C884" s="56"/>
      <c r="D884" s="62"/>
      <c r="E884" s="56"/>
      <c r="F884" s="57"/>
      <c r="G884" s="57"/>
      <c r="H884" s="57"/>
      <c r="I884" s="57"/>
      <c r="J884" s="57"/>
      <c r="K884" s="58"/>
      <c r="L884" s="57"/>
      <c r="M884" s="57"/>
      <c r="N884" s="57"/>
      <c r="O884" s="57"/>
      <c r="P884" s="57"/>
      <c r="Q884" s="58"/>
      <c r="R884" s="57"/>
      <c r="S884" s="56"/>
      <c r="T884" s="56"/>
      <c r="U884" s="56"/>
      <c r="V884" s="56"/>
      <c r="W884" s="56"/>
      <c r="X884" s="56"/>
      <c r="Y884" s="56"/>
      <c r="Z884" s="56"/>
      <c r="AA884" s="56"/>
      <c r="AB884" s="56"/>
      <c r="AC884" s="56"/>
      <c r="AD884" s="56"/>
      <c r="AE884" s="56"/>
      <c r="AF884" s="56"/>
      <c r="AG884" s="56"/>
      <c r="AH884" s="56"/>
      <c r="AI884" s="56"/>
      <c r="AJ884" s="56"/>
      <c r="AK884" s="56"/>
      <c r="AL884" s="56"/>
    </row>
    <row r="885" spans="1:38" ht="14.25" customHeight="1">
      <c r="A885" s="56"/>
      <c r="B885" s="56"/>
      <c r="C885" s="56"/>
      <c r="D885" s="62"/>
      <c r="E885" s="56"/>
      <c r="F885" s="57"/>
      <c r="G885" s="57"/>
      <c r="H885" s="57"/>
      <c r="I885" s="57"/>
      <c r="J885" s="57"/>
      <c r="K885" s="58"/>
      <c r="L885" s="57"/>
      <c r="M885" s="57"/>
      <c r="N885" s="57"/>
      <c r="O885" s="57"/>
      <c r="P885" s="57"/>
      <c r="Q885" s="58"/>
      <c r="R885" s="57"/>
      <c r="S885" s="56"/>
      <c r="T885" s="56"/>
      <c r="U885" s="56"/>
      <c r="V885" s="56"/>
      <c r="W885" s="56"/>
      <c r="X885" s="56"/>
      <c r="Y885" s="56"/>
      <c r="Z885" s="56"/>
      <c r="AA885" s="56"/>
      <c r="AB885" s="56"/>
      <c r="AC885" s="56"/>
      <c r="AD885" s="56"/>
      <c r="AE885" s="56"/>
      <c r="AF885" s="56"/>
      <c r="AG885" s="56"/>
      <c r="AH885" s="56"/>
      <c r="AI885" s="56"/>
      <c r="AJ885" s="56"/>
      <c r="AK885" s="56"/>
      <c r="AL885" s="56"/>
    </row>
    <row r="886" spans="1:38" ht="14.25" customHeight="1">
      <c r="A886" s="56"/>
      <c r="B886" s="56"/>
      <c r="C886" s="56"/>
      <c r="D886" s="62"/>
      <c r="E886" s="56"/>
      <c r="F886" s="57"/>
      <c r="G886" s="57"/>
      <c r="H886" s="57"/>
      <c r="I886" s="57"/>
      <c r="J886" s="57"/>
      <c r="K886" s="58"/>
      <c r="L886" s="57"/>
      <c r="M886" s="57"/>
      <c r="N886" s="57"/>
      <c r="O886" s="57"/>
      <c r="P886" s="57"/>
      <c r="Q886" s="58"/>
      <c r="R886" s="57"/>
      <c r="S886" s="56"/>
      <c r="T886" s="56"/>
      <c r="U886" s="56"/>
      <c r="V886" s="56"/>
      <c r="W886" s="56"/>
      <c r="X886" s="56"/>
      <c r="Y886" s="56"/>
      <c r="Z886" s="56"/>
      <c r="AA886" s="56"/>
      <c r="AB886" s="56"/>
      <c r="AC886" s="56"/>
      <c r="AD886" s="56"/>
      <c r="AE886" s="56"/>
      <c r="AF886" s="56"/>
      <c r="AG886" s="56"/>
      <c r="AH886" s="56"/>
      <c r="AI886" s="56"/>
      <c r="AJ886" s="56"/>
      <c r="AK886" s="56"/>
      <c r="AL886" s="56"/>
    </row>
    <row r="887" spans="1:38" ht="14.25" customHeight="1">
      <c r="A887" s="56"/>
      <c r="B887" s="56"/>
      <c r="C887" s="56"/>
      <c r="D887" s="62"/>
      <c r="E887" s="56"/>
      <c r="F887" s="57"/>
      <c r="G887" s="57"/>
      <c r="H887" s="57"/>
      <c r="I887" s="57"/>
      <c r="J887" s="57"/>
      <c r="K887" s="58"/>
      <c r="L887" s="57"/>
      <c r="M887" s="57"/>
      <c r="N887" s="57"/>
      <c r="O887" s="57"/>
      <c r="P887" s="57"/>
      <c r="Q887" s="58"/>
      <c r="R887" s="57"/>
      <c r="S887" s="56"/>
      <c r="T887" s="56"/>
      <c r="U887" s="56"/>
      <c r="V887" s="56"/>
      <c r="W887" s="56"/>
      <c r="X887" s="56"/>
      <c r="Y887" s="56"/>
      <c r="Z887" s="56"/>
      <c r="AA887" s="56"/>
      <c r="AB887" s="56"/>
      <c r="AC887" s="56"/>
      <c r="AD887" s="56"/>
      <c r="AE887" s="56"/>
      <c r="AF887" s="56"/>
      <c r="AG887" s="56"/>
      <c r="AH887" s="56"/>
      <c r="AI887" s="56"/>
      <c r="AJ887" s="56"/>
      <c r="AK887" s="56"/>
      <c r="AL887" s="56"/>
    </row>
    <row r="888" spans="1:38" ht="14.25" customHeight="1">
      <c r="A888" s="56"/>
      <c r="B888" s="56"/>
      <c r="C888" s="56"/>
      <c r="D888" s="62"/>
      <c r="E888" s="56"/>
      <c r="F888" s="57"/>
      <c r="G888" s="57"/>
      <c r="H888" s="57"/>
      <c r="I888" s="57"/>
      <c r="J888" s="57"/>
      <c r="K888" s="58"/>
      <c r="L888" s="57"/>
      <c r="M888" s="57"/>
      <c r="N888" s="57"/>
      <c r="O888" s="57"/>
      <c r="P888" s="57"/>
      <c r="Q888" s="58"/>
      <c r="R888" s="57"/>
      <c r="S888" s="56"/>
      <c r="T888" s="56"/>
      <c r="U888" s="56"/>
      <c r="V888" s="56"/>
      <c r="W888" s="56"/>
      <c r="X888" s="56"/>
      <c r="Y888" s="56"/>
      <c r="Z888" s="56"/>
      <c r="AA888" s="56"/>
      <c r="AB888" s="56"/>
      <c r="AC888" s="56"/>
      <c r="AD888" s="56"/>
      <c r="AE888" s="56"/>
      <c r="AF888" s="56"/>
      <c r="AG888" s="56"/>
      <c r="AH888" s="56"/>
      <c r="AI888" s="56"/>
      <c r="AJ888" s="56"/>
      <c r="AK888" s="56"/>
      <c r="AL888" s="56"/>
    </row>
    <row r="889" spans="1:38" ht="14.25" customHeight="1">
      <c r="A889" s="56"/>
      <c r="B889" s="56"/>
      <c r="C889" s="56"/>
      <c r="D889" s="62"/>
      <c r="E889" s="56"/>
      <c r="F889" s="57"/>
      <c r="G889" s="57"/>
      <c r="H889" s="57"/>
      <c r="I889" s="57"/>
      <c r="J889" s="57"/>
      <c r="K889" s="58"/>
      <c r="L889" s="57"/>
      <c r="M889" s="57"/>
      <c r="N889" s="57"/>
      <c r="O889" s="57"/>
      <c r="P889" s="57"/>
      <c r="Q889" s="58"/>
      <c r="R889" s="57"/>
      <c r="S889" s="56"/>
      <c r="T889" s="56"/>
      <c r="U889" s="56"/>
      <c r="V889" s="56"/>
      <c r="W889" s="56"/>
      <c r="X889" s="56"/>
      <c r="Y889" s="56"/>
      <c r="Z889" s="56"/>
      <c r="AA889" s="56"/>
      <c r="AB889" s="56"/>
      <c r="AC889" s="56"/>
      <c r="AD889" s="56"/>
      <c r="AE889" s="56"/>
      <c r="AF889" s="56"/>
      <c r="AG889" s="56"/>
      <c r="AH889" s="56"/>
      <c r="AI889" s="56"/>
      <c r="AJ889" s="56"/>
      <c r="AK889" s="56"/>
      <c r="AL889" s="56"/>
    </row>
    <row r="890" spans="1:38" ht="14.25" customHeight="1">
      <c r="A890" s="56"/>
      <c r="B890" s="56"/>
      <c r="C890" s="56"/>
      <c r="D890" s="62"/>
      <c r="E890" s="56"/>
      <c r="F890" s="57"/>
      <c r="G890" s="57"/>
      <c r="H890" s="57"/>
      <c r="I890" s="57"/>
      <c r="J890" s="57"/>
      <c r="K890" s="58"/>
      <c r="L890" s="57"/>
      <c r="M890" s="57"/>
      <c r="N890" s="57"/>
      <c r="O890" s="57"/>
      <c r="P890" s="57"/>
      <c r="Q890" s="58"/>
      <c r="R890" s="57"/>
      <c r="S890" s="56"/>
      <c r="T890" s="56"/>
      <c r="U890" s="56"/>
      <c r="V890" s="56"/>
      <c r="W890" s="56"/>
      <c r="X890" s="56"/>
      <c r="Y890" s="56"/>
      <c r="Z890" s="56"/>
      <c r="AA890" s="56"/>
      <c r="AB890" s="56"/>
      <c r="AC890" s="56"/>
      <c r="AD890" s="56"/>
      <c r="AE890" s="56"/>
      <c r="AF890" s="56"/>
      <c r="AG890" s="56"/>
      <c r="AH890" s="56"/>
      <c r="AI890" s="56"/>
      <c r="AJ890" s="56"/>
      <c r="AK890" s="56"/>
      <c r="AL890" s="56"/>
    </row>
    <row r="891" spans="1:38" ht="14.25" customHeight="1">
      <c r="A891" s="56"/>
      <c r="B891" s="56"/>
      <c r="C891" s="56"/>
      <c r="D891" s="62"/>
      <c r="E891" s="56"/>
      <c r="F891" s="57"/>
      <c r="G891" s="57"/>
      <c r="H891" s="57"/>
      <c r="I891" s="57"/>
      <c r="J891" s="57"/>
      <c r="K891" s="58"/>
      <c r="L891" s="57"/>
      <c r="M891" s="57"/>
      <c r="N891" s="57"/>
      <c r="O891" s="57"/>
      <c r="P891" s="57"/>
      <c r="Q891" s="58"/>
      <c r="R891" s="57"/>
      <c r="S891" s="56"/>
      <c r="T891" s="56"/>
      <c r="U891" s="56"/>
      <c r="V891" s="56"/>
      <c r="W891" s="56"/>
      <c r="X891" s="56"/>
      <c r="Y891" s="56"/>
      <c r="Z891" s="56"/>
      <c r="AA891" s="56"/>
      <c r="AB891" s="56"/>
      <c r="AC891" s="56"/>
      <c r="AD891" s="56"/>
      <c r="AE891" s="56"/>
      <c r="AF891" s="56"/>
      <c r="AG891" s="56"/>
      <c r="AH891" s="56"/>
      <c r="AI891" s="56"/>
      <c r="AJ891" s="56"/>
      <c r="AK891" s="56"/>
      <c r="AL891" s="56"/>
    </row>
    <row r="892" spans="1:38" ht="14.25" customHeight="1">
      <c r="A892" s="56"/>
      <c r="B892" s="56"/>
      <c r="C892" s="56"/>
      <c r="D892" s="62"/>
      <c r="E892" s="56"/>
      <c r="F892" s="57"/>
      <c r="G892" s="57"/>
      <c r="H892" s="57"/>
      <c r="I892" s="57"/>
      <c r="J892" s="57"/>
      <c r="K892" s="58"/>
      <c r="L892" s="57"/>
      <c r="M892" s="57"/>
      <c r="N892" s="57"/>
      <c r="O892" s="57"/>
      <c r="P892" s="57"/>
      <c r="Q892" s="58"/>
      <c r="R892" s="57"/>
      <c r="S892" s="56"/>
      <c r="T892" s="56"/>
      <c r="U892" s="56"/>
      <c r="V892" s="56"/>
      <c r="W892" s="56"/>
      <c r="X892" s="56"/>
      <c r="Y892" s="56"/>
      <c r="Z892" s="56"/>
      <c r="AA892" s="56"/>
      <c r="AB892" s="56"/>
      <c r="AC892" s="56"/>
      <c r="AD892" s="56"/>
      <c r="AE892" s="56"/>
      <c r="AF892" s="56"/>
      <c r="AG892" s="56"/>
      <c r="AH892" s="56"/>
      <c r="AI892" s="56"/>
      <c r="AJ892" s="56"/>
      <c r="AK892" s="56"/>
      <c r="AL892" s="56"/>
    </row>
    <row r="893" spans="1:38" ht="14.25" customHeight="1">
      <c r="A893" s="56"/>
      <c r="B893" s="56"/>
      <c r="C893" s="56"/>
      <c r="D893" s="62"/>
      <c r="E893" s="56"/>
      <c r="F893" s="57"/>
      <c r="G893" s="57"/>
      <c r="H893" s="57"/>
      <c r="I893" s="57"/>
      <c r="J893" s="57"/>
      <c r="K893" s="58"/>
      <c r="L893" s="57"/>
      <c r="M893" s="57"/>
      <c r="N893" s="57"/>
      <c r="O893" s="57"/>
      <c r="P893" s="57"/>
      <c r="Q893" s="58"/>
      <c r="R893" s="57"/>
      <c r="S893" s="56"/>
      <c r="T893" s="56"/>
      <c r="U893" s="56"/>
      <c r="V893" s="56"/>
      <c r="W893" s="56"/>
      <c r="X893" s="56"/>
      <c r="Y893" s="56"/>
      <c r="Z893" s="56"/>
      <c r="AA893" s="56"/>
      <c r="AB893" s="56"/>
      <c r="AC893" s="56"/>
      <c r="AD893" s="56"/>
      <c r="AE893" s="56"/>
      <c r="AF893" s="56"/>
      <c r="AG893" s="56"/>
      <c r="AH893" s="56"/>
      <c r="AI893" s="56"/>
      <c r="AJ893" s="56"/>
      <c r="AK893" s="56"/>
      <c r="AL893" s="56"/>
    </row>
    <row r="894" spans="1:38" ht="14.25" customHeight="1">
      <c r="A894" s="56"/>
      <c r="B894" s="56"/>
      <c r="C894" s="56"/>
      <c r="D894" s="62"/>
      <c r="E894" s="56"/>
      <c r="F894" s="57"/>
      <c r="G894" s="57"/>
      <c r="H894" s="57"/>
      <c r="I894" s="57"/>
      <c r="J894" s="57"/>
      <c r="K894" s="58"/>
      <c r="L894" s="57"/>
      <c r="M894" s="57"/>
      <c r="N894" s="57"/>
      <c r="O894" s="57"/>
      <c r="P894" s="57"/>
      <c r="Q894" s="58"/>
      <c r="R894" s="57"/>
      <c r="S894" s="56"/>
      <c r="T894" s="56"/>
      <c r="U894" s="56"/>
      <c r="V894" s="56"/>
      <c r="W894" s="56"/>
      <c r="X894" s="56"/>
      <c r="Y894" s="56"/>
      <c r="Z894" s="56"/>
      <c r="AA894" s="56"/>
      <c r="AB894" s="56"/>
      <c r="AC894" s="56"/>
      <c r="AD894" s="56"/>
      <c r="AE894" s="56"/>
      <c r="AF894" s="56"/>
      <c r="AG894" s="56"/>
      <c r="AH894" s="56"/>
      <c r="AI894" s="56"/>
      <c r="AJ894" s="56"/>
      <c r="AK894" s="56"/>
      <c r="AL894" s="56"/>
    </row>
    <row r="895" spans="1:38" ht="14.25" customHeight="1">
      <c r="A895" s="56"/>
      <c r="B895" s="56"/>
      <c r="C895" s="56"/>
      <c r="D895" s="62"/>
      <c r="E895" s="56"/>
      <c r="F895" s="57"/>
      <c r="G895" s="57"/>
      <c r="H895" s="57"/>
      <c r="I895" s="57"/>
      <c r="J895" s="57"/>
      <c r="K895" s="58"/>
      <c r="L895" s="57"/>
      <c r="M895" s="57"/>
      <c r="N895" s="57"/>
      <c r="O895" s="57"/>
      <c r="P895" s="57"/>
      <c r="Q895" s="58"/>
      <c r="R895" s="57"/>
      <c r="S895" s="56"/>
      <c r="T895" s="56"/>
      <c r="U895" s="56"/>
      <c r="V895" s="56"/>
      <c r="W895" s="56"/>
      <c r="X895" s="56"/>
      <c r="Y895" s="56"/>
      <c r="Z895" s="56"/>
      <c r="AA895" s="56"/>
      <c r="AB895" s="56"/>
      <c r="AC895" s="56"/>
      <c r="AD895" s="56"/>
      <c r="AE895" s="56"/>
      <c r="AF895" s="56"/>
      <c r="AG895" s="56"/>
      <c r="AH895" s="56"/>
      <c r="AI895" s="56"/>
      <c r="AJ895" s="56"/>
      <c r="AK895" s="56"/>
      <c r="AL895" s="56"/>
    </row>
    <row r="896" spans="1:38" ht="14.25" customHeight="1">
      <c r="A896" s="56"/>
      <c r="B896" s="56"/>
      <c r="C896" s="56"/>
      <c r="D896" s="62"/>
      <c r="E896" s="56"/>
      <c r="F896" s="57"/>
      <c r="G896" s="57"/>
      <c r="H896" s="57"/>
      <c r="I896" s="57"/>
      <c r="J896" s="57"/>
      <c r="K896" s="58"/>
      <c r="L896" s="57"/>
      <c r="M896" s="57"/>
      <c r="N896" s="57"/>
      <c r="O896" s="57"/>
      <c r="P896" s="57"/>
      <c r="Q896" s="58"/>
      <c r="R896" s="57"/>
      <c r="S896" s="56"/>
      <c r="T896" s="56"/>
      <c r="U896" s="56"/>
      <c r="V896" s="56"/>
      <c r="W896" s="56"/>
      <c r="X896" s="56"/>
      <c r="Y896" s="56"/>
      <c r="Z896" s="56"/>
      <c r="AA896" s="56"/>
      <c r="AB896" s="56"/>
      <c r="AC896" s="56"/>
      <c r="AD896" s="56"/>
      <c r="AE896" s="56"/>
      <c r="AF896" s="56"/>
      <c r="AG896" s="56"/>
      <c r="AH896" s="56"/>
      <c r="AI896" s="56"/>
      <c r="AJ896" s="56"/>
      <c r="AK896" s="56"/>
      <c r="AL896" s="56"/>
    </row>
    <row r="897" spans="1:38" ht="14.25" customHeight="1">
      <c r="A897" s="56"/>
      <c r="B897" s="56"/>
      <c r="C897" s="56"/>
      <c r="D897" s="62"/>
      <c r="E897" s="56"/>
      <c r="F897" s="57"/>
      <c r="G897" s="57"/>
      <c r="H897" s="57"/>
      <c r="I897" s="57"/>
      <c r="J897" s="57"/>
      <c r="K897" s="58"/>
      <c r="L897" s="57"/>
      <c r="M897" s="57"/>
      <c r="N897" s="57"/>
      <c r="O897" s="57"/>
      <c r="P897" s="57"/>
      <c r="Q897" s="58"/>
      <c r="R897" s="57"/>
      <c r="S897" s="56"/>
      <c r="T897" s="56"/>
      <c r="U897" s="56"/>
      <c r="V897" s="56"/>
      <c r="W897" s="56"/>
      <c r="X897" s="56"/>
      <c r="Y897" s="56"/>
      <c r="Z897" s="56"/>
      <c r="AA897" s="56"/>
      <c r="AB897" s="56"/>
      <c r="AC897" s="56"/>
      <c r="AD897" s="56"/>
      <c r="AE897" s="56"/>
      <c r="AF897" s="56"/>
      <c r="AG897" s="56"/>
      <c r="AH897" s="56"/>
      <c r="AI897" s="56"/>
      <c r="AJ897" s="56"/>
      <c r="AK897" s="56"/>
      <c r="AL897" s="56"/>
    </row>
    <row r="898" spans="1:38" ht="14.25" customHeight="1">
      <c r="A898" s="56"/>
      <c r="B898" s="56"/>
      <c r="C898" s="56"/>
      <c r="D898" s="62"/>
      <c r="E898" s="56"/>
      <c r="F898" s="57"/>
      <c r="G898" s="57"/>
      <c r="H898" s="57"/>
      <c r="I898" s="57"/>
      <c r="J898" s="57"/>
      <c r="K898" s="58"/>
      <c r="L898" s="57"/>
      <c r="M898" s="57"/>
      <c r="N898" s="57"/>
      <c r="O898" s="57"/>
      <c r="P898" s="57"/>
      <c r="Q898" s="58"/>
      <c r="R898" s="57"/>
      <c r="S898" s="56"/>
      <c r="T898" s="56"/>
      <c r="U898" s="56"/>
      <c r="V898" s="56"/>
      <c r="W898" s="56"/>
      <c r="X898" s="56"/>
      <c r="Y898" s="56"/>
      <c r="Z898" s="56"/>
      <c r="AA898" s="56"/>
      <c r="AB898" s="56"/>
      <c r="AC898" s="56"/>
      <c r="AD898" s="56"/>
      <c r="AE898" s="56"/>
      <c r="AF898" s="56"/>
      <c r="AG898" s="56"/>
      <c r="AH898" s="56"/>
      <c r="AI898" s="56"/>
      <c r="AJ898" s="56"/>
      <c r="AK898" s="56"/>
      <c r="AL898" s="56"/>
    </row>
    <row r="899" spans="1:38" ht="14.25" customHeight="1">
      <c r="A899" s="56"/>
      <c r="B899" s="56"/>
      <c r="C899" s="56"/>
      <c r="D899" s="62"/>
      <c r="E899" s="56"/>
      <c r="F899" s="57"/>
      <c r="G899" s="57"/>
      <c r="H899" s="57"/>
      <c r="I899" s="57"/>
      <c r="J899" s="57"/>
      <c r="K899" s="58"/>
      <c r="L899" s="57"/>
      <c r="M899" s="57"/>
      <c r="N899" s="57"/>
      <c r="O899" s="57"/>
      <c r="P899" s="57"/>
      <c r="Q899" s="58"/>
      <c r="R899" s="57"/>
      <c r="S899" s="56"/>
      <c r="T899" s="56"/>
      <c r="U899" s="56"/>
      <c r="V899" s="56"/>
      <c r="W899" s="56"/>
      <c r="X899" s="56"/>
      <c r="Y899" s="56"/>
      <c r="Z899" s="56"/>
      <c r="AA899" s="56"/>
      <c r="AB899" s="56"/>
      <c r="AC899" s="56"/>
      <c r="AD899" s="56"/>
      <c r="AE899" s="56"/>
      <c r="AF899" s="56"/>
      <c r="AG899" s="56"/>
      <c r="AH899" s="56"/>
      <c r="AI899" s="56"/>
      <c r="AJ899" s="56"/>
      <c r="AK899" s="56"/>
      <c r="AL899" s="56"/>
    </row>
    <row r="900" spans="1:38" ht="14.25" customHeight="1">
      <c r="A900" s="56"/>
      <c r="B900" s="56"/>
      <c r="C900" s="56"/>
      <c r="D900" s="62"/>
      <c r="E900" s="56"/>
      <c r="F900" s="57"/>
      <c r="G900" s="57"/>
      <c r="H900" s="57"/>
      <c r="I900" s="57"/>
      <c r="J900" s="57"/>
      <c r="K900" s="58"/>
      <c r="L900" s="57"/>
      <c r="M900" s="57"/>
      <c r="N900" s="57"/>
      <c r="O900" s="57"/>
      <c r="P900" s="57"/>
      <c r="Q900" s="58"/>
      <c r="R900" s="57"/>
      <c r="S900" s="56"/>
      <c r="T900" s="56"/>
      <c r="U900" s="56"/>
      <c r="V900" s="56"/>
      <c r="W900" s="56"/>
      <c r="X900" s="56"/>
      <c r="Y900" s="56"/>
      <c r="Z900" s="56"/>
      <c r="AA900" s="56"/>
      <c r="AB900" s="56"/>
      <c r="AC900" s="56"/>
      <c r="AD900" s="56"/>
      <c r="AE900" s="56"/>
      <c r="AF900" s="56"/>
      <c r="AG900" s="56"/>
      <c r="AH900" s="56"/>
      <c r="AI900" s="56"/>
      <c r="AJ900" s="56"/>
      <c r="AK900" s="56"/>
      <c r="AL900" s="56"/>
    </row>
    <row r="901" spans="1:38" ht="14.25" customHeight="1">
      <c r="A901" s="56"/>
      <c r="B901" s="56"/>
      <c r="C901" s="56"/>
      <c r="D901" s="62"/>
      <c r="E901" s="56"/>
      <c r="F901" s="57"/>
      <c r="G901" s="57"/>
      <c r="H901" s="57"/>
      <c r="I901" s="57"/>
      <c r="J901" s="57"/>
      <c r="K901" s="58"/>
      <c r="L901" s="57"/>
      <c r="M901" s="57"/>
      <c r="N901" s="57"/>
      <c r="O901" s="57"/>
      <c r="P901" s="57"/>
      <c r="Q901" s="58"/>
      <c r="R901" s="57"/>
      <c r="S901" s="56"/>
      <c r="T901" s="56"/>
      <c r="U901" s="56"/>
      <c r="V901" s="56"/>
      <c r="W901" s="56"/>
      <c r="X901" s="56"/>
      <c r="Y901" s="56"/>
      <c r="Z901" s="56"/>
      <c r="AA901" s="56"/>
      <c r="AB901" s="56"/>
      <c r="AC901" s="56"/>
      <c r="AD901" s="56"/>
      <c r="AE901" s="56"/>
      <c r="AF901" s="56"/>
      <c r="AG901" s="56"/>
      <c r="AH901" s="56"/>
      <c r="AI901" s="56"/>
      <c r="AJ901" s="56"/>
      <c r="AK901" s="56"/>
      <c r="AL901" s="56"/>
    </row>
    <row r="902" spans="1:38" ht="14.25" customHeight="1">
      <c r="A902" s="56"/>
      <c r="B902" s="56"/>
      <c r="C902" s="56"/>
      <c r="D902" s="62"/>
      <c r="E902" s="56"/>
      <c r="F902" s="57"/>
      <c r="G902" s="57"/>
      <c r="H902" s="57"/>
      <c r="I902" s="57"/>
      <c r="J902" s="57"/>
      <c r="K902" s="58"/>
      <c r="L902" s="57"/>
      <c r="M902" s="57"/>
      <c r="N902" s="57"/>
      <c r="O902" s="57"/>
      <c r="P902" s="57"/>
      <c r="Q902" s="58"/>
      <c r="R902" s="57"/>
      <c r="S902" s="56"/>
      <c r="T902" s="56"/>
      <c r="U902" s="56"/>
      <c r="V902" s="56"/>
      <c r="W902" s="56"/>
      <c r="X902" s="56"/>
      <c r="Y902" s="56"/>
      <c r="Z902" s="56"/>
      <c r="AA902" s="56"/>
      <c r="AB902" s="56"/>
      <c r="AC902" s="56"/>
      <c r="AD902" s="56"/>
      <c r="AE902" s="56"/>
      <c r="AF902" s="56"/>
      <c r="AG902" s="56"/>
      <c r="AH902" s="56"/>
      <c r="AI902" s="56"/>
      <c r="AJ902" s="56"/>
      <c r="AK902" s="56"/>
      <c r="AL902" s="56"/>
    </row>
    <row r="903" spans="1:38" ht="14.25" customHeight="1">
      <c r="A903" s="56"/>
      <c r="B903" s="56"/>
      <c r="C903" s="56"/>
      <c r="D903" s="62"/>
      <c r="E903" s="56"/>
      <c r="F903" s="57"/>
      <c r="G903" s="57"/>
      <c r="H903" s="57"/>
      <c r="I903" s="57"/>
      <c r="J903" s="57"/>
      <c r="K903" s="58"/>
      <c r="L903" s="57"/>
      <c r="M903" s="57"/>
      <c r="N903" s="57"/>
      <c r="O903" s="57"/>
      <c r="P903" s="57"/>
      <c r="Q903" s="58"/>
      <c r="R903" s="57"/>
      <c r="S903" s="56"/>
      <c r="T903" s="56"/>
      <c r="U903" s="56"/>
      <c r="V903" s="56"/>
      <c r="W903" s="56"/>
      <c r="X903" s="56"/>
      <c r="Y903" s="56"/>
      <c r="Z903" s="56"/>
      <c r="AA903" s="56"/>
      <c r="AB903" s="56"/>
      <c r="AC903" s="56"/>
      <c r="AD903" s="56"/>
      <c r="AE903" s="56"/>
      <c r="AF903" s="56"/>
      <c r="AG903" s="56"/>
      <c r="AH903" s="56"/>
      <c r="AI903" s="56"/>
      <c r="AJ903" s="56"/>
      <c r="AK903" s="56"/>
      <c r="AL903" s="56"/>
    </row>
    <row r="904" spans="1:38" ht="14.25" customHeight="1">
      <c r="A904" s="56"/>
      <c r="B904" s="56"/>
      <c r="C904" s="56"/>
      <c r="D904" s="62"/>
      <c r="E904" s="56"/>
      <c r="F904" s="57"/>
      <c r="G904" s="57"/>
      <c r="H904" s="57"/>
      <c r="I904" s="57"/>
      <c r="J904" s="57"/>
      <c r="K904" s="58"/>
      <c r="L904" s="57"/>
      <c r="M904" s="57"/>
      <c r="N904" s="57"/>
      <c r="O904" s="57"/>
      <c r="P904" s="57"/>
      <c r="Q904" s="58"/>
      <c r="R904" s="57"/>
      <c r="S904" s="56"/>
      <c r="T904" s="56"/>
      <c r="U904" s="56"/>
      <c r="V904" s="56"/>
      <c r="W904" s="56"/>
      <c r="X904" s="56"/>
      <c r="Y904" s="56"/>
      <c r="Z904" s="56"/>
      <c r="AA904" s="56"/>
      <c r="AB904" s="56"/>
      <c r="AC904" s="56"/>
      <c r="AD904" s="56"/>
      <c r="AE904" s="56"/>
      <c r="AF904" s="56"/>
      <c r="AG904" s="56"/>
      <c r="AH904" s="56"/>
      <c r="AI904" s="56"/>
      <c r="AJ904" s="56"/>
      <c r="AK904" s="56"/>
      <c r="AL904" s="56"/>
    </row>
    <row r="905" spans="1:38" ht="14.25" customHeight="1">
      <c r="A905" s="56"/>
      <c r="B905" s="56"/>
      <c r="C905" s="56"/>
      <c r="D905" s="62"/>
      <c r="E905" s="56"/>
      <c r="F905" s="57"/>
      <c r="G905" s="57"/>
      <c r="H905" s="57"/>
      <c r="I905" s="57"/>
      <c r="J905" s="57"/>
      <c r="K905" s="58"/>
      <c r="L905" s="57"/>
      <c r="M905" s="57"/>
      <c r="N905" s="57"/>
      <c r="O905" s="57"/>
      <c r="P905" s="57"/>
      <c r="Q905" s="58"/>
      <c r="R905" s="57"/>
      <c r="S905" s="56"/>
      <c r="T905" s="56"/>
      <c r="U905" s="56"/>
      <c r="V905" s="56"/>
      <c r="W905" s="56"/>
      <c r="X905" s="56"/>
      <c r="Y905" s="56"/>
      <c r="Z905" s="56"/>
      <c r="AA905" s="56"/>
      <c r="AB905" s="56"/>
      <c r="AC905" s="56"/>
      <c r="AD905" s="56"/>
      <c r="AE905" s="56"/>
      <c r="AF905" s="56"/>
      <c r="AG905" s="56"/>
      <c r="AH905" s="56"/>
      <c r="AI905" s="56"/>
      <c r="AJ905" s="56"/>
      <c r="AK905" s="56"/>
      <c r="AL905" s="56"/>
    </row>
    <row r="906" spans="1:38" ht="14.25" customHeight="1">
      <c r="A906" s="56"/>
      <c r="B906" s="56"/>
      <c r="C906" s="56"/>
      <c r="D906" s="62"/>
      <c r="E906" s="56"/>
      <c r="F906" s="57"/>
      <c r="G906" s="57"/>
      <c r="H906" s="57"/>
      <c r="I906" s="57"/>
      <c r="J906" s="57"/>
      <c r="K906" s="58"/>
      <c r="L906" s="57"/>
      <c r="M906" s="57"/>
      <c r="N906" s="57"/>
      <c r="O906" s="57"/>
      <c r="P906" s="57"/>
      <c r="Q906" s="58"/>
      <c r="R906" s="57"/>
      <c r="S906" s="56"/>
      <c r="T906" s="56"/>
      <c r="U906" s="56"/>
      <c r="V906" s="56"/>
      <c r="W906" s="56"/>
      <c r="X906" s="56"/>
      <c r="Y906" s="56"/>
      <c r="Z906" s="56"/>
      <c r="AA906" s="56"/>
      <c r="AB906" s="56"/>
      <c r="AC906" s="56"/>
      <c r="AD906" s="56"/>
      <c r="AE906" s="56"/>
      <c r="AF906" s="56"/>
      <c r="AG906" s="56"/>
      <c r="AH906" s="56"/>
      <c r="AI906" s="56"/>
      <c r="AJ906" s="56"/>
      <c r="AK906" s="56"/>
      <c r="AL906" s="56"/>
    </row>
    <row r="907" spans="1:38" ht="14.25" customHeight="1">
      <c r="A907" s="56"/>
      <c r="B907" s="56"/>
      <c r="C907" s="56"/>
      <c r="D907" s="62"/>
      <c r="E907" s="56"/>
      <c r="F907" s="57"/>
      <c r="G907" s="57"/>
      <c r="H907" s="57"/>
      <c r="I907" s="57"/>
      <c r="J907" s="57"/>
      <c r="K907" s="58"/>
      <c r="L907" s="57"/>
      <c r="M907" s="57"/>
      <c r="N907" s="57"/>
      <c r="O907" s="57"/>
      <c r="P907" s="57"/>
      <c r="Q907" s="58"/>
      <c r="R907" s="57"/>
      <c r="S907" s="56"/>
      <c r="T907" s="56"/>
      <c r="U907" s="56"/>
      <c r="V907" s="56"/>
      <c r="W907" s="56"/>
      <c r="X907" s="56"/>
      <c r="Y907" s="56"/>
      <c r="Z907" s="56"/>
      <c r="AA907" s="56"/>
      <c r="AB907" s="56"/>
      <c r="AC907" s="56"/>
      <c r="AD907" s="56"/>
      <c r="AE907" s="56"/>
      <c r="AF907" s="56"/>
      <c r="AG907" s="56"/>
      <c r="AH907" s="56"/>
      <c r="AI907" s="56"/>
      <c r="AJ907" s="56"/>
      <c r="AK907" s="56"/>
      <c r="AL907" s="56"/>
    </row>
    <row r="908" spans="1:38" ht="14.25" customHeight="1">
      <c r="A908" s="56"/>
      <c r="B908" s="56"/>
      <c r="C908" s="56"/>
      <c r="D908" s="62"/>
      <c r="E908" s="56"/>
      <c r="F908" s="57"/>
      <c r="G908" s="57"/>
      <c r="H908" s="57"/>
      <c r="I908" s="57"/>
      <c r="J908" s="57"/>
      <c r="K908" s="58"/>
      <c r="L908" s="57"/>
      <c r="M908" s="57"/>
      <c r="N908" s="57"/>
      <c r="O908" s="57"/>
      <c r="P908" s="57"/>
      <c r="Q908" s="58"/>
      <c r="R908" s="57"/>
      <c r="S908" s="56"/>
      <c r="T908" s="56"/>
      <c r="U908" s="56"/>
      <c r="V908" s="56"/>
      <c r="W908" s="56"/>
      <c r="X908" s="56"/>
      <c r="Y908" s="56"/>
      <c r="Z908" s="56"/>
      <c r="AA908" s="56"/>
      <c r="AB908" s="56"/>
      <c r="AC908" s="56"/>
      <c r="AD908" s="56"/>
      <c r="AE908" s="56"/>
      <c r="AF908" s="56"/>
      <c r="AG908" s="56"/>
      <c r="AH908" s="56"/>
      <c r="AI908" s="56"/>
      <c r="AJ908" s="56"/>
      <c r="AK908" s="56"/>
      <c r="AL908" s="56"/>
    </row>
    <row r="909" spans="1:38" ht="14.25" customHeight="1">
      <c r="A909" s="56"/>
      <c r="B909" s="56"/>
      <c r="C909" s="56"/>
      <c r="D909" s="62"/>
      <c r="E909" s="56"/>
      <c r="F909" s="57"/>
      <c r="G909" s="57"/>
      <c r="H909" s="57"/>
      <c r="I909" s="57"/>
      <c r="J909" s="57"/>
      <c r="K909" s="58"/>
      <c r="L909" s="57"/>
      <c r="M909" s="57"/>
      <c r="N909" s="57"/>
      <c r="O909" s="57"/>
      <c r="P909" s="57"/>
      <c r="Q909" s="58"/>
      <c r="R909" s="57"/>
      <c r="S909" s="56"/>
      <c r="T909" s="56"/>
      <c r="U909" s="56"/>
      <c r="V909" s="56"/>
      <c r="W909" s="56"/>
      <c r="X909" s="56"/>
      <c r="Y909" s="56"/>
      <c r="Z909" s="56"/>
      <c r="AA909" s="56"/>
      <c r="AB909" s="56"/>
      <c r="AC909" s="56"/>
      <c r="AD909" s="56"/>
      <c r="AE909" s="56"/>
      <c r="AF909" s="56"/>
      <c r="AG909" s="56"/>
      <c r="AH909" s="56"/>
      <c r="AI909" s="56"/>
      <c r="AJ909" s="56"/>
      <c r="AK909" s="56"/>
      <c r="AL909" s="56"/>
    </row>
    <row r="910" spans="1:38" ht="14.25" customHeight="1">
      <c r="A910" s="56"/>
      <c r="B910" s="56"/>
      <c r="C910" s="56"/>
      <c r="D910" s="62"/>
      <c r="E910" s="56"/>
      <c r="F910" s="57"/>
      <c r="G910" s="57"/>
      <c r="H910" s="57"/>
      <c r="I910" s="57"/>
      <c r="J910" s="57"/>
      <c r="K910" s="58"/>
      <c r="L910" s="57"/>
      <c r="M910" s="57"/>
      <c r="N910" s="57"/>
      <c r="O910" s="57"/>
      <c r="P910" s="57"/>
      <c r="Q910" s="58"/>
      <c r="R910" s="57"/>
      <c r="S910" s="56"/>
      <c r="T910" s="56"/>
      <c r="U910" s="56"/>
      <c r="V910" s="56"/>
      <c r="W910" s="56"/>
      <c r="X910" s="56"/>
      <c r="Y910" s="56"/>
      <c r="Z910" s="56"/>
      <c r="AA910" s="56"/>
      <c r="AB910" s="56"/>
      <c r="AC910" s="56"/>
      <c r="AD910" s="56"/>
      <c r="AE910" s="56"/>
      <c r="AF910" s="56"/>
      <c r="AG910" s="56"/>
      <c r="AH910" s="56"/>
      <c r="AI910" s="56"/>
      <c r="AJ910" s="56"/>
      <c r="AK910" s="56"/>
      <c r="AL910" s="56"/>
    </row>
    <row r="911" spans="1:38" ht="14.25" customHeight="1">
      <c r="A911" s="56"/>
      <c r="B911" s="56"/>
      <c r="C911" s="56"/>
      <c r="D911" s="62"/>
      <c r="E911" s="56"/>
      <c r="F911" s="57"/>
      <c r="G911" s="57"/>
      <c r="H911" s="57"/>
      <c r="I911" s="57"/>
      <c r="J911" s="57"/>
      <c r="K911" s="58"/>
      <c r="L911" s="57"/>
      <c r="M911" s="57"/>
      <c r="N911" s="57"/>
      <c r="O911" s="57"/>
      <c r="P911" s="57"/>
      <c r="Q911" s="58"/>
      <c r="R911" s="57"/>
      <c r="S911" s="56"/>
      <c r="T911" s="56"/>
      <c r="U911" s="56"/>
      <c r="V911" s="56"/>
      <c r="W911" s="56"/>
      <c r="X911" s="56"/>
      <c r="Y911" s="56"/>
      <c r="Z911" s="56"/>
      <c r="AA911" s="56"/>
      <c r="AB911" s="56"/>
      <c r="AC911" s="56"/>
      <c r="AD911" s="56"/>
      <c r="AE911" s="56"/>
      <c r="AF911" s="56"/>
      <c r="AG911" s="56"/>
      <c r="AH911" s="56"/>
      <c r="AI911" s="56"/>
      <c r="AJ911" s="56"/>
      <c r="AK911" s="56"/>
      <c r="AL911" s="56"/>
    </row>
    <row r="912" spans="1:38" ht="14.25" customHeight="1">
      <c r="A912" s="56"/>
      <c r="B912" s="56"/>
      <c r="C912" s="56"/>
      <c r="D912" s="62"/>
      <c r="E912" s="56"/>
      <c r="F912" s="57"/>
      <c r="G912" s="57"/>
      <c r="H912" s="57"/>
      <c r="I912" s="57"/>
      <c r="J912" s="57"/>
      <c r="K912" s="58"/>
      <c r="L912" s="57"/>
      <c r="M912" s="57"/>
      <c r="N912" s="57"/>
      <c r="O912" s="57"/>
      <c r="P912" s="57"/>
      <c r="Q912" s="58"/>
      <c r="R912" s="57"/>
      <c r="S912" s="56"/>
      <c r="T912" s="56"/>
      <c r="U912" s="56"/>
      <c r="V912" s="56"/>
      <c r="W912" s="56"/>
      <c r="X912" s="56"/>
      <c r="Y912" s="56"/>
      <c r="Z912" s="56"/>
      <c r="AA912" s="56"/>
      <c r="AB912" s="56"/>
      <c r="AC912" s="56"/>
      <c r="AD912" s="56"/>
      <c r="AE912" s="56"/>
      <c r="AF912" s="56"/>
      <c r="AG912" s="56"/>
      <c r="AH912" s="56"/>
      <c r="AI912" s="56"/>
      <c r="AJ912" s="56"/>
      <c r="AK912" s="56"/>
      <c r="AL912" s="56"/>
    </row>
    <row r="913" spans="1:38" ht="14.25" customHeight="1">
      <c r="A913" s="56"/>
      <c r="B913" s="56"/>
      <c r="C913" s="56"/>
      <c r="D913" s="62"/>
      <c r="E913" s="56"/>
      <c r="F913" s="57"/>
      <c r="G913" s="57"/>
      <c r="H913" s="57"/>
      <c r="I913" s="57"/>
      <c r="J913" s="57"/>
      <c r="K913" s="58"/>
      <c r="L913" s="57"/>
      <c r="M913" s="57"/>
      <c r="N913" s="57"/>
      <c r="O913" s="57"/>
      <c r="P913" s="57"/>
      <c r="Q913" s="58"/>
      <c r="R913" s="57"/>
      <c r="S913" s="56"/>
      <c r="T913" s="56"/>
      <c r="U913" s="56"/>
      <c r="V913" s="56"/>
      <c r="W913" s="56"/>
      <c r="X913" s="56"/>
      <c r="Y913" s="56"/>
      <c r="Z913" s="56"/>
      <c r="AA913" s="56"/>
      <c r="AB913" s="56"/>
      <c r="AC913" s="56"/>
      <c r="AD913" s="56"/>
      <c r="AE913" s="56"/>
      <c r="AF913" s="56"/>
      <c r="AG913" s="56"/>
      <c r="AH913" s="56"/>
      <c r="AI913" s="56"/>
      <c r="AJ913" s="56"/>
      <c r="AK913" s="56"/>
      <c r="AL913" s="56"/>
    </row>
    <row r="914" spans="1:38" ht="14.25" customHeight="1">
      <c r="A914" s="56"/>
      <c r="B914" s="56"/>
      <c r="C914" s="56"/>
      <c r="D914" s="62"/>
      <c r="E914" s="56"/>
      <c r="F914" s="57"/>
      <c r="G914" s="57"/>
      <c r="H914" s="57"/>
      <c r="I914" s="57"/>
      <c r="J914" s="57"/>
      <c r="K914" s="58"/>
      <c r="L914" s="57"/>
      <c r="M914" s="57"/>
      <c r="N914" s="57"/>
      <c r="O914" s="57"/>
      <c r="P914" s="57"/>
      <c r="Q914" s="58"/>
      <c r="R914" s="57"/>
      <c r="S914" s="56"/>
      <c r="T914" s="56"/>
      <c r="U914" s="56"/>
      <c r="V914" s="56"/>
      <c r="W914" s="56"/>
      <c r="X914" s="56"/>
      <c r="Y914" s="56"/>
      <c r="Z914" s="56"/>
      <c r="AA914" s="56"/>
      <c r="AB914" s="56"/>
      <c r="AC914" s="56"/>
      <c r="AD914" s="56"/>
      <c r="AE914" s="56"/>
      <c r="AF914" s="56"/>
      <c r="AG914" s="56"/>
      <c r="AH914" s="56"/>
      <c r="AI914" s="56"/>
      <c r="AJ914" s="56"/>
      <c r="AK914" s="56"/>
      <c r="AL914" s="56"/>
    </row>
    <row r="915" spans="1:38" ht="14.25" customHeight="1">
      <c r="A915" s="56"/>
      <c r="B915" s="56"/>
      <c r="C915" s="56"/>
      <c r="D915" s="62"/>
      <c r="E915" s="56"/>
      <c r="F915" s="57"/>
      <c r="G915" s="57"/>
      <c r="H915" s="57"/>
      <c r="I915" s="57"/>
      <c r="J915" s="57"/>
      <c r="K915" s="58"/>
      <c r="L915" s="57"/>
      <c r="M915" s="57"/>
      <c r="N915" s="57"/>
      <c r="O915" s="57"/>
      <c r="P915" s="57"/>
      <c r="Q915" s="58"/>
      <c r="R915" s="57"/>
      <c r="S915" s="56"/>
      <c r="T915" s="56"/>
      <c r="U915" s="56"/>
      <c r="V915" s="56"/>
      <c r="W915" s="56"/>
      <c r="X915" s="56"/>
      <c r="Y915" s="56"/>
      <c r="Z915" s="56"/>
      <c r="AA915" s="56"/>
      <c r="AB915" s="56"/>
      <c r="AC915" s="56"/>
      <c r="AD915" s="56"/>
      <c r="AE915" s="56"/>
      <c r="AF915" s="56"/>
      <c r="AG915" s="56"/>
      <c r="AH915" s="56"/>
      <c r="AI915" s="56"/>
      <c r="AJ915" s="56"/>
      <c r="AK915" s="56"/>
      <c r="AL915" s="56"/>
    </row>
    <row r="916" spans="1:38" ht="14.25" customHeight="1">
      <c r="A916" s="56"/>
      <c r="B916" s="56"/>
      <c r="C916" s="56"/>
      <c r="D916" s="62"/>
      <c r="E916" s="56"/>
      <c r="F916" s="57"/>
      <c r="G916" s="57"/>
      <c r="H916" s="57"/>
      <c r="I916" s="57"/>
      <c r="J916" s="57"/>
      <c r="K916" s="58"/>
      <c r="L916" s="57"/>
      <c r="M916" s="57"/>
      <c r="N916" s="57"/>
      <c r="O916" s="57"/>
      <c r="P916" s="57"/>
      <c r="Q916" s="58"/>
      <c r="R916" s="57"/>
      <c r="S916" s="56"/>
      <c r="T916" s="56"/>
      <c r="U916" s="56"/>
      <c r="V916" s="56"/>
      <c r="W916" s="56"/>
      <c r="X916" s="56"/>
      <c r="Y916" s="56"/>
      <c r="Z916" s="56"/>
      <c r="AA916" s="56"/>
      <c r="AB916" s="56"/>
      <c r="AC916" s="56"/>
      <c r="AD916" s="56"/>
      <c r="AE916" s="56"/>
      <c r="AF916" s="56"/>
      <c r="AG916" s="56"/>
      <c r="AH916" s="56"/>
      <c r="AI916" s="56"/>
      <c r="AJ916" s="56"/>
      <c r="AK916" s="56"/>
      <c r="AL916" s="56"/>
    </row>
    <row r="917" spans="1:38" ht="14.25" customHeight="1">
      <c r="A917" s="56"/>
      <c r="B917" s="56"/>
      <c r="C917" s="56"/>
      <c r="D917" s="62"/>
      <c r="E917" s="56"/>
      <c r="F917" s="57"/>
      <c r="G917" s="57"/>
      <c r="H917" s="57"/>
      <c r="I917" s="57"/>
      <c r="J917" s="57"/>
      <c r="K917" s="58"/>
      <c r="L917" s="57"/>
      <c r="M917" s="57"/>
      <c r="N917" s="57"/>
      <c r="O917" s="57"/>
      <c r="P917" s="57"/>
      <c r="Q917" s="58"/>
      <c r="R917" s="57"/>
      <c r="S917" s="56"/>
      <c r="T917" s="56"/>
      <c r="U917" s="56"/>
      <c r="V917" s="56"/>
      <c r="W917" s="56"/>
      <c r="X917" s="56"/>
      <c r="Y917" s="56"/>
      <c r="Z917" s="56"/>
      <c r="AA917" s="56"/>
      <c r="AB917" s="56"/>
      <c r="AC917" s="56"/>
      <c r="AD917" s="56"/>
      <c r="AE917" s="56"/>
      <c r="AF917" s="56"/>
      <c r="AG917" s="56"/>
      <c r="AH917" s="56"/>
      <c r="AI917" s="56"/>
      <c r="AJ917" s="56"/>
      <c r="AK917" s="56"/>
      <c r="AL917" s="56"/>
    </row>
    <row r="918" spans="1:38" ht="14.25" customHeight="1">
      <c r="A918" s="56"/>
      <c r="B918" s="56"/>
      <c r="C918" s="56"/>
      <c r="D918" s="62"/>
      <c r="E918" s="56"/>
      <c r="F918" s="57"/>
      <c r="G918" s="57"/>
      <c r="H918" s="57"/>
      <c r="I918" s="57"/>
      <c r="J918" s="57"/>
      <c r="K918" s="58"/>
      <c r="L918" s="57"/>
      <c r="M918" s="57"/>
      <c r="N918" s="57"/>
      <c r="O918" s="57"/>
      <c r="P918" s="57"/>
      <c r="Q918" s="58"/>
      <c r="R918" s="57"/>
      <c r="S918" s="56"/>
      <c r="T918" s="56"/>
      <c r="U918" s="56"/>
      <c r="V918" s="56"/>
      <c r="W918" s="56"/>
      <c r="X918" s="56"/>
      <c r="Y918" s="56"/>
      <c r="Z918" s="56"/>
      <c r="AA918" s="56"/>
      <c r="AB918" s="56"/>
      <c r="AC918" s="56"/>
      <c r="AD918" s="56"/>
      <c r="AE918" s="56"/>
      <c r="AF918" s="56"/>
      <c r="AG918" s="56"/>
      <c r="AH918" s="56"/>
      <c r="AI918" s="56"/>
      <c r="AJ918" s="56"/>
      <c r="AK918" s="56"/>
      <c r="AL918" s="56"/>
    </row>
    <row r="919" spans="1:38" ht="14.25" customHeight="1">
      <c r="A919" s="56"/>
      <c r="B919" s="56"/>
      <c r="C919" s="56"/>
      <c r="D919" s="62"/>
      <c r="E919" s="56"/>
      <c r="F919" s="57"/>
      <c r="G919" s="57"/>
      <c r="H919" s="57"/>
      <c r="I919" s="57"/>
      <c r="J919" s="57"/>
      <c r="K919" s="58"/>
      <c r="L919" s="57"/>
      <c r="M919" s="57"/>
      <c r="N919" s="57"/>
      <c r="O919" s="57"/>
      <c r="P919" s="57"/>
      <c r="Q919" s="58"/>
      <c r="R919" s="57"/>
      <c r="S919" s="56"/>
      <c r="T919" s="56"/>
      <c r="U919" s="56"/>
      <c r="V919" s="56"/>
      <c r="W919" s="56"/>
      <c r="X919" s="56"/>
      <c r="Y919" s="56"/>
      <c r="Z919" s="56"/>
      <c r="AA919" s="56"/>
      <c r="AB919" s="56"/>
      <c r="AC919" s="56"/>
      <c r="AD919" s="56"/>
      <c r="AE919" s="56"/>
      <c r="AF919" s="56"/>
      <c r="AG919" s="56"/>
      <c r="AH919" s="56"/>
      <c r="AI919" s="56"/>
      <c r="AJ919" s="56"/>
      <c r="AK919" s="56"/>
      <c r="AL919" s="56"/>
    </row>
    <row r="920" spans="1:38" ht="14.25" customHeight="1">
      <c r="A920" s="56"/>
      <c r="B920" s="56"/>
      <c r="C920" s="56"/>
      <c r="D920" s="62"/>
      <c r="E920" s="56"/>
      <c r="F920" s="57"/>
      <c r="G920" s="57"/>
      <c r="H920" s="57"/>
      <c r="I920" s="57"/>
      <c r="J920" s="57"/>
      <c r="K920" s="58"/>
      <c r="L920" s="57"/>
      <c r="M920" s="57"/>
      <c r="N920" s="57"/>
      <c r="O920" s="57"/>
      <c r="P920" s="57"/>
      <c r="Q920" s="58"/>
      <c r="R920" s="57"/>
      <c r="S920" s="56"/>
      <c r="T920" s="56"/>
      <c r="U920" s="56"/>
      <c r="V920" s="56"/>
      <c r="W920" s="56"/>
      <c r="X920" s="56"/>
      <c r="Y920" s="56"/>
      <c r="Z920" s="56"/>
      <c r="AA920" s="56"/>
      <c r="AB920" s="56"/>
      <c r="AC920" s="56"/>
      <c r="AD920" s="56"/>
      <c r="AE920" s="56"/>
      <c r="AF920" s="56"/>
      <c r="AG920" s="56"/>
      <c r="AH920" s="56"/>
      <c r="AI920" s="56"/>
      <c r="AJ920" s="56"/>
      <c r="AK920" s="56"/>
      <c r="AL920" s="56"/>
    </row>
    <row r="921" spans="1:38" ht="14.25" customHeight="1">
      <c r="A921" s="56"/>
      <c r="B921" s="56"/>
      <c r="C921" s="56"/>
      <c r="D921" s="62"/>
      <c r="E921" s="56"/>
      <c r="F921" s="57"/>
      <c r="G921" s="57"/>
      <c r="H921" s="57"/>
      <c r="I921" s="57"/>
      <c r="J921" s="57"/>
      <c r="K921" s="58"/>
      <c r="L921" s="57"/>
      <c r="M921" s="57"/>
      <c r="N921" s="57"/>
      <c r="O921" s="57"/>
      <c r="P921" s="57"/>
      <c r="Q921" s="58"/>
      <c r="R921" s="57"/>
      <c r="S921" s="56"/>
      <c r="T921" s="56"/>
      <c r="U921" s="56"/>
      <c r="V921" s="56"/>
      <c r="W921" s="56"/>
      <c r="X921" s="56"/>
      <c r="Y921" s="56"/>
      <c r="Z921" s="56"/>
      <c r="AA921" s="56"/>
      <c r="AB921" s="56"/>
      <c r="AC921" s="56"/>
      <c r="AD921" s="56"/>
      <c r="AE921" s="56"/>
      <c r="AF921" s="56"/>
      <c r="AG921" s="56"/>
      <c r="AH921" s="56"/>
      <c r="AI921" s="56"/>
      <c r="AJ921" s="56"/>
      <c r="AK921" s="56"/>
      <c r="AL921" s="56"/>
    </row>
    <row r="922" spans="1:38" ht="14.25" customHeight="1">
      <c r="A922" s="56"/>
      <c r="B922" s="56"/>
      <c r="C922" s="56"/>
      <c r="D922" s="62"/>
      <c r="E922" s="56"/>
      <c r="F922" s="57"/>
      <c r="G922" s="57"/>
      <c r="H922" s="57"/>
      <c r="I922" s="57"/>
      <c r="J922" s="57"/>
      <c r="K922" s="58"/>
      <c r="L922" s="57"/>
      <c r="M922" s="57"/>
      <c r="N922" s="57"/>
      <c r="O922" s="57"/>
      <c r="P922" s="57"/>
      <c r="Q922" s="58"/>
      <c r="R922" s="57"/>
      <c r="S922" s="56"/>
      <c r="T922" s="56"/>
      <c r="U922" s="56"/>
      <c r="V922" s="56"/>
      <c r="W922" s="56"/>
      <c r="X922" s="56"/>
      <c r="Y922" s="56"/>
      <c r="Z922" s="56"/>
      <c r="AA922" s="56"/>
      <c r="AB922" s="56"/>
      <c r="AC922" s="56"/>
      <c r="AD922" s="56"/>
      <c r="AE922" s="56"/>
      <c r="AF922" s="56"/>
      <c r="AG922" s="56"/>
      <c r="AH922" s="56"/>
      <c r="AI922" s="56"/>
      <c r="AJ922" s="56"/>
      <c r="AK922" s="56"/>
      <c r="AL922" s="56"/>
    </row>
    <row r="923" spans="1:38" ht="14.25" customHeight="1">
      <c r="A923" s="56"/>
      <c r="B923" s="56"/>
      <c r="C923" s="56"/>
      <c r="D923" s="62"/>
      <c r="E923" s="56"/>
      <c r="F923" s="57"/>
      <c r="G923" s="57"/>
      <c r="H923" s="57"/>
      <c r="I923" s="57"/>
      <c r="J923" s="57"/>
      <c r="K923" s="58"/>
      <c r="L923" s="57"/>
      <c r="M923" s="57"/>
      <c r="N923" s="57"/>
      <c r="O923" s="57"/>
      <c r="P923" s="57"/>
      <c r="Q923" s="58"/>
      <c r="R923" s="57"/>
      <c r="S923" s="56"/>
      <c r="T923" s="56"/>
      <c r="U923" s="56"/>
      <c r="V923" s="56"/>
      <c r="W923" s="56"/>
      <c r="X923" s="56"/>
      <c r="Y923" s="56"/>
      <c r="Z923" s="56"/>
      <c r="AA923" s="56"/>
      <c r="AB923" s="56"/>
      <c r="AC923" s="56"/>
      <c r="AD923" s="56"/>
      <c r="AE923" s="56"/>
      <c r="AF923" s="56"/>
      <c r="AG923" s="56"/>
      <c r="AH923" s="56"/>
      <c r="AI923" s="56"/>
      <c r="AJ923" s="56"/>
      <c r="AK923" s="56"/>
      <c r="AL923" s="56"/>
    </row>
    <row r="924" spans="1:38" ht="14.25" customHeight="1">
      <c r="A924" s="56"/>
      <c r="B924" s="56"/>
      <c r="C924" s="56"/>
      <c r="D924" s="62"/>
      <c r="E924" s="56"/>
      <c r="F924" s="57"/>
      <c r="G924" s="57"/>
      <c r="H924" s="57"/>
      <c r="I924" s="57"/>
      <c r="J924" s="57"/>
      <c r="K924" s="58"/>
      <c r="L924" s="57"/>
      <c r="M924" s="57"/>
      <c r="N924" s="57"/>
      <c r="O924" s="57"/>
      <c r="P924" s="57"/>
      <c r="Q924" s="58"/>
      <c r="R924" s="57"/>
      <c r="S924" s="56"/>
      <c r="T924" s="56"/>
      <c r="U924" s="56"/>
      <c r="V924" s="56"/>
      <c r="W924" s="56"/>
      <c r="X924" s="56"/>
      <c r="Y924" s="56"/>
      <c r="Z924" s="56"/>
      <c r="AA924" s="56"/>
      <c r="AB924" s="56"/>
      <c r="AC924" s="56"/>
      <c r="AD924" s="56"/>
      <c r="AE924" s="56"/>
      <c r="AF924" s="56"/>
      <c r="AG924" s="56"/>
      <c r="AH924" s="56"/>
      <c r="AI924" s="56"/>
      <c r="AJ924" s="56"/>
      <c r="AK924" s="56"/>
      <c r="AL924" s="56"/>
    </row>
    <row r="925" spans="1:38" ht="14.25" customHeight="1">
      <c r="A925" s="56"/>
      <c r="B925" s="56"/>
      <c r="C925" s="56"/>
      <c r="D925" s="62"/>
      <c r="E925" s="56"/>
      <c r="F925" s="57"/>
      <c r="G925" s="57"/>
      <c r="H925" s="57"/>
      <c r="I925" s="57"/>
      <c r="J925" s="57"/>
      <c r="K925" s="58"/>
      <c r="L925" s="57"/>
      <c r="M925" s="57"/>
      <c r="N925" s="57"/>
      <c r="O925" s="57"/>
      <c r="P925" s="57"/>
      <c r="Q925" s="58"/>
      <c r="R925" s="57"/>
      <c r="S925" s="56"/>
      <c r="T925" s="56"/>
      <c r="U925" s="56"/>
      <c r="V925" s="56"/>
      <c r="W925" s="56"/>
      <c r="X925" s="56"/>
      <c r="Y925" s="56"/>
      <c r="Z925" s="56"/>
      <c r="AA925" s="56"/>
      <c r="AB925" s="56"/>
      <c r="AC925" s="56"/>
      <c r="AD925" s="56"/>
      <c r="AE925" s="56"/>
      <c r="AF925" s="56"/>
      <c r="AG925" s="56"/>
      <c r="AH925" s="56"/>
      <c r="AI925" s="56"/>
      <c r="AJ925" s="56"/>
      <c r="AK925" s="56"/>
      <c r="AL925" s="56"/>
    </row>
    <row r="926" spans="1:38" ht="14.25" customHeight="1">
      <c r="A926" s="56"/>
      <c r="B926" s="56"/>
      <c r="C926" s="56"/>
      <c r="D926" s="62"/>
      <c r="E926" s="56"/>
      <c r="F926" s="57"/>
      <c r="G926" s="57"/>
      <c r="H926" s="57"/>
      <c r="I926" s="57"/>
      <c r="J926" s="57"/>
      <c r="K926" s="58"/>
      <c r="L926" s="57"/>
      <c r="M926" s="57"/>
      <c r="N926" s="57"/>
      <c r="O926" s="57"/>
      <c r="P926" s="57"/>
      <c r="Q926" s="58"/>
      <c r="R926" s="57"/>
      <c r="S926" s="56"/>
      <c r="T926" s="56"/>
      <c r="U926" s="56"/>
      <c r="V926" s="56"/>
      <c r="W926" s="56"/>
      <c r="X926" s="56"/>
      <c r="Y926" s="56"/>
      <c r="Z926" s="56"/>
      <c r="AA926" s="56"/>
      <c r="AB926" s="56"/>
      <c r="AC926" s="56"/>
      <c r="AD926" s="56"/>
      <c r="AE926" s="56"/>
      <c r="AF926" s="56"/>
      <c r="AG926" s="56"/>
      <c r="AH926" s="56"/>
      <c r="AI926" s="56"/>
      <c r="AJ926" s="56"/>
      <c r="AK926" s="56"/>
      <c r="AL926" s="56"/>
    </row>
    <row r="927" spans="1:38" ht="14.25" customHeight="1">
      <c r="A927" s="56"/>
      <c r="B927" s="56"/>
      <c r="C927" s="56"/>
      <c r="D927" s="62"/>
      <c r="E927" s="56"/>
      <c r="F927" s="57"/>
      <c r="G927" s="57"/>
      <c r="H927" s="57"/>
      <c r="I927" s="57"/>
      <c r="J927" s="57"/>
      <c r="K927" s="58"/>
      <c r="L927" s="57"/>
      <c r="M927" s="57"/>
      <c r="N927" s="57"/>
      <c r="O927" s="57"/>
      <c r="P927" s="57"/>
      <c r="Q927" s="58"/>
      <c r="R927" s="57"/>
      <c r="S927" s="56"/>
      <c r="T927" s="56"/>
      <c r="U927" s="56"/>
      <c r="V927" s="56"/>
      <c r="W927" s="56"/>
      <c r="X927" s="56"/>
      <c r="Y927" s="56"/>
      <c r="Z927" s="56"/>
      <c r="AA927" s="56"/>
      <c r="AB927" s="56"/>
      <c r="AC927" s="56"/>
      <c r="AD927" s="56"/>
      <c r="AE927" s="56"/>
      <c r="AF927" s="56"/>
      <c r="AG927" s="56"/>
      <c r="AH927" s="56"/>
      <c r="AI927" s="56"/>
      <c r="AJ927" s="56"/>
      <c r="AK927" s="56"/>
      <c r="AL927" s="56"/>
    </row>
    <row r="928" spans="1:38" ht="14.25" customHeight="1">
      <c r="A928" s="56"/>
      <c r="B928" s="56"/>
      <c r="C928" s="56"/>
      <c r="D928" s="62"/>
      <c r="E928" s="56"/>
      <c r="F928" s="57"/>
      <c r="G928" s="57"/>
      <c r="H928" s="57"/>
      <c r="I928" s="57"/>
      <c r="J928" s="57"/>
      <c r="K928" s="58"/>
      <c r="L928" s="57"/>
      <c r="M928" s="57"/>
      <c r="N928" s="57"/>
      <c r="O928" s="57"/>
      <c r="P928" s="57"/>
      <c r="Q928" s="58"/>
      <c r="R928" s="57"/>
      <c r="S928" s="56"/>
      <c r="T928" s="56"/>
      <c r="U928" s="56"/>
      <c r="V928" s="56"/>
      <c r="W928" s="56"/>
      <c r="X928" s="56"/>
      <c r="Y928" s="56"/>
      <c r="Z928" s="56"/>
      <c r="AA928" s="56"/>
      <c r="AB928" s="56"/>
      <c r="AC928" s="56"/>
      <c r="AD928" s="56"/>
      <c r="AE928" s="56"/>
      <c r="AF928" s="56"/>
      <c r="AG928" s="56"/>
      <c r="AH928" s="56"/>
      <c r="AI928" s="56"/>
      <c r="AJ928" s="56"/>
      <c r="AK928" s="56"/>
      <c r="AL928" s="56"/>
    </row>
    <row r="929" spans="1:38" ht="14.25" customHeight="1">
      <c r="A929" s="56"/>
      <c r="B929" s="56"/>
      <c r="C929" s="56"/>
      <c r="D929" s="62"/>
      <c r="E929" s="56"/>
      <c r="F929" s="57"/>
      <c r="G929" s="57"/>
      <c r="H929" s="57"/>
      <c r="I929" s="57"/>
      <c r="J929" s="57"/>
      <c r="K929" s="58"/>
      <c r="L929" s="57"/>
      <c r="M929" s="57"/>
      <c r="N929" s="57"/>
      <c r="O929" s="57"/>
      <c r="P929" s="57"/>
      <c r="Q929" s="58"/>
      <c r="R929" s="57"/>
      <c r="S929" s="56"/>
      <c r="T929" s="56"/>
      <c r="U929" s="56"/>
      <c r="V929" s="56"/>
      <c r="W929" s="56"/>
      <c r="X929" s="56"/>
      <c r="Y929" s="56"/>
      <c r="Z929" s="56"/>
      <c r="AA929" s="56"/>
      <c r="AB929" s="56"/>
      <c r="AC929" s="56"/>
      <c r="AD929" s="56"/>
      <c r="AE929" s="56"/>
      <c r="AF929" s="56"/>
      <c r="AG929" s="56"/>
      <c r="AH929" s="56"/>
      <c r="AI929" s="56"/>
      <c r="AJ929" s="56"/>
      <c r="AK929" s="56"/>
      <c r="AL929" s="56"/>
    </row>
    <row r="930" spans="1:38" ht="14.25" customHeight="1">
      <c r="A930" s="56"/>
      <c r="B930" s="56"/>
      <c r="C930" s="56"/>
      <c r="D930" s="62"/>
      <c r="E930" s="56"/>
      <c r="F930" s="57"/>
      <c r="G930" s="57"/>
      <c r="H930" s="57"/>
      <c r="I930" s="57"/>
      <c r="J930" s="57"/>
      <c r="K930" s="58"/>
      <c r="L930" s="57"/>
      <c r="M930" s="57"/>
      <c r="N930" s="57"/>
      <c r="O930" s="57"/>
      <c r="P930" s="57"/>
      <c r="Q930" s="58"/>
      <c r="R930" s="57"/>
      <c r="S930" s="56"/>
      <c r="T930" s="56"/>
      <c r="U930" s="56"/>
      <c r="V930" s="56"/>
      <c r="W930" s="56"/>
      <c r="X930" s="56"/>
      <c r="Y930" s="56"/>
      <c r="Z930" s="56"/>
      <c r="AA930" s="56"/>
      <c r="AB930" s="56"/>
      <c r="AC930" s="56"/>
      <c r="AD930" s="56"/>
      <c r="AE930" s="56"/>
      <c r="AF930" s="56"/>
      <c r="AG930" s="56"/>
      <c r="AH930" s="56"/>
      <c r="AI930" s="56"/>
      <c r="AJ930" s="56"/>
      <c r="AK930" s="56"/>
      <c r="AL930" s="56"/>
    </row>
    <row r="931" spans="1:38" ht="14.25" customHeight="1">
      <c r="A931" s="56"/>
      <c r="B931" s="56"/>
      <c r="C931" s="56"/>
      <c r="D931" s="62"/>
      <c r="E931" s="56"/>
      <c r="F931" s="57"/>
      <c r="G931" s="57"/>
      <c r="H931" s="57"/>
      <c r="I931" s="57"/>
      <c r="J931" s="57"/>
      <c r="K931" s="58"/>
      <c r="L931" s="57"/>
      <c r="M931" s="57"/>
      <c r="N931" s="57"/>
      <c r="O931" s="57"/>
      <c r="P931" s="57"/>
      <c r="Q931" s="58"/>
      <c r="R931" s="57"/>
      <c r="S931" s="56"/>
      <c r="T931" s="56"/>
      <c r="U931" s="56"/>
      <c r="V931" s="56"/>
      <c r="W931" s="56"/>
      <c r="X931" s="56"/>
      <c r="Y931" s="56"/>
      <c r="Z931" s="56"/>
      <c r="AA931" s="56"/>
      <c r="AB931" s="56"/>
      <c r="AC931" s="56"/>
      <c r="AD931" s="56"/>
      <c r="AE931" s="56"/>
      <c r="AF931" s="56"/>
      <c r="AG931" s="56"/>
      <c r="AH931" s="56"/>
      <c r="AI931" s="56"/>
      <c r="AJ931" s="56"/>
      <c r="AK931" s="56"/>
      <c r="AL931" s="56"/>
    </row>
    <row r="932" spans="1:38" ht="14.25" customHeight="1">
      <c r="A932" s="56"/>
      <c r="B932" s="56"/>
      <c r="C932" s="56"/>
      <c r="D932" s="62"/>
      <c r="E932" s="56"/>
      <c r="F932" s="57"/>
      <c r="G932" s="57"/>
      <c r="H932" s="57"/>
      <c r="I932" s="57"/>
      <c r="J932" s="57"/>
      <c r="K932" s="58"/>
      <c r="L932" s="57"/>
      <c r="M932" s="57"/>
      <c r="N932" s="57"/>
      <c r="O932" s="57"/>
      <c r="P932" s="57"/>
      <c r="Q932" s="58"/>
      <c r="R932" s="57"/>
      <c r="S932" s="56"/>
      <c r="T932" s="56"/>
      <c r="U932" s="56"/>
      <c r="V932" s="56"/>
      <c r="W932" s="56"/>
      <c r="X932" s="56"/>
      <c r="Y932" s="56"/>
      <c r="Z932" s="56"/>
      <c r="AA932" s="56"/>
      <c r="AB932" s="56"/>
      <c r="AC932" s="56"/>
      <c r="AD932" s="56"/>
      <c r="AE932" s="56"/>
      <c r="AF932" s="56"/>
      <c r="AG932" s="56"/>
      <c r="AH932" s="56"/>
      <c r="AI932" s="56"/>
      <c r="AJ932" s="56"/>
      <c r="AK932" s="56"/>
      <c r="AL932" s="56"/>
    </row>
    <row r="933" spans="1:38" ht="14.25" customHeight="1">
      <c r="A933" s="56"/>
      <c r="B933" s="56"/>
      <c r="C933" s="56"/>
      <c r="D933" s="62"/>
      <c r="E933" s="56"/>
      <c r="F933" s="57"/>
      <c r="G933" s="57"/>
      <c r="H933" s="57"/>
      <c r="I933" s="57"/>
      <c r="J933" s="57"/>
      <c r="K933" s="58"/>
      <c r="L933" s="57"/>
      <c r="M933" s="57"/>
      <c r="N933" s="57"/>
      <c r="O933" s="57"/>
      <c r="P933" s="57"/>
      <c r="Q933" s="58"/>
      <c r="R933" s="57"/>
      <c r="S933" s="56"/>
      <c r="T933" s="56"/>
      <c r="U933" s="56"/>
      <c r="V933" s="56"/>
      <c r="W933" s="56"/>
      <c r="X933" s="56"/>
      <c r="Y933" s="56"/>
      <c r="Z933" s="56"/>
      <c r="AA933" s="56"/>
      <c r="AB933" s="56"/>
      <c r="AC933" s="56"/>
      <c r="AD933" s="56"/>
      <c r="AE933" s="56"/>
      <c r="AF933" s="56"/>
      <c r="AG933" s="56"/>
      <c r="AH933" s="56"/>
      <c r="AI933" s="56"/>
      <c r="AJ933" s="56"/>
      <c r="AK933" s="56"/>
      <c r="AL933" s="56"/>
    </row>
    <row r="934" spans="1:38" ht="14.25" customHeight="1">
      <c r="A934" s="56"/>
      <c r="B934" s="56"/>
      <c r="C934" s="56"/>
      <c r="D934" s="62"/>
      <c r="E934" s="56"/>
      <c r="F934" s="57"/>
      <c r="G934" s="57"/>
      <c r="H934" s="57"/>
      <c r="I934" s="57"/>
      <c r="J934" s="57"/>
      <c r="K934" s="58"/>
      <c r="L934" s="57"/>
      <c r="M934" s="57"/>
      <c r="N934" s="57"/>
      <c r="O934" s="57"/>
      <c r="P934" s="57"/>
      <c r="Q934" s="58"/>
      <c r="R934" s="57"/>
      <c r="S934" s="56"/>
      <c r="T934" s="56"/>
      <c r="U934" s="56"/>
      <c r="V934" s="56"/>
      <c r="W934" s="56"/>
      <c r="X934" s="56"/>
      <c r="Y934" s="56"/>
      <c r="Z934" s="56"/>
      <c r="AA934" s="56"/>
      <c r="AB934" s="56"/>
      <c r="AC934" s="56"/>
      <c r="AD934" s="56"/>
      <c r="AE934" s="56"/>
      <c r="AF934" s="56"/>
      <c r="AG934" s="56"/>
      <c r="AH934" s="56"/>
      <c r="AI934" s="56"/>
      <c r="AJ934" s="56"/>
      <c r="AK934" s="56"/>
      <c r="AL934" s="56"/>
    </row>
    <row r="935" spans="1:38" ht="14.25" customHeight="1">
      <c r="A935" s="56"/>
      <c r="B935" s="56"/>
      <c r="C935" s="56"/>
      <c r="D935" s="62"/>
      <c r="E935" s="56"/>
      <c r="F935" s="57"/>
      <c r="G935" s="57"/>
      <c r="H935" s="57"/>
      <c r="I935" s="57"/>
      <c r="J935" s="57"/>
      <c r="K935" s="58"/>
      <c r="L935" s="57"/>
      <c r="M935" s="57"/>
      <c r="N935" s="57"/>
      <c r="O935" s="57"/>
      <c r="P935" s="57"/>
      <c r="Q935" s="58"/>
      <c r="R935" s="57"/>
      <c r="S935" s="56"/>
      <c r="T935" s="56"/>
      <c r="U935" s="56"/>
      <c r="V935" s="56"/>
      <c r="W935" s="56"/>
      <c r="X935" s="56"/>
      <c r="Y935" s="56"/>
      <c r="Z935" s="56"/>
      <c r="AA935" s="56"/>
      <c r="AB935" s="56"/>
      <c r="AC935" s="56"/>
      <c r="AD935" s="56"/>
      <c r="AE935" s="56"/>
      <c r="AF935" s="56"/>
      <c r="AG935" s="56"/>
      <c r="AH935" s="56"/>
      <c r="AI935" s="56"/>
      <c r="AJ935" s="56"/>
      <c r="AK935" s="56"/>
      <c r="AL935" s="56"/>
    </row>
    <row r="936" spans="1:38" ht="14.25" customHeight="1">
      <c r="A936" s="56"/>
      <c r="B936" s="56"/>
      <c r="C936" s="56"/>
      <c r="D936" s="62"/>
      <c r="E936" s="56"/>
      <c r="F936" s="57"/>
      <c r="G936" s="57"/>
      <c r="H936" s="57"/>
      <c r="I936" s="57"/>
      <c r="J936" s="57"/>
      <c r="K936" s="58"/>
      <c r="L936" s="57"/>
      <c r="M936" s="57"/>
      <c r="N936" s="57"/>
      <c r="O936" s="57"/>
      <c r="P936" s="57"/>
      <c r="Q936" s="58"/>
      <c r="R936" s="57"/>
      <c r="S936" s="56"/>
      <c r="T936" s="56"/>
      <c r="U936" s="56"/>
      <c r="V936" s="56"/>
      <c r="W936" s="56"/>
      <c r="X936" s="56"/>
      <c r="Y936" s="56"/>
      <c r="Z936" s="56"/>
      <c r="AA936" s="56"/>
      <c r="AB936" s="56"/>
      <c r="AC936" s="56"/>
      <c r="AD936" s="56"/>
      <c r="AE936" s="56"/>
      <c r="AF936" s="56"/>
      <c r="AG936" s="56"/>
      <c r="AH936" s="56"/>
      <c r="AI936" s="56"/>
      <c r="AJ936" s="56"/>
      <c r="AK936" s="56"/>
      <c r="AL936" s="56"/>
    </row>
    <row r="937" spans="1:38" ht="14.25" customHeight="1">
      <c r="A937" s="56"/>
      <c r="B937" s="56"/>
      <c r="C937" s="56"/>
      <c r="D937" s="62"/>
      <c r="E937" s="56"/>
      <c r="F937" s="57"/>
      <c r="G937" s="57"/>
      <c r="H937" s="57"/>
      <c r="I937" s="57"/>
      <c r="J937" s="57"/>
      <c r="K937" s="58"/>
      <c r="L937" s="57"/>
      <c r="M937" s="57"/>
      <c r="N937" s="57"/>
      <c r="O937" s="57"/>
      <c r="P937" s="57"/>
      <c r="Q937" s="58"/>
      <c r="R937" s="57"/>
      <c r="S937" s="56"/>
      <c r="T937" s="56"/>
      <c r="U937" s="56"/>
      <c r="V937" s="56"/>
      <c r="W937" s="56"/>
      <c r="X937" s="56"/>
      <c r="Y937" s="56"/>
      <c r="Z937" s="56"/>
      <c r="AA937" s="56"/>
      <c r="AB937" s="56"/>
      <c r="AC937" s="56"/>
      <c r="AD937" s="56"/>
      <c r="AE937" s="56"/>
      <c r="AF937" s="56"/>
      <c r="AG937" s="56"/>
      <c r="AH937" s="56"/>
      <c r="AI937" s="56"/>
      <c r="AJ937" s="56"/>
      <c r="AK937" s="56"/>
      <c r="AL937" s="56"/>
    </row>
    <row r="938" spans="1:38" ht="14.25" customHeight="1">
      <c r="A938" s="56"/>
      <c r="B938" s="56"/>
      <c r="C938" s="56"/>
      <c r="D938" s="62"/>
      <c r="E938" s="56"/>
      <c r="F938" s="57"/>
      <c r="G938" s="57"/>
      <c r="H938" s="57"/>
      <c r="I938" s="57"/>
      <c r="J938" s="57"/>
      <c r="K938" s="58"/>
      <c r="L938" s="57"/>
      <c r="M938" s="57"/>
      <c r="N938" s="57"/>
      <c r="O938" s="57"/>
      <c r="P938" s="57"/>
      <c r="Q938" s="58"/>
      <c r="R938" s="57"/>
      <c r="S938" s="56"/>
      <c r="T938" s="56"/>
      <c r="U938" s="56"/>
      <c r="V938" s="56"/>
      <c r="W938" s="56"/>
      <c r="X938" s="56"/>
      <c r="Y938" s="56"/>
      <c r="Z938" s="56"/>
      <c r="AA938" s="56"/>
      <c r="AB938" s="56"/>
      <c r="AC938" s="56"/>
      <c r="AD938" s="56"/>
      <c r="AE938" s="56"/>
      <c r="AF938" s="56"/>
      <c r="AG938" s="56"/>
      <c r="AH938" s="56"/>
      <c r="AI938" s="56"/>
      <c r="AJ938" s="56"/>
      <c r="AK938" s="56"/>
      <c r="AL938" s="56"/>
    </row>
    <row r="939" spans="1:38" ht="14.25" customHeight="1">
      <c r="A939" s="56"/>
      <c r="B939" s="56"/>
      <c r="C939" s="56"/>
      <c r="D939" s="62"/>
      <c r="E939" s="56"/>
      <c r="F939" s="57"/>
      <c r="G939" s="57"/>
      <c r="H939" s="57"/>
      <c r="I939" s="57"/>
      <c r="J939" s="57"/>
      <c r="K939" s="58"/>
      <c r="L939" s="57"/>
      <c r="M939" s="57"/>
      <c r="N939" s="57"/>
      <c r="O939" s="57"/>
      <c r="P939" s="57"/>
      <c r="Q939" s="58"/>
      <c r="R939" s="57"/>
      <c r="S939" s="56"/>
      <c r="T939" s="56"/>
      <c r="U939" s="56"/>
      <c r="V939" s="56"/>
      <c r="W939" s="56"/>
      <c r="X939" s="56"/>
      <c r="Y939" s="56"/>
      <c r="Z939" s="56"/>
      <c r="AA939" s="56"/>
      <c r="AB939" s="56"/>
      <c r="AC939" s="56"/>
      <c r="AD939" s="56"/>
      <c r="AE939" s="56"/>
      <c r="AF939" s="56"/>
      <c r="AG939" s="56"/>
      <c r="AH939" s="56"/>
      <c r="AI939" s="56"/>
      <c r="AJ939" s="56"/>
      <c r="AK939" s="56"/>
      <c r="AL939" s="56"/>
    </row>
    <row r="940" spans="1:38" ht="14.25" customHeight="1">
      <c r="A940" s="56"/>
      <c r="B940" s="56"/>
      <c r="C940" s="56"/>
      <c r="D940" s="62"/>
      <c r="E940" s="56"/>
      <c r="F940" s="57"/>
      <c r="G940" s="57"/>
      <c r="H940" s="57"/>
      <c r="I940" s="57"/>
      <c r="J940" s="57"/>
      <c r="K940" s="58"/>
      <c r="L940" s="57"/>
      <c r="M940" s="57"/>
      <c r="N940" s="57"/>
      <c r="O940" s="57"/>
      <c r="P940" s="57"/>
      <c r="Q940" s="58"/>
      <c r="R940" s="57"/>
      <c r="S940" s="56"/>
      <c r="T940" s="56"/>
      <c r="U940" s="56"/>
      <c r="V940" s="56"/>
      <c r="W940" s="56"/>
      <c r="X940" s="56"/>
      <c r="Y940" s="56"/>
      <c r="Z940" s="56"/>
      <c r="AA940" s="56"/>
      <c r="AB940" s="56"/>
      <c r="AC940" s="56"/>
      <c r="AD940" s="56"/>
      <c r="AE940" s="56"/>
      <c r="AF940" s="56"/>
      <c r="AG940" s="56"/>
      <c r="AH940" s="56"/>
      <c r="AI940" s="56"/>
      <c r="AJ940" s="56"/>
      <c r="AK940" s="56"/>
      <c r="AL940" s="56"/>
    </row>
    <row r="941" spans="1:38" ht="14.25" customHeight="1">
      <c r="A941" s="56"/>
      <c r="B941" s="56"/>
      <c r="C941" s="56"/>
      <c r="D941" s="62"/>
      <c r="E941" s="56"/>
      <c r="F941" s="57"/>
      <c r="G941" s="57"/>
      <c r="H941" s="57"/>
      <c r="I941" s="57"/>
      <c r="J941" s="57"/>
      <c r="K941" s="58"/>
      <c r="L941" s="57"/>
      <c r="M941" s="57"/>
      <c r="N941" s="57"/>
      <c r="O941" s="57"/>
      <c r="P941" s="57"/>
      <c r="Q941" s="58"/>
      <c r="R941" s="57"/>
      <c r="S941" s="56"/>
      <c r="T941" s="56"/>
      <c r="U941" s="56"/>
      <c r="V941" s="56"/>
      <c r="W941" s="56"/>
      <c r="X941" s="56"/>
      <c r="Y941" s="56"/>
      <c r="Z941" s="56"/>
      <c r="AA941" s="56"/>
      <c r="AB941" s="56"/>
      <c r="AC941" s="56"/>
      <c r="AD941" s="56"/>
      <c r="AE941" s="56"/>
      <c r="AF941" s="56"/>
      <c r="AG941" s="56"/>
      <c r="AH941" s="56"/>
      <c r="AI941" s="56"/>
      <c r="AJ941" s="56"/>
      <c r="AK941" s="56"/>
      <c r="AL941" s="56"/>
    </row>
    <row r="942" spans="1:38" ht="14.25" customHeight="1">
      <c r="A942" s="56"/>
      <c r="B942" s="56"/>
      <c r="C942" s="56"/>
      <c r="D942" s="62"/>
      <c r="E942" s="56"/>
      <c r="F942" s="57"/>
      <c r="G942" s="57"/>
      <c r="H942" s="57"/>
      <c r="I942" s="57"/>
      <c r="J942" s="57"/>
      <c r="K942" s="58"/>
      <c r="L942" s="57"/>
      <c r="M942" s="57"/>
      <c r="N942" s="57"/>
      <c r="O942" s="57"/>
      <c r="P942" s="57"/>
      <c r="Q942" s="58"/>
      <c r="R942" s="57"/>
      <c r="S942" s="56"/>
      <c r="T942" s="56"/>
      <c r="U942" s="56"/>
      <c r="V942" s="56"/>
      <c r="W942" s="56"/>
      <c r="X942" s="56"/>
      <c r="Y942" s="56"/>
      <c r="Z942" s="56"/>
      <c r="AA942" s="56"/>
      <c r="AB942" s="56"/>
      <c r="AC942" s="56"/>
      <c r="AD942" s="56"/>
      <c r="AE942" s="56"/>
      <c r="AF942" s="56"/>
      <c r="AG942" s="56"/>
      <c r="AH942" s="56"/>
      <c r="AI942" s="56"/>
      <c r="AJ942" s="56"/>
      <c r="AK942" s="56"/>
      <c r="AL942" s="56"/>
    </row>
    <row r="943" spans="1:38" ht="14.25" customHeight="1">
      <c r="A943" s="56"/>
      <c r="B943" s="56"/>
      <c r="C943" s="56"/>
      <c r="D943" s="62"/>
      <c r="E943" s="56"/>
      <c r="F943" s="57"/>
      <c r="G943" s="57"/>
      <c r="H943" s="57"/>
      <c r="I943" s="57"/>
      <c r="J943" s="57"/>
      <c r="K943" s="58"/>
      <c r="L943" s="57"/>
      <c r="M943" s="57"/>
      <c r="N943" s="57"/>
      <c r="O943" s="57"/>
      <c r="P943" s="57"/>
      <c r="Q943" s="58"/>
      <c r="R943" s="57"/>
      <c r="S943" s="56"/>
      <c r="T943" s="56"/>
      <c r="U943" s="56"/>
      <c r="V943" s="56"/>
      <c r="W943" s="56"/>
      <c r="X943" s="56"/>
      <c r="Y943" s="56"/>
      <c r="Z943" s="56"/>
      <c r="AA943" s="56"/>
      <c r="AB943" s="56"/>
      <c r="AC943" s="56"/>
      <c r="AD943" s="56"/>
      <c r="AE943" s="56"/>
      <c r="AF943" s="56"/>
      <c r="AG943" s="56"/>
      <c r="AH943" s="56"/>
      <c r="AI943" s="56"/>
      <c r="AJ943" s="56"/>
      <c r="AK943" s="56"/>
      <c r="AL943" s="56"/>
    </row>
    <row r="944" spans="1:38" ht="14.25" customHeight="1">
      <c r="A944" s="56"/>
      <c r="B944" s="56"/>
      <c r="C944" s="56"/>
      <c r="D944" s="62"/>
      <c r="E944" s="56"/>
      <c r="F944" s="57"/>
      <c r="G944" s="57"/>
      <c r="H944" s="57"/>
      <c r="I944" s="57"/>
      <c r="J944" s="57"/>
      <c r="K944" s="58"/>
      <c r="L944" s="57"/>
      <c r="M944" s="57"/>
      <c r="N944" s="57"/>
      <c r="O944" s="57"/>
      <c r="P944" s="57"/>
      <c r="Q944" s="58"/>
      <c r="R944" s="57"/>
      <c r="S944" s="56"/>
      <c r="T944" s="56"/>
      <c r="U944" s="56"/>
      <c r="V944" s="56"/>
      <c r="W944" s="56"/>
      <c r="X944" s="56"/>
      <c r="Y944" s="56"/>
      <c r="Z944" s="56"/>
      <c r="AA944" s="56"/>
      <c r="AB944" s="56"/>
      <c r="AC944" s="56"/>
      <c r="AD944" s="56"/>
      <c r="AE944" s="56"/>
      <c r="AF944" s="56"/>
      <c r="AG944" s="56"/>
      <c r="AH944" s="56"/>
      <c r="AI944" s="56"/>
      <c r="AJ944" s="56"/>
      <c r="AK944" s="56"/>
      <c r="AL944" s="56"/>
    </row>
    <row r="945" spans="1:38" ht="14.25" customHeight="1">
      <c r="A945" s="56"/>
      <c r="B945" s="56"/>
      <c r="C945" s="56"/>
      <c r="D945" s="62"/>
      <c r="E945" s="56"/>
      <c r="F945" s="57"/>
      <c r="G945" s="57"/>
      <c r="H945" s="57"/>
      <c r="I945" s="57"/>
      <c r="J945" s="57"/>
      <c r="K945" s="58"/>
      <c r="L945" s="57"/>
      <c r="M945" s="57"/>
      <c r="N945" s="57"/>
      <c r="O945" s="57"/>
      <c r="P945" s="57"/>
      <c r="Q945" s="58"/>
      <c r="R945" s="57"/>
      <c r="S945" s="56"/>
      <c r="T945" s="56"/>
      <c r="U945" s="56"/>
      <c r="V945" s="56"/>
      <c r="W945" s="56"/>
      <c r="X945" s="56"/>
      <c r="Y945" s="56"/>
      <c r="Z945" s="56"/>
      <c r="AA945" s="56"/>
      <c r="AB945" s="56"/>
      <c r="AC945" s="56"/>
      <c r="AD945" s="56"/>
      <c r="AE945" s="56"/>
      <c r="AF945" s="56"/>
      <c r="AG945" s="56"/>
      <c r="AH945" s="56"/>
      <c r="AI945" s="56"/>
      <c r="AJ945" s="56"/>
      <c r="AK945" s="56"/>
      <c r="AL945" s="56"/>
    </row>
    <row r="946" spans="1:38" ht="14.25" customHeight="1">
      <c r="A946" s="56"/>
      <c r="B946" s="56"/>
      <c r="C946" s="56"/>
      <c r="D946" s="62"/>
      <c r="E946" s="56"/>
      <c r="F946" s="57"/>
      <c r="G946" s="57"/>
      <c r="H946" s="57"/>
      <c r="I946" s="57"/>
      <c r="J946" s="57"/>
      <c r="K946" s="58"/>
      <c r="L946" s="57"/>
      <c r="M946" s="57"/>
      <c r="N946" s="57"/>
      <c r="O946" s="57"/>
      <c r="P946" s="57"/>
      <c r="Q946" s="58"/>
      <c r="R946" s="57"/>
      <c r="S946" s="56"/>
      <c r="T946" s="56"/>
      <c r="U946" s="56"/>
      <c r="V946" s="56"/>
      <c r="W946" s="56"/>
      <c r="X946" s="56"/>
      <c r="Y946" s="56"/>
      <c r="Z946" s="56"/>
      <c r="AA946" s="56"/>
      <c r="AB946" s="56"/>
      <c r="AC946" s="56"/>
      <c r="AD946" s="56"/>
      <c r="AE946" s="56"/>
      <c r="AF946" s="56"/>
      <c r="AG946" s="56"/>
      <c r="AH946" s="56"/>
      <c r="AI946" s="56"/>
      <c r="AJ946" s="56"/>
      <c r="AK946" s="56"/>
      <c r="AL946" s="56"/>
    </row>
    <row r="947" spans="1:38" ht="14.25" customHeight="1">
      <c r="A947" s="56"/>
      <c r="B947" s="56"/>
      <c r="C947" s="56"/>
      <c r="D947" s="62"/>
      <c r="E947" s="56"/>
      <c r="F947" s="57"/>
      <c r="G947" s="57"/>
      <c r="H947" s="57"/>
      <c r="I947" s="57"/>
      <c r="J947" s="57"/>
      <c r="K947" s="58"/>
      <c r="L947" s="57"/>
      <c r="M947" s="57"/>
      <c r="N947" s="57"/>
      <c r="O947" s="57"/>
      <c r="P947" s="57"/>
      <c r="Q947" s="58"/>
      <c r="R947" s="57"/>
      <c r="S947" s="56"/>
      <c r="T947" s="56"/>
      <c r="U947" s="56"/>
      <c r="V947" s="56"/>
      <c r="W947" s="56"/>
      <c r="X947" s="56"/>
      <c r="Y947" s="56"/>
      <c r="Z947" s="56"/>
      <c r="AA947" s="56"/>
      <c r="AB947" s="56"/>
      <c r="AC947" s="56"/>
      <c r="AD947" s="56"/>
      <c r="AE947" s="56"/>
      <c r="AF947" s="56"/>
      <c r="AG947" s="56"/>
      <c r="AH947" s="56"/>
      <c r="AI947" s="56"/>
      <c r="AJ947" s="56"/>
      <c r="AK947" s="56"/>
      <c r="AL947" s="56"/>
    </row>
    <row r="948" spans="1:38" ht="14.25" customHeight="1">
      <c r="A948" s="56"/>
      <c r="B948" s="56"/>
      <c r="C948" s="56"/>
      <c r="D948" s="62"/>
      <c r="E948" s="56"/>
      <c r="F948" s="57"/>
      <c r="G948" s="57"/>
      <c r="H948" s="57"/>
      <c r="I948" s="57"/>
      <c r="J948" s="57"/>
      <c r="K948" s="58"/>
      <c r="L948" s="57"/>
      <c r="M948" s="57"/>
      <c r="N948" s="57"/>
      <c r="O948" s="57"/>
      <c r="P948" s="57"/>
      <c r="Q948" s="58"/>
      <c r="R948" s="57"/>
      <c r="S948" s="56"/>
      <c r="T948" s="56"/>
      <c r="U948" s="56"/>
      <c r="V948" s="56"/>
      <c r="W948" s="56"/>
      <c r="X948" s="56"/>
      <c r="Y948" s="56"/>
      <c r="Z948" s="56"/>
      <c r="AA948" s="56"/>
      <c r="AB948" s="56"/>
      <c r="AC948" s="56"/>
      <c r="AD948" s="56"/>
      <c r="AE948" s="56"/>
      <c r="AF948" s="56"/>
      <c r="AG948" s="56"/>
      <c r="AH948" s="56"/>
      <c r="AI948" s="56"/>
      <c r="AJ948" s="56"/>
      <c r="AK948" s="56"/>
      <c r="AL948" s="56"/>
    </row>
    <row r="949" spans="1:38" ht="14.25" customHeight="1">
      <c r="A949" s="56"/>
      <c r="B949" s="56"/>
      <c r="C949" s="56"/>
      <c r="D949" s="62"/>
      <c r="E949" s="56"/>
      <c r="F949" s="57"/>
      <c r="G949" s="57"/>
      <c r="H949" s="57"/>
      <c r="I949" s="57"/>
      <c r="J949" s="57"/>
      <c r="K949" s="58"/>
      <c r="L949" s="57"/>
      <c r="M949" s="57"/>
      <c r="N949" s="57"/>
      <c r="O949" s="57"/>
      <c r="P949" s="57"/>
      <c r="Q949" s="58"/>
      <c r="R949" s="57"/>
      <c r="S949" s="56"/>
      <c r="T949" s="56"/>
      <c r="U949" s="56"/>
      <c r="V949" s="56"/>
      <c r="W949" s="56"/>
      <c r="X949" s="56"/>
      <c r="Y949" s="56"/>
      <c r="Z949" s="56"/>
      <c r="AA949" s="56"/>
      <c r="AB949" s="56"/>
      <c r="AC949" s="56"/>
      <c r="AD949" s="56"/>
      <c r="AE949" s="56"/>
      <c r="AF949" s="56"/>
      <c r="AG949" s="56"/>
      <c r="AH949" s="56"/>
      <c r="AI949" s="56"/>
      <c r="AJ949" s="56"/>
      <c r="AK949" s="56"/>
      <c r="AL949" s="56"/>
    </row>
    <row r="950" spans="1:38" ht="14.25" customHeight="1">
      <c r="A950" s="56"/>
      <c r="B950" s="56"/>
      <c r="C950" s="56"/>
      <c r="D950" s="62"/>
      <c r="E950" s="56"/>
      <c r="F950" s="57"/>
      <c r="G950" s="57"/>
      <c r="H950" s="57"/>
      <c r="I950" s="57"/>
      <c r="J950" s="57"/>
      <c r="K950" s="58"/>
      <c r="L950" s="57"/>
      <c r="M950" s="57"/>
      <c r="N950" s="57"/>
      <c r="O950" s="57"/>
      <c r="P950" s="57"/>
      <c r="Q950" s="58"/>
      <c r="R950" s="57"/>
      <c r="S950" s="56"/>
      <c r="T950" s="56"/>
      <c r="U950" s="56"/>
      <c r="V950" s="56"/>
      <c r="W950" s="56"/>
      <c r="X950" s="56"/>
      <c r="Y950" s="56"/>
      <c r="Z950" s="56"/>
      <c r="AA950" s="56"/>
      <c r="AB950" s="56"/>
      <c r="AC950" s="56"/>
      <c r="AD950" s="56"/>
      <c r="AE950" s="56"/>
      <c r="AF950" s="56"/>
      <c r="AG950" s="56"/>
      <c r="AH950" s="56"/>
      <c r="AI950" s="56"/>
      <c r="AJ950" s="56"/>
      <c r="AK950" s="56"/>
      <c r="AL950" s="56"/>
    </row>
    <row r="951" spans="1:38" ht="14.25" customHeight="1">
      <c r="A951" s="56"/>
      <c r="B951" s="56"/>
      <c r="C951" s="56"/>
      <c r="D951" s="62"/>
      <c r="E951" s="56"/>
      <c r="F951" s="57"/>
      <c r="G951" s="57"/>
      <c r="H951" s="57"/>
      <c r="I951" s="57"/>
      <c r="J951" s="57"/>
      <c r="K951" s="58"/>
      <c r="L951" s="57"/>
      <c r="M951" s="57"/>
      <c r="N951" s="57"/>
      <c r="O951" s="57"/>
      <c r="P951" s="57"/>
      <c r="Q951" s="58"/>
      <c r="R951" s="57"/>
      <c r="S951" s="56"/>
      <c r="T951" s="56"/>
      <c r="U951" s="56"/>
      <c r="V951" s="56"/>
      <c r="W951" s="56"/>
      <c r="X951" s="56"/>
      <c r="Y951" s="56"/>
      <c r="Z951" s="56"/>
      <c r="AA951" s="56"/>
      <c r="AB951" s="56"/>
      <c r="AC951" s="56"/>
      <c r="AD951" s="56"/>
      <c r="AE951" s="56"/>
      <c r="AF951" s="56"/>
      <c r="AG951" s="56"/>
      <c r="AH951" s="56"/>
      <c r="AI951" s="56"/>
      <c r="AJ951" s="56"/>
      <c r="AK951" s="56"/>
      <c r="AL951" s="56"/>
    </row>
    <row r="952" spans="1:38" ht="14.25" customHeight="1">
      <c r="A952" s="56"/>
      <c r="B952" s="56"/>
      <c r="C952" s="56"/>
      <c r="D952" s="62"/>
      <c r="E952" s="56"/>
      <c r="F952" s="57"/>
      <c r="G952" s="57"/>
      <c r="H952" s="57"/>
      <c r="I952" s="57"/>
      <c r="J952" s="57"/>
      <c r="K952" s="58"/>
      <c r="L952" s="57"/>
      <c r="M952" s="57"/>
      <c r="N952" s="57"/>
      <c r="O952" s="57"/>
      <c r="P952" s="57"/>
      <c r="Q952" s="58"/>
      <c r="R952" s="57"/>
      <c r="S952" s="56"/>
      <c r="T952" s="56"/>
      <c r="U952" s="56"/>
      <c r="V952" s="56"/>
      <c r="W952" s="56"/>
      <c r="X952" s="56"/>
      <c r="Y952" s="56"/>
      <c r="Z952" s="56"/>
      <c r="AA952" s="56"/>
      <c r="AB952" s="56"/>
      <c r="AC952" s="56"/>
      <c r="AD952" s="56"/>
      <c r="AE952" s="56"/>
      <c r="AF952" s="56"/>
      <c r="AG952" s="56"/>
      <c r="AH952" s="56"/>
      <c r="AI952" s="56"/>
      <c r="AJ952" s="56"/>
      <c r="AK952" s="56"/>
      <c r="AL952" s="56"/>
    </row>
    <row r="953" spans="1:38" ht="14.25" customHeight="1">
      <c r="A953" s="56"/>
      <c r="B953" s="56"/>
      <c r="C953" s="56"/>
      <c r="D953" s="62"/>
      <c r="E953" s="56"/>
      <c r="F953" s="57"/>
      <c r="G953" s="57"/>
      <c r="H953" s="57"/>
      <c r="I953" s="57"/>
      <c r="J953" s="57"/>
      <c r="K953" s="58"/>
      <c r="L953" s="57"/>
      <c r="M953" s="57"/>
      <c r="N953" s="57"/>
      <c r="O953" s="57"/>
      <c r="P953" s="57"/>
      <c r="Q953" s="58"/>
      <c r="R953" s="57"/>
      <c r="S953" s="56"/>
      <c r="T953" s="56"/>
      <c r="U953" s="56"/>
      <c r="V953" s="56"/>
      <c r="W953" s="56"/>
      <c r="X953" s="56"/>
      <c r="Y953" s="56"/>
      <c r="Z953" s="56"/>
      <c r="AA953" s="56"/>
      <c r="AB953" s="56"/>
      <c r="AC953" s="56"/>
      <c r="AD953" s="56"/>
      <c r="AE953" s="56"/>
      <c r="AF953" s="56"/>
      <c r="AG953" s="56"/>
      <c r="AH953" s="56"/>
      <c r="AI953" s="56"/>
      <c r="AJ953" s="56"/>
      <c r="AK953" s="56"/>
      <c r="AL953" s="56"/>
    </row>
    <row r="954" spans="1:38" ht="14.25" customHeight="1">
      <c r="A954" s="56"/>
      <c r="B954" s="56"/>
      <c r="C954" s="56"/>
      <c r="D954" s="62"/>
      <c r="E954" s="56"/>
      <c r="F954" s="57"/>
      <c r="G954" s="57"/>
      <c r="H954" s="57"/>
      <c r="I954" s="57"/>
      <c r="J954" s="57"/>
      <c r="K954" s="58"/>
      <c r="L954" s="57"/>
      <c r="M954" s="57"/>
      <c r="N954" s="57"/>
      <c r="O954" s="57"/>
      <c r="P954" s="57"/>
      <c r="Q954" s="58"/>
      <c r="R954" s="57"/>
      <c r="S954" s="56"/>
      <c r="T954" s="56"/>
      <c r="U954" s="56"/>
      <c r="V954" s="56"/>
      <c r="W954" s="56"/>
      <c r="X954" s="56"/>
      <c r="Y954" s="56"/>
      <c r="Z954" s="56"/>
      <c r="AA954" s="56"/>
      <c r="AB954" s="56"/>
      <c r="AC954" s="56"/>
      <c r="AD954" s="56"/>
      <c r="AE954" s="56"/>
      <c r="AF954" s="56"/>
      <c r="AG954" s="56"/>
      <c r="AH954" s="56"/>
      <c r="AI954" s="56"/>
      <c r="AJ954" s="56"/>
      <c r="AK954" s="56"/>
      <c r="AL954" s="56"/>
    </row>
    <row r="955" spans="1:38" ht="14.25" customHeight="1">
      <c r="A955" s="56"/>
      <c r="B955" s="56"/>
      <c r="C955" s="56"/>
      <c r="D955" s="62"/>
      <c r="E955" s="56"/>
      <c r="F955" s="57"/>
      <c r="G955" s="57"/>
      <c r="H955" s="57"/>
      <c r="I955" s="57"/>
      <c r="J955" s="57"/>
      <c r="K955" s="58"/>
      <c r="L955" s="57"/>
      <c r="M955" s="57"/>
      <c r="N955" s="57"/>
      <c r="O955" s="57"/>
      <c r="P955" s="57"/>
      <c r="Q955" s="58"/>
      <c r="R955" s="57"/>
      <c r="S955" s="56"/>
      <c r="T955" s="56"/>
      <c r="U955" s="56"/>
      <c r="V955" s="56"/>
      <c r="W955" s="56"/>
      <c r="X955" s="56"/>
      <c r="Y955" s="56"/>
      <c r="Z955" s="56"/>
      <c r="AA955" s="56"/>
      <c r="AB955" s="56"/>
      <c r="AC955" s="56"/>
      <c r="AD955" s="56"/>
      <c r="AE955" s="56"/>
      <c r="AF955" s="56"/>
      <c r="AG955" s="56"/>
      <c r="AH955" s="56"/>
      <c r="AI955" s="56"/>
      <c r="AJ955" s="56"/>
      <c r="AK955" s="56"/>
      <c r="AL955" s="56"/>
    </row>
    <row r="956" spans="1:38" ht="14.25" customHeight="1">
      <c r="A956" s="56"/>
      <c r="B956" s="56"/>
      <c r="C956" s="56"/>
      <c r="D956" s="62"/>
      <c r="E956" s="56"/>
      <c r="F956" s="57"/>
      <c r="G956" s="57"/>
      <c r="H956" s="57"/>
      <c r="I956" s="57"/>
      <c r="J956" s="57"/>
      <c r="K956" s="58"/>
      <c r="L956" s="57"/>
      <c r="M956" s="57"/>
      <c r="N956" s="57"/>
      <c r="O956" s="57"/>
      <c r="P956" s="57"/>
      <c r="Q956" s="58"/>
      <c r="R956" s="57"/>
      <c r="S956" s="56"/>
      <c r="T956" s="56"/>
      <c r="U956" s="56"/>
      <c r="V956" s="56"/>
      <c r="W956" s="56"/>
      <c r="X956" s="56"/>
      <c r="Y956" s="56"/>
      <c r="Z956" s="56"/>
      <c r="AA956" s="56"/>
      <c r="AB956" s="56"/>
      <c r="AC956" s="56"/>
      <c r="AD956" s="56"/>
      <c r="AE956" s="56"/>
      <c r="AF956" s="56"/>
      <c r="AG956" s="56"/>
      <c r="AH956" s="56"/>
      <c r="AI956" s="56"/>
      <c r="AJ956" s="56"/>
      <c r="AK956" s="56"/>
      <c r="AL956" s="56"/>
    </row>
    <row r="957" spans="1:38" ht="14.25" customHeight="1">
      <c r="A957" s="56"/>
      <c r="B957" s="56"/>
      <c r="C957" s="56"/>
      <c r="D957" s="62"/>
      <c r="E957" s="56"/>
      <c r="F957" s="57"/>
      <c r="G957" s="57"/>
      <c r="H957" s="57"/>
      <c r="I957" s="57"/>
      <c r="J957" s="57"/>
      <c r="K957" s="58"/>
      <c r="L957" s="57"/>
      <c r="M957" s="57"/>
      <c r="N957" s="57"/>
      <c r="O957" s="57"/>
      <c r="P957" s="57"/>
      <c r="Q957" s="58"/>
      <c r="R957" s="57"/>
      <c r="S957" s="56"/>
      <c r="T957" s="56"/>
      <c r="U957" s="56"/>
      <c r="V957" s="56"/>
      <c r="W957" s="56"/>
      <c r="X957" s="56"/>
      <c r="Y957" s="56"/>
      <c r="Z957" s="56"/>
      <c r="AA957" s="56"/>
      <c r="AB957" s="56"/>
      <c r="AC957" s="56"/>
      <c r="AD957" s="56"/>
      <c r="AE957" s="56"/>
      <c r="AF957" s="56"/>
      <c r="AG957" s="56"/>
      <c r="AH957" s="56"/>
      <c r="AI957" s="56"/>
      <c r="AJ957" s="56"/>
      <c r="AK957" s="56"/>
      <c r="AL957" s="56"/>
    </row>
    <row r="958" spans="1:38" ht="14.25" customHeight="1">
      <c r="A958" s="56"/>
      <c r="B958" s="56"/>
      <c r="C958" s="56"/>
      <c r="D958" s="62"/>
      <c r="E958" s="56"/>
      <c r="F958" s="57"/>
      <c r="G958" s="57"/>
      <c r="H958" s="57"/>
      <c r="I958" s="57"/>
      <c r="J958" s="57"/>
      <c r="K958" s="58"/>
      <c r="L958" s="57"/>
      <c r="M958" s="57"/>
      <c r="N958" s="57"/>
      <c r="O958" s="57"/>
      <c r="P958" s="57"/>
      <c r="Q958" s="58"/>
      <c r="R958" s="57"/>
      <c r="S958" s="56"/>
      <c r="T958" s="56"/>
      <c r="U958" s="56"/>
      <c r="V958" s="56"/>
      <c r="W958" s="56"/>
      <c r="X958" s="56"/>
      <c r="Y958" s="56"/>
      <c r="Z958" s="56"/>
      <c r="AA958" s="56"/>
      <c r="AB958" s="56"/>
      <c r="AC958" s="56"/>
      <c r="AD958" s="56"/>
      <c r="AE958" s="56"/>
      <c r="AF958" s="56"/>
      <c r="AG958" s="56"/>
      <c r="AH958" s="56"/>
      <c r="AI958" s="56"/>
      <c r="AJ958" s="56"/>
      <c r="AK958" s="56"/>
      <c r="AL958" s="56"/>
    </row>
    <row r="959" spans="1:38" ht="14.25" customHeight="1">
      <c r="A959" s="56"/>
      <c r="B959" s="56"/>
      <c r="C959" s="56"/>
      <c r="D959" s="62"/>
      <c r="E959" s="56"/>
      <c r="F959" s="57"/>
      <c r="G959" s="57"/>
      <c r="H959" s="57"/>
      <c r="I959" s="57"/>
      <c r="J959" s="57"/>
      <c r="K959" s="58"/>
      <c r="L959" s="57"/>
      <c r="M959" s="57"/>
      <c r="N959" s="57"/>
      <c r="O959" s="57"/>
      <c r="P959" s="57"/>
      <c r="Q959" s="58"/>
      <c r="R959" s="57"/>
      <c r="S959" s="56"/>
      <c r="T959" s="56"/>
      <c r="U959" s="56"/>
      <c r="V959" s="56"/>
      <c r="W959" s="56"/>
      <c r="X959" s="56"/>
      <c r="Y959" s="56"/>
      <c r="Z959" s="56"/>
      <c r="AA959" s="56"/>
      <c r="AB959" s="56"/>
      <c r="AC959" s="56"/>
      <c r="AD959" s="56"/>
      <c r="AE959" s="56"/>
      <c r="AF959" s="56"/>
      <c r="AG959" s="56"/>
      <c r="AH959" s="56"/>
      <c r="AI959" s="56"/>
      <c r="AJ959" s="56"/>
      <c r="AK959" s="56"/>
      <c r="AL959" s="56"/>
    </row>
    <row r="960" spans="1:38" ht="14.25" customHeight="1">
      <c r="A960" s="56"/>
      <c r="B960" s="56"/>
      <c r="C960" s="56"/>
      <c r="D960" s="62"/>
      <c r="E960" s="56"/>
      <c r="F960" s="57"/>
      <c r="G960" s="57"/>
      <c r="H960" s="57"/>
      <c r="I960" s="57"/>
      <c r="J960" s="57"/>
      <c r="K960" s="58"/>
      <c r="L960" s="57"/>
      <c r="M960" s="57"/>
      <c r="N960" s="57"/>
      <c r="O960" s="57"/>
      <c r="P960" s="57"/>
      <c r="Q960" s="58"/>
      <c r="R960" s="57"/>
      <c r="S960" s="56"/>
      <c r="T960" s="56"/>
      <c r="U960" s="56"/>
      <c r="V960" s="56"/>
      <c r="W960" s="56"/>
      <c r="X960" s="56"/>
      <c r="Y960" s="56"/>
      <c r="Z960" s="56"/>
      <c r="AA960" s="56"/>
      <c r="AB960" s="56"/>
      <c r="AC960" s="56"/>
      <c r="AD960" s="56"/>
      <c r="AE960" s="56"/>
      <c r="AF960" s="56"/>
      <c r="AG960" s="56"/>
      <c r="AH960" s="56"/>
      <c r="AI960" s="56"/>
      <c r="AJ960" s="56"/>
      <c r="AK960" s="56"/>
      <c r="AL960" s="56"/>
    </row>
    <row r="961" spans="1:38" ht="14.25" customHeight="1">
      <c r="A961" s="56"/>
      <c r="B961" s="56"/>
      <c r="C961" s="56"/>
      <c r="D961" s="62"/>
      <c r="E961" s="56"/>
      <c r="F961" s="57"/>
      <c r="G961" s="57"/>
      <c r="H961" s="57"/>
      <c r="I961" s="57"/>
      <c r="J961" s="57"/>
      <c r="K961" s="58"/>
      <c r="L961" s="57"/>
      <c r="M961" s="57"/>
      <c r="N961" s="57"/>
      <c r="O961" s="57"/>
      <c r="P961" s="57"/>
      <c r="Q961" s="58"/>
      <c r="R961" s="57"/>
      <c r="S961" s="56"/>
      <c r="T961" s="56"/>
      <c r="U961" s="56"/>
      <c r="V961" s="56"/>
      <c r="W961" s="56"/>
      <c r="X961" s="56"/>
      <c r="Y961" s="56"/>
      <c r="Z961" s="56"/>
      <c r="AA961" s="56"/>
      <c r="AB961" s="56"/>
      <c r="AC961" s="56"/>
      <c r="AD961" s="56"/>
      <c r="AE961" s="56"/>
      <c r="AF961" s="56"/>
      <c r="AG961" s="56"/>
      <c r="AH961" s="56"/>
      <c r="AI961" s="56"/>
      <c r="AJ961" s="56"/>
      <c r="AK961" s="56"/>
      <c r="AL961" s="56"/>
    </row>
    <row r="962" spans="1:38" ht="14.25" customHeight="1">
      <c r="A962" s="56"/>
      <c r="B962" s="56"/>
      <c r="C962" s="56"/>
      <c r="D962" s="62"/>
      <c r="E962" s="56"/>
      <c r="F962" s="57"/>
      <c r="G962" s="57"/>
      <c r="H962" s="57"/>
      <c r="I962" s="57"/>
      <c r="J962" s="57"/>
      <c r="K962" s="58"/>
      <c r="L962" s="57"/>
      <c r="M962" s="57"/>
      <c r="N962" s="57"/>
      <c r="O962" s="57"/>
      <c r="P962" s="57"/>
      <c r="Q962" s="58"/>
      <c r="R962" s="57"/>
      <c r="S962" s="56"/>
      <c r="T962" s="56"/>
      <c r="U962" s="56"/>
      <c r="V962" s="56"/>
      <c r="W962" s="56"/>
      <c r="X962" s="56"/>
      <c r="Y962" s="56"/>
      <c r="Z962" s="56"/>
      <c r="AA962" s="56"/>
      <c r="AB962" s="56"/>
      <c r="AC962" s="56"/>
      <c r="AD962" s="56"/>
      <c r="AE962" s="56"/>
      <c r="AF962" s="56"/>
      <c r="AG962" s="56"/>
      <c r="AH962" s="56"/>
      <c r="AI962" s="56"/>
      <c r="AJ962" s="56"/>
      <c r="AK962" s="56"/>
      <c r="AL962" s="56"/>
    </row>
    <row r="963" spans="1:38" ht="14.25" customHeight="1">
      <c r="A963" s="56"/>
      <c r="B963" s="56"/>
      <c r="C963" s="56"/>
      <c r="D963" s="62"/>
      <c r="E963" s="56"/>
      <c r="F963" s="57"/>
      <c r="G963" s="57"/>
      <c r="H963" s="57"/>
      <c r="I963" s="57"/>
      <c r="J963" s="57"/>
      <c r="K963" s="58"/>
      <c r="L963" s="57"/>
      <c r="M963" s="57"/>
      <c r="N963" s="57"/>
      <c r="O963" s="57"/>
      <c r="P963" s="57"/>
      <c r="Q963" s="58"/>
      <c r="R963" s="57"/>
      <c r="S963" s="56"/>
      <c r="T963" s="56"/>
      <c r="U963" s="56"/>
      <c r="V963" s="56"/>
      <c r="W963" s="56"/>
      <c r="X963" s="56"/>
      <c r="Y963" s="56"/>
      <c r="Z963" s="56"/>
      <c r="AA963" s="56"/>
      <c r="AB963" s="56"/>
      <c r="AC963" s="56"/>
      <c r="AD963" s="56"/>
      <c r="AE963" s="56"/>
      <c r="AF963" s="56"/>
      <c r="AG963" s="56"/>
      <c r="AH963" s="56"/>
      <c r="AI963" s="56"/>
      <c r="AJ963" s="56"/>
      <c r="AK963" s="56"/>
      <c r="AL963" s="56"/>
    </row>
    <row r="964" spans="1:38" ht="14.25" customHeight="1">
      <c r="A964" s="56"/>
      <c r="B964" s="56"/>
      <c r="C964" s="56"/>
      <c r="D964" s="62"/>
      <c r="E964" s="56"/>
      <c r="F964" s="57"/>
      <c r="G964" s="57"/>
      <c r="H964" s="57"/>
      <c r="I964" s="57"/>
      <c r="J964" s="57"/>
      <c r="K964" s="58"/>
      <c r="L964" s="57"/>
      <c r="M964" s="57"/>
      <c r="N964" s="57"/>
      <c r="O964" s="57"/>
      <c r="P964" s="57"/>
      <c r="Q964" s="58"/>
      <c r="R964" s="57"/>
      <c r="S964" s="56"/>
      <c r="T964" s="56"/>
      <c r="U964" s="56"/>
      <c r="V964" s="56"/>
      <c r="W964" s="56"/>
      <c r="X964" s="56"/>
      <c r="Y964" s="56"/>
      <c r="Z964" s="56"/>
      <c r="AA964" s="56"/>
      <c r="AB964" s="56"/>
      <c r="AC964" s="56"/>
      <c r="AD964" s="56"/>
      <c r="AE964" s="56"/>
      <c r="AF964" s="56"/>
      <c r="AG964" s="56"/>
      <c r="AH964" s="56"/>
      <c r="AI964" s="56"/>
      <c r="AJ964" s="56"/>
      <c r="AK964" s="56"/>
      <c r="AL964" s="56"/>
    </row>
    <row r="965" spans="1:38" ht="14.25" customHeight="1">
      <c r="A965" s="56"/>
      <c r="B965" s="56"/>
      <c r="C965" s="56"/>
      <c r="D965" s="62"/>
      <c r="E965" s="56"/>
      <c r="F965" s="57"/>
      <c r="G965" s="57"/>
      <c r="H965" s="57"/>
      <c r="I965" s="57"/>
      <c r="J965" s="57"/>
      <c r="K965" s="58"/>
      <c r="L965" s="57"/>
      <c r="M965" s="57"/>
      <c r="N965" s="57"/>
      <c r="O965" s="57"/>
      <c r="P965" s="57"/>
      <c r="Q965" s="58"/>
      <c r="R965" s="57"/>
      <c r="S965" s="56"/>
      <c r="T965" s="56"/>
      <c r="U965" s="56"/>
      <c r="V965" s="56"/>
      <c r="W965" s="56"/>
      <c r="X965" s="56"/>
      <c r="Y965" s="56"/>
      <c r="Z965" s="56"/>
      <c r="AA965" s="56"/>
      <c r="AB965" s="56"/>
      <c r="AC965" s="56"/>
      <c r="AD965" s="56"/>
      <c r="AE965" s="56"/>
      <c r="AF965" s="56"/>
      <c r="AG965" s="56"/>
      <c r="AH965" s="56"/>
      <c r="AI965" s="56"/>
      <c r="AJ965" s="56"/>
      <c r="AK965" s="56"/>
      <c r="AL965" s="56"/>
    </row>
    <row r="966" spans="1:38" ht="14.25" customHeight="1">
      <c r="A966" s="56"/>
      <c r="B966" s="56"/>
      <c r="C966" s="56"/>
      <c r="D966" s="62"/>
      <c r="E966" s="56"/>
      <c r="F966" s="57"/>
      <c r="G966" s="57"/>
      <c r="H966" s="57"/>
      <c r="I966" s="57"/>
      <c r="J966" s="57"/>
      <c r="K966" s="58"/>
      <c r="L966" s="57"/>
      <c r="M966" s="57"/>
      <c r="N966" s="57"/>
      <c r="O966" s="57"/>
      <c r="P966" s="57"/>
      <c r="Q966" s="58"/>
      <c r="R966" s="57"/>
      <c r="S966" s="56"/>
      <c r="T966" s="56"/>
      <c r="U966" s="56"/>
      <c r="V966" s="56"/>
      <c r="W966" s="56"/>
      <c r="X966" s="56"/>
      <c r="Y966" s="56"/>
      <c r="Z966" s="56"/>
      <c r="AA966" s="56"/>
      <c r="AB966" s="56"/>
      <c r="AC966" s="56"/>
      <c r="AD966" s="56"/>
      <c r="AE966" s="56"/>
      <c r="AF966" s="56"/>
      <c r="AG966" s="56"/>
      <c r="AH966" s="56"/>
      <c r="AI966" s="56"/>
      <c r="AJ966" s="56"/>
      <c r="AK966" s="56"/>
      <c r="AL966" s="56"/>
    </row>
    <row r="967" spans="1:38" ht="14.25" customHeight="1">
      <c r="A967" s="56"/>
      <c r="B967" s="56"/>
      <c r="C967" s="56"/>
      <c r="D967" s="62"/>
      <c r="E967" s="56"/>
      <c r="F967" s="57"/>
      <c r="G967" s="57"/>
      <c r="H967" s="57"/>
      <c r="I967" s="57"/>
      <c r="J967" s="57"/>
      <c r="K967" s="58"/>
      <c r="L967" s="57"/>
      <c r="M967" s="57"/>
      <c r="N967" s="57"/>
      <c r="O967" s="57"/>
      <c r="P967" s="57"/>
      <c r="Q967" s="58"/>
      <c r="R967" s="57"/>
      <c r="S967" s="56"/>
      <c r="T967" s="56"/>
      <c r="U967" s="56"/>
      <c r="V967" s="56"/>
      <c r="W967" s="56"/>
      <c r="X967" s="56"/>
      <c r="Y967" s="56"/>
      <c r="Z967" s="56"/>
      <c r="AA967" s="56"/>
      <c r="AB967" s="56"/>
      <c r="AC967" s="56"/>
      <c r="AD967" s="56"/>
      <c r="AE967" s="56"/>
      <c r="AF967" s="56"/>
      <c r="AG967" s="56"/>
      <c r="AH967" s="56"/>
      <c r="AI967" s="56"/>
      <c r="AJ967" s="56"/>
      <c r="AK967" s="56"/>
      <c r="AL967" s="56"/>
    </row>
    <row r="968" spans="1:38" ht="14.25" customHeight="1">
      <c r="A968" s="56"/>
      <c r="B968" s="56"/>
      <c r="C968" s="56"/>
      <c r="D968" s="62"/>
      <c r="E968" s="56"/>
      <c r="F968" s="57"/>
      <c r="G968" s="57"/>
      <c r="H968" s="57"/>
      <c r="I968" s="57"/>
      <c r="J968" s="57"/>
      <c r="K968" s="58"/>
      <c r="L968" s="57"/>
      <c r="M968" s="57"/>
      <c r="N968" s="57"/>
      <c r="O968" s="57"/>
      <c r="P968" s="57"/>
      <c r="Q968" s="58"/>
      <c r="R968" s="57"/>
      <c r="S968" s="56"/>
      <c r="T968" s="56"/>
      <c r="U968" s="56"/>
      <c r="V968" s="56"/>
      <c r="W968" s="56"/>
      <c r="X968" s="56"/>
      <c r="Y968" s="56"/>
      <c r="Z968" s="56"/>
      <c r="AA968" s="56"/>
      <c r="AB968" s="56"/>
      <c r="AC968" s="56"/>
      <c r="AD968" s="56"/>
      <c r="AE968" s="56"/>
      <c r="AF968" s="56"/>
      <c r="AG968" s="56"/>
      <c r="AH968" s="56"/>
      <c r="AI968" s="56"/>
      <c r="AJ968" s="56"/>
      <c r="AK968" s="56"/>
      <c r="AL968" s="56"/>
    </row>
    <row r="969" spans="1:38" ht="14.25" customHeight="1">
      <c r="A969" s="56"/>
      <c r="B969" s="56"/>
      <c r="C969" s="56"/>
      <c r="D969" s="62"/>
      <c r="E969" s="56"/>
      <c r="F969" s="57"/>
      <c r="G969" s="57"/>
      <c r="H969" s="57"/>
      <c r="I969" s="57"/>
      <c r="J969" s="57"/>
      <c r="K969" s="58"/>
      <c r="L969" s="57"/>
      <c r="M969" s="57"/>
      <c r="N969" s="57"/>
      <c r="O969" s="57"/>
      <c r="P969" s="57"/>
      <c r="Q969" s="58"/>
      <c r="R969" s="57"/>
      <c r="S969" s="56"/>
      <c r="T969" s="56"/>
      <c r="U969" s="56"/>
      <c r="V969" s="56"/>
      <c r="W969" s="56"/>
      <c r="X969" s="56"/>
      <c r="Y969" s="56"/>
      <c r="Z969" s="56"/>
      <c r="AA969" s="56"/>
      <c r="AB969" s="56"/>
      <c r="AC969" s="56"/>
      <c r="AD969" s="56"/>
      <c r="AE969" s="56"/>
      <c r="AF969" s="56"/>
      <c r="AG969" s="56"/>
      <c r="AH969" s="56"/>
      <c r="AI969" s="56"/>
      <c r="AJ969" s="56"/>
      <c r="AK969" s="56"/>
      <c r="AL969" s="56"/>
    </row>
    <row r="970" spans="1:38" ht="14.25" customHeight="1">
      <c r="A970" s="56"/>
      <c r="B970" s="56"/>
      <c r="C970" s="56"/>
      <c r="D970" s="62"/>
      <c r="E970" s="56"/>
      <c r="F970" s="57"/>
      <c r="G970" s="57"/>
      <c r="H970" s="57"/>
      <c r="I970" s="57"/>
      <c r="J970" s="57"/>
      <c r="K970" s="58"/>
      <c r="L970" s="57"/>
      <c r="M970" s="57"/>
      <c r="N970" s="57"/>
      <c r="O970" s="57"/>
      <c r="P970" s="57"/>
      <c r="Q970" s="58"/>
      <c r="R970" s="57"/>
      <c r="S970" s="56"/>
      <c r="T970" s="56"/>
      <c r="U970" s="56"/>
      <c r="V970" s="56"/>
      <c r="W970" s="56"/>
      <c r="X970" s="56"/>
      <c r="Y970" s="56"/>
      <c r="Z970" s="56"/>
      <c r="AA970" s="56"/>
      <c r="AB970" s="56"/>
      <c r="AC970" s="56"/>
      <c r="AD970" s="56"/>
      <c r="AE970" s="56"/>
      <c r="AF970" s="56"/>
      <c r="AG970" s="56"/>
      <c r="AH970" s="56"/>
      <c r="AI970" s="56"/>
      <c r="AJ970" s="56"/>
      <c r="AK970" s="56"/>
      <c r="AL970" s="56"/>
    </row>
    <row r="971" spans="1:38" ht="14.25" customHeight="1">
      <c r="A971" s="56"/>
      <c r="B971" s="56"/>
      <c r="C971" s="56"/>
      <c r="D971" s="62"/>
      <c r="E971" s="56"/>
      <c r="F971" s="57"/>
      <c r="G971" s="57"/>
      <c r="H971" s="57"/>
      <c r="I971" s="57"/>
      <c r="J971" s="57"/>
      <c r="K971" s="58"/>
      <c r="L971" s="57"/>
      <c r="M971" s="57"/>
      <c r="N971" s="57"/>
      <c r="O971" s="57"/>
      <c r="P971" s="57"/>
      <c r="Q971" s="58"/>
      <c r="R971" s="57"/>
      <c r="S971" s="56"/>
      <c r="T971" s="56"/>
      <c r="U971" s="56"/>
      <c r="V971" s="56"/>
      <c r="W971" s="56"/>
      <c r="X971" s="56"/>
      <c r="Y971" s="56"/>
      <c r="Z971" s="56"/>
      <c r="AA971" s="56"/>
      <c r="AB971" s="56"/>
      <c r="AC971" s="56"/>
      <c r="AD971" s="56"/>
      <c r="AE971" s="56"/>
      <c r="AF971" s="56"/>
      <c r="AG971" s="56"/>
      <c r="AH971" s="56"/>
      <c r="AI971" s="56"/>
      <c r="AJ971" s="56"/>
      <c r="AK971" s="56"/>
      <c r="AL971" s="56"/>
    </row>
    <row r="972" spans="1:38" ht="14.25" customHeight="1">
      <c r="A972" s="56"/>
      <c r="B972" s="56"/>
      <c r="C972" s="56"/>
      <c r="D972" s="62"/>
      <c r="E972" s="56"/>
      <c r="F972" s="57"/>
      <c r="G972" s="57"/>
      <c r="H972" s="57"/>
      <c r="I972" s="57"/>
      <c r="J972" s="57"/>
      <c r="K972" s="58"/>
      <c r="L972" s="57"/>
      <c r="M972" s="57"/>
      <c r="N972" s="57"/>
      <c r="O972" s="57"/>
      <c r="P972" s="57"/>
      <c r="Q972" s="58"/>
      <c r="R972" s="57"/>
      <c r="S972" s="56"/>
      <c r="T972" s="56"/>
      <c r="U972" s="56"/>
      <c r="V972" s="56"/>
      <c r="W972" s="56"/>
      <c r="X972" s="56"/>
      <c r="Y972" s="56"/>
      <c r="Z972" s="56"/>
      <c r="AA972" s="56"/>
      <c r="AB972" s="56"/>
      <c r="AC972" s="56"/>
      <c r="AD972" s="56"/>
      <c r="AE972" s="56"/>
      <c r="AF972" s="56"/>
      <c r="AG972" s="56"/>
      <c r="AH972" s="56"/>
      <c r="AI972" s="56"/>
      <c r="AJ972" s="56"/>
      <c r="AK972" s="56"/>
      <c r="AL972" s="56"/>
    </row>
    <row r="973" spans="1:38" ht="14.25" customHeight="1">
      <c r="A973" s="56"/>
      <c r="B973" s="56"/>
      <c r="C973" s="56"/>
      <c r="D973" s="62"/>
      <c r="E973" s="56"/>
      <c r="F973" s="57"/>
      <c r="G973" s="57"/>
      <c r="H973" s="57"/>
      <c r="I973" s="57"/>
      <c r="J973" s="57"/>
      <c r="K973" s="58"/>
      <c r="L973" s="57"/>
      <c r="M973" s="57"/>
      <c r="N973" s="57"/>
      <c r="O973" s="57"/>
      <c r="P973" s="57"/>
      <c r="Q973" s="58"/>
      <c r="R973" s="57"/>
      <c r="S973" s="56"/>
      <c r="T973" s="56"/>
      <c r="U973" s="56"/>
      <c r="V973" s="56"/>
      <c r="W973" s="56"/>
      <c r="X973" s="56"/>
      <c r="Y973" s="56"/>
      <c r="Z973" s="56"/>
      <c r="AA973" s="56"/>
      <c r="AB973" s="56"/>
      <c r="AC973" s="56"/>
      <c r="AD973" s="56"/>
      <c r="AE973" s="56"/>
      <c r="AF973" s="56"/>
      <c r="AG973" s="56"/>
      <c r="AH973" s="56"/>
      <c r="AI973" s="56"/>
      <c r="AJ973" s="56"/>
      <c r="AK973" s="56"/>
      <c r="AL973" s="56"/>
    </row>
    <row r="974" spans="1:38" ht="14.25" customHeight="1">
      <c r="A974" s="56"/>
      <c r="B974" s="56"/>
      <c r="C974" s="56"/>
      <c r="D974" s="62"/>
      <c r="E974" s="56"/>
      <c r="F974" s="57"/>
      <c r="G974" s="57"/>
      <c r="H974" s="57"/>
      <c r="I974" s="57"/>
      <c r="J974" s="57"/>
      <c r="K974" s="58"/>
      <c r="L974" s="57"/>
      <c r="M974" s="57"/>
      <c r="N974" s="57"/>
      <c r="O974" s="57"/>
      <c r="P974" s="57"/>
      <c r="Q974" s="58"/>
      <c r="R974" s="57"/>
      <c r="S974" s="56"/>
      <c r="T974" s="56"/>
      <c r="U974" s="56"/>
      <c r="V974" s="56"/>
      <c r="W974" s="56"/>
      <c r="X974" s="56"/>
      <c r="Y974" s="56"/>
      <c r="Z974" s="56"/>
      <c r="AA974" s="56"/>
      <c r="AB974" s="56"/>
      <c r="AC974" s="56"/>
      <c r="AD974" s="56"/>
      <c r="AE974" s="56"/>
      <c r="AF974" s="56"/>
      <c r="AG974" s="56"/>
      <c r="AH974" s="56"/>
      <c r="AI974" s="56"/>
      <c r="AJ974" s="56"/>
      <c r="AK974" s="56"/>
      <c r="AL974" s="56"/>
    </row>
    <row r="975" spans="1:38" ht="14.25" customHeight="1">
      <c r="A975" s="56"/>
      <c r="B975" s="56"/>
      <c r="C975" s="56"/>
      <c r="D975" s="62"/>
      <c r="E975" s="56"/>
      <c r="F975" s="57"/>
      <c r="G975" s="57"/>
      <c r="H975" s="57"/>
      <c r="I975" s="57"/>
      <c r="J975" s="57"/>
      <c r="K975" s="58"/>
      <c r="L975" s="57"/>
      <c r="M975" s="57"/>
      <c r="N975" s="57"/>
      <c r="O975" s="57"/>
      <c r="P975" s="57"/>
      <c r="Q975" s="58"/>
      <c r="R975" s="57"/>
      <c r="S975" s="56"/>
      <c r="T975" s="56"/>
      <c r="U975" s="56"/>
      <c r="V975" s="56"/>
      <c r="W975" s="56"/>
      <c r="X975" s="56"/>
      <c r="Y975" s="56"/>
      <c r="Z975" s="56"/>
      <c r="AA975" s="56"/>
      <c r="AB975" s="56"/>
      <c r="AC975" s="56"/>
      <c r="AD975" s="56"/>
      <c r="AE975" s="56"/>
      <c r="AF975" s="56"/>
      <c r="AG975" s="56"/>
      <c r="AH975" s="56"/>
      <c r="AI975" s="56"/>
      <c r="AJ975" s="56"/>
      <c r="AK975" s="56"/>
      <c r="AL975" s="56"/>
    </row>
    <row r="976" spans="1:38" ht="14.25" customHeight="1">
      <c r="A976" s="56"/>
      <c r="B976" s="56"/>
      <c r="C976" s="56"/>
      <c r="D976" s="62"/>
      <c r="E976" s="56"/>
      <c r="F976" s="57"/>
      <c r="G976" s="57"/>
      <c r="H976" s="57"/>
      <c r="I976" s="57"/>
      <c r="J976" s="57"/>
      <c r="K976" s="58"/>
      <c r="L976" s="57"/>
      <c r="M976" s="57"/>
      <c r="N976" s="57"/>
      <c r="O976" s="57"/>
      <c r="P976" s="57"/>
      <c r="Q976" s="58"/>
      <c r="R976" s="57"/>
      <c r="S976" s="56"/>
      <c r="T976" s="56"/>
      <c r="U976" s="56"/>
      <c r="V976" s="56"/>
      <c r="W976" s="56"/>
      <c r="X976" s="56"/>
      <c r="Y976" s="56"/>
      <c r="Z976" s="56"/>
      <c r="AA976" s="56"/>
      <c r="AB976" s="56"/>
      <c r="AC976" s="56"/>
      <c r="AD976" s="56"/>
      <c r="AE976" s="56"/>
      <c r="AF976" s="56"/>
      <c r="AG976" s="56"/>
      <c r="AH976" s="56"/>
      <c r="AI976" s="56"/>
      <c r="AJ976" s="56"/>
      <c r="AK976" s="56"/>
      <c r="AL976" s="56"/>
    </row>
    <row r="977" spans="1:38" ht="14.25" customHeight="1">
      <c r="A977" s="56"/>
      <c r="B977" s="56"/>
      <c r="C977" s="56"/>
      <c r="D977" s="62"/>
      <c r="E977" s="56"/>
      <c r="F977" s="57"/>
      <c r="G977" s="57"/>
      <c r="H977" s="57"/>
      <c r="I977" s="57"/>
      <c r="J977" s="57"/>
      <c r="K977" s="58"/>
      <c r="L977" s="57"/>
      <c r="M977" s="57"/>
      <c r="N977" s="57"/>
      <c r="O977" s="57"/>
      <c r="P977" s="57"/>
      <c r="Q977" s="58"/>
      <c r="R977" s="57"/>
      <c r="S977" s="56"/>
      <c r="T977" s="56"/>
      <c r="U977" s="56"/>
      <c r="V977" s="56"/>
      <c r="W977" s="56"/>
      <c r="X977" s="56"/>
      <c r="Y977" s="56"/>
      <c r="Z977" s="56"/>
      <c r="AA977" s="56"/>
      <c r="AB977" s="56"/>
      <c r="AC977" s="56"/>
      <c r="AD977" s="56"/>
      <c r="AE977" s="56"/>
      <c r="AF977" s="56"/>
      <c r="AG977" s="56"/>
      <c r="AH977" s="56"/>
      <c r="AI977" s="56"/>
      <c r="AJ977" s="56"/>
      <c r="AK977" s="56"/>
      <c r="AL977" s="56"/>
    </row>
    <row r="978" spans="1:38" ht="14.25" customHeight="1">
      <c r="A978" s="56"/>
      <c r="B978" s="56"/>
      <c r="C978" s="56"/>
      <c r="D978" s="62"/>
      <c r="E978" s="56"/>
      <c r="F978" s="57"/>
      <c r="G978" s="57"/>
      <c r="H978" s="57"/>
      <c r="I978" s="57"/>
      <c r="J978" s="57"/>
      <c r="K978" s="58"/>
      <c r="L978" s="57"/>
      <c r="M978" s="57"/>
      <c r="N978" s="57"/>
      <c r="O978" s="57"/>
      <c r="P978" s="57"/>
      <c r="Q978" s="58"/>
      <c r="R978" s="57"/>
      <c r="S978" s="56"/>
      <c r="T978" s="56"/>
      <c r="U978" s="56"/>
      <c r="V978" s="56"/>
      <c r="W978" s="56"/>
      <c r="X978" s="56"/>
      <c r="Y978" s="56"/>
      <c r="Z978" s="56"/>
      <c r="AA978" s="56"/>
      <c r="AB978" s="56"/>
      <c r="AC978" s="56"/>
      <c r="AD978" s="56"/>
      <c r="AE978" s="56"/>
      <c r="AF978" s="56"/>
      <c r="AG978" s="56"/>
      <c r="AH978" s="56"/>
      <c r="AI978" s="56"/>
      <c r="AJ978" s="56"/>
      <c r="AK978" s="56"/>
      <c r="AL978" s="56"/>
    </row>
    <row r="979" spans="1:38" ht="14.25" customHeight="1">
      <c r="A979" s="56"/>
      <c r="B979" s="56"/>
      <c r="C979" s="56"/>
      <c r="D979" s="62"/>
      <c r="E979" s="56"/>
      <c r="F979" s="57"/>
      <c r="G979" s="57"/>
      <c r="H979" s="57"/>
      <c r="I979" s="57"/>
      <c r="J979" s="57"/>
      <c r="K979" s="58"/>
      <c r="L979" s="57"/>
      <c r="M979" s="57"/>
      <c r="N979" s="57"/>
      <c r="O979" s="57"/>
      <c r="P979" s="57"/>
      <c r="Q979" s="58"/>
      <c r="R979" s="57"/>
      <c r="S979" s="56"/>
      <c r="T979" s="56"/>
      <c r="U979" s="56"/>
      <c r="V979" s="56"/>
      <c r="W979" s="56"/>
      <c r="X979" s="56"/>
      <c r="Y979" s="56"/>
      <c r="Z979" s="56"/>
      <c r="AA979" s="56"/>
      <c r="AB979" s="56"/>
      <c r="AC979" s="56"/>
      <c r="AD979" s="56"/>
      <c r="AE979" s="56"/>
      <c r="AF979" s="56"/>
      <c r="AG979" s="56"/>
      <c r="AH979" s="56"/>
      <c r="AI979" s="56"/>
      <c r="AJ979" s="56"/>
      <c r="AK979" s="56"/>
      <c r="AL979" s="56"/>
    </row>
    <row r="980" spans="1:38" ht="14.25" customHeight="1">
      <c r="A980" s="56"/>
      <c r="B980" s="56"/>
      <c r="C980" s="56"/>
      <c r="D980" s="62"/>
      <c r="E980" s="56"/>
      <c r="F980" s="57"/>
      <c r="G980" s="57"/>
      <c r="H980" s="57"/>
      <c r="I980" s="57"/>
      <c r="J980" s="57"/>
      <c r="K980" s="58"/>
      <c r="L980" s="57"/>
      <c r="M980" s="57"/>
      <c r="N980" s="57"/>
      <c r="O980" s="57"/>
      <c r="P980" s="57"/>
      <c r="Q980" s="58"/>
      <c r="R980" s="57"/>
      <c r="S980" s="56"/>
      <c r="T980" s="56"/>
      <c r="U980" s="56"/>
      <c r="V980" s="56"/>
      <c r="W980" s="56"/>
      <c r="X980" s="56"/>
      <c r="Y980" s="56"/>
      <c r="Z980" s="56"/>
      <c r="AA980" s="56"/>
      <c r="AB980" s="56"/>
      <c r="AC980" s="56"/>
      <c r="AD980" s="56"/>
      <c r="AE980" s="56"/>
      <c r="AF980" s="56"/>
      <c r="AG980" s="56"/>
      <c r="AH980" s="56"/>
      <c r="AI980" s="56"/>
      <c r="AJ980" s="56"/>
      <c r="AK980" s="56"/>
      <c r="AL980" s="56"/>
    </row>
    <row r="981" spans="1:38" ht="14.25" customHeight="1">
      <c r="A981" s="56"/>
      <c r="B981" s="56"/>
      <c r="C981" s="56"/>
      <c r="D981" s="62"/>
      <c r="E981" s="56"/>
      <c r="F981" s="57"/>
      <c r="G981" s="57"/>
      <c r="H981" s="57"/>
      <c r="I981" s="57"/>
      <c r="J981" s="57"/>
      <c r="K981" s="58"/>
      <c r="L981" s="57"/>
      <c r="M981" s="57"/>
      <c r="N981" s="57"/>
      <c r="O981" s="57"/>
      <c r="P981" s="57"/>
      <c r="Q981" s="58"/>
      <c r="R981" s="57"/>
      <c r="S981" s="56"/>
      <c r="T981" s="56"/>
      <c r="U981" s="56"/>
      <c r="V981" s="56"/>
      <c r="W981" s="56"/>
      <c r="X981" s="56"/>
      <c r="Y981" s="56"/>
      <c r="Z981" s="56"/>
      <c r="AA981" s="56"/>
      <c r="AB981" s="56"/>
      <c r="AC981" s="56"/>
      <c r="AD981" s="56"/>
      <c r="AE981" s="56"/>
      <c r="AF981" s="56"/>
      <c r="AG981" s="56"/>
      <c r="AH981" s="56"/>
      <c r="AI981" s="56"/>
      <c r="AJ981" s="56"/>
      <c r="AK981" s="56"/>
      <c r="AL981" s="56"/>
    </row>
    <row r="982" spans="1:38" ht="14.25" customHeight="1">
      <c r="A982" s="56"/>
      <c r="B982" s="56"/>
      <c r="C982" s="56"/>
      <c r="D982" s="62"/>
      <c r="E982" s="56"/>
      <c r="F982" s="57"/>
      <c r="G982" s="57"/>
      <c r="H982" s="57"/>
      <c r="I982" s="57"/>
      <c r="J982" s="57"/>
      <c r="K982" s="58"/>
      <c r="L982" s="57"/>
      <c r="M982" s="57"/>
      <c r="N982" s="57"/>
      <c r="O982" s="57"/>
      <c r="P982" s="57"/>
      <c r="Q982" s="58"/>
      <c r="R982" s="57"/>
      <c r="S982" s="56"/>
      <c r="T982" s="56"/>
      <c r="U982" s="56"/>
      <c r="V982" s="56"/>
      <c r="W982" s="56"/>
      <c r="X982" s="56"/>
      <c r="Y982" s="56"/>
      <c r="Z982" s="56"/>
      <c r="AA982" s="56"/>
      <c r="AB982" s="56"/>
      <c r="AC982" s="56"/>
      <c r="AD982" s="56"/>
      <c r="AE982" s="56"/>
      <c r="AF982" s="56"/>
      <c r="AG982" s="56"/>
      <c r="AH982" s="56"/>
      <c r="AI982" s="56"/>
      <c r="AJ982" s="56"/>
      <c r="AK982" s="56"/>
      <c r="AL982" s="56"/>
    </row>
    <row r="983" spans="1:38" ht="14.25" customHeight="1">
      <c r="A983" s="56"/>
      <c r="B983" s="56"/>
      <c r="C983" s="56"/>
      <c r="D983" s="62"/>
      <c r="E983" s="56"/>
      <c r="F983" s="57"/>
      <c r="G983" s="57"/>
      <c r="H983" s="57"/>
      <c r="I983" s="57"/>
      <c r="J983" s="57"/>
      <c r="K983" s="58"/>
      <c r="L983" s="57"/>
      <c r="M983" s="57"/>
      <c r="N983" s="57"/>
      <c r="O983" s="57"/>
      <c r="P983" s="57"/>
      <c r="Q983" s="58"/>
      <c r="R983" s="57"/>
      <c r="S983" s="56"/>
      <c r="T983" s="56"/>
      <c r="U983" s="56"/>
      <c r="V983" s="56"/>
      <c r="W983" s="56"/>
      <c r="X983" s="56"/>
      <c r="Y983" s="56"/>
      <c r="Z983" s="56"/>
      <c r="AA983" s="56"/>
      <c r="AB983" s="56"/>
      <c r="AC983" s="56"/>
      <c r="AD983" s="56"/>
      <c r="AE983" s="56"/>
      <c r="AF983" s="56"/>
      <c r="AG983" s="56"/>
      <c r="AH983" s="56"/>
      <c r="AI983" s="56"/>
      <c r="AJ983" s="56"/>
      <c r="AK983" s="56"/>
      <c r="AL983" s="56"/>
    </row>
    <row r="984" spans="1:38" ht="14.25" customHeight="1">
      <c r="A984" s="56"/>
      <c r="B984" s="56"/>
      <c r="C984" s="56"/>
      <c r="D984" s="62"/>
      <c r="E984" s="56"/>
      <c r="F984" s="57"/>
      <c r="G984" s="57"/>
      <c r="H984" s="57"/>
      <c r="I984" s="57"/>
      <c r="J984" s="57"/>
      <c r="K984" s="58"/>
      <c r="L984" s="57"/>
      <c r="M984" s="57"/>
      <c r="N984" s="57"/>
      <c r="O984" s="57"/>
      <c r="P984" s="57"/>
      <c r="Q984" s="58"/>
      <c r="R984" s="57"/>
      <c r="S984" s="56"/>
      <c r="T984" s="56"/>
      <c r="U984" s="56"/>
      <c r="V984" s="56"/>
      <c r="W984" s="56"/>
      <c r="X984" s="56"/>
      <c r="Y984" s="56"/>
      <c r="Z984" s="56"/>
      <c r="AA984" s="56"/>
      <c r="AB984" s="56"/>
      <c r="AC984" s="56"/>
      <c r="AD984" s="56"/>
      <c r="AE984" s="56"/>
      <c r="AF984" s="56"/>
      <c r="AG984" s="56"/>
      <c r="AH984" s="56"/>
      <c r="AI984" s="56"/>
      <c r="AJ984" s="56"/>
      <c r="AK984" s="56"/>
      <c r="AL984" s="56"/>
    </row>
    <row r="985" spans="1:38" ht="14.25" customHeight="1">
      <c r="A985" s="56"/>
      <c r="B985" s="56"/>
      <c r="C985" s="56"/>
      <c r="D985" s="62"/>
      <c r="E985" s="56"/>
      <c r="F985" s="57"/>
      <c r="G985" s="57"/>
      <c r="H985" s="57"/>
      <c r="I985" s="57"/>
      <c r="J985" s="57"/>
      <c r="K985" s="58"/>
      <c r="L985" s="57"/>
      <c r="M985" s="57"/>
      <c r="N985" s="57"/>
      <c r="O985" s="57"/>
      <c r="P985" s="57"/>
      <c r="Q985" s="58"/>
      <c r="R985" s="57"/>
      <c r="S985" s="56"/>
      <c r="T985" s="56"/>
      <c r="U985" s="56"/>
      <c r="V985" s="56"/>
      <c r="W985" s="56"/>
      <c r="X985" s="56"/>
      <c r="Y985" s="56"/>
      <c r="Z985" s="56"/>
      <c r="AA985" s="56"/>
      <c r="AB985" s="56"/>
      <c r="AC985" s="56"/>
      <c r="AD985" s="56"/>
      <c r="AE985" s="56"/>
      <c r="AF985" s="56"/>
      <c r="AG985" s="56"/>
      <c r="AH985" s="56"/>
      <c r="AI985" s="56"/>
      <c r="AJ985" s="56"/>
      <c r="AK985" s="56"/>
      <c r="AL985" s="56"/>
    </row>
    <row r="986" spans="1:38" ht="14.25" customHeight="1">
      <c r="A986" s="56"/>
      <c r="B986" s="56"/>
      <c r="C986" s="56"/>
      <c r="D986" s="62"/>
      <c r="E986" s="56"/>
      <c r="F986" s="57"/>
      <c r="G986" s="57"/>
      <c r="H986" s="57"/>
      <c r="I986" s="57"/>
      <c r="J986" s="57"/>
      <c r="K986" s="58"/>
      <c r="L986" s="57"/>
      <c r="M986" s="57"/>
      <c r="N986" s="57"/>
      <c r="O986" s="57"/>
      <c r="P986" s="57"/>
      <c r="Q986" s="58"/>
      <c r="R986" s="57"/>
      <c r="S986" s="56"/>
      <c r="T986" s="56"/>
      <c r="U986" s="56"/>
      <c r="V986" s="56"/>
      <c r="W986" s="56"/>
      <c r="X986" s="56"/>
      <c r="Y986" s="56"/>
      <c r="Z986" s="56"/>
      <c r="AA986" s="56"/>
      <c r="AB986" s="56"/>
      <c r="AC986" s="56"/>
      <c r="AD986" s="56"/>
      <c r="AE986" s="56"/>
      <c r="AF986" s="56"/>
      <c r="AG986" s="56"/>
      <c r="AH986" s="56"/>
      <c r="AI986" s="56"/>
      <c r="AJ986" s="56"/>
      <c r="AK986" s="56"/>
      <c r="AL986" s="56"/>
    </row>
    <row r="987" spans="1:38" ht="14.25" customHeight="1">
      <c r="A987" s="56"/>
      <c r="B987" s="56"/>
      <c r="C987" s="56"/>
      <c r="D987" s="62"/>
      <c r="E987" s="56"/>
      <c r="F987" s="57"/>
      <c r="G987" s="57"/>
      <c r="H987" s="57"/>
      <c r="I987" s="57"/>
      <c r="J987" s="57"/>
      <c r="K987" s="58"/>
      <c r="L987" s="57"/>
      <c r="M987" s="57"/>
      <c r="N987" s="57"/>
      <c r="O987" s="57"/>
      <c r="P987" s="57"/>
      <c r="Q987" s="58"/>
      <c r="R987" s="57"/>
      <c r="S987" s="56"/>
      <c r="T987" s="56"/>
      <c r="U987" s="56"/>
      <c r="V987" s="56"/>
      <c r="W987" s="56"/>
      <c r="X987" s="56"/>
      <c r="Y987" s="56"/>
      <c r="Z987" s="56"/>
      <c r="AA987" s="56"/>
      <c r="AB987" s="56"/>
      <c r="AC987" s="56"/>
      <c r="AD987" s="56"/>
      <c r="AE987" s="56"/>
      <c r="AF987" s="56"/>
      <c r="AG987" s="56"/>
      <c r="AH987" s="56"/>
      <c r="AI987" s="56"/>
      <c r="AJ987" s="56"/>
      <c r="AK987" s="56"/>
      <c r="AL987" s="56"/>
    </row>
    <row r="988" spans="1:38" ht="14.25" customHeight="1">
      <c r="A988" s="56"/>
      <c r="B988" s="56"/>
      <c r="C988" s="56"/>
      <c r="D988" s="62"/>
      <c r="E988" s="56"/>
      <c r="F988" s="57"/>
      <c r="G988" s="57"/>
      <c r="H988" s="57"/>
      <c r="I988" s="57"/>
      <c r="J988" s="57"/>
      <c r="K988" s="58"/>
      <c r="L988" s="57"/>
      <c r="M988" s="57"/>
      <c r="N988" s="57"/>
      <c r="O988" s="57"/>
      <c r="P988" s="57"/>
      <c r="Q988" s="58"/>
      <c r="R988" s="57"/>
      <c r="S988" s="56"/>
      <c r="T988" s="56"/>
      <c r="U988" s="56"/>
      <c r="V988" s="56"/>
      <c r="W988" s="56"/>
      <c r="X988" s="56"/>
      <c r="Y988" s="56"/>
      <c r="Z988" s="56"/>
      <c r="AA988" s="56"/>
      <c r="AB988" s="56"/>
      <c r="AC988" s="56"/>
      <c r="AD988" s="56"/>
      <c r="AE988" s="56"/>
      <c r="AF988" s="56"/>
      <c r="AG988" s="56"/>
      <c r="AH988" s="56"/>
      <c r="AI988" s="56"/>
      <c r="AJ988" s="56"/>
      <c r="AK988" s="56"/>
      <c r="AL988" s="56"/>
    </row>
    <row r="989" spans="1:38" ht="14.25" customHeight="1">
      <c r="A989" s="56"/>
      <c r="B989" s="56"/>
      <c r="C989" s="56"/>
      <c r="D989" s="62"/>
      <c r="E989" s="56"/>
      <c r="F989" s="57"/>
      <c r="G989" s="57"/>
      <c r="H989" s="57"/>
      <c r="I989" s="57"/>
      <c r="J989" s="57"/>
      <c r="K989" s="58"/>
      <c r="L989" s="57"/>
      <c r="M989" s="57"/>
      <c r="N989" s="57"/>
      <c r="O989" s="57"/>
      <c r="P989" s="57"/>
      <c r="Q989" s="58"/>
      <c r="R989" s="57"/>
      <c r="S989" s="56"/>
      <c r="T989" s="56"/>
      <c r="U989" s="56"/>
      <c r="V989" s="56"/>
      <c r="W989" s="56"/>
      <c r="X989" s="56"/>
      <c r="Y989" s="56"/>
      <c r="Z989" s="56"/>
      <c r="AA989" s="56"/>
      <c r="AB989" s="56"/>
      <c r="AC989" s="56"/>
      <c r="AD989" s="56"/>
      <c r="AE989" s="56"/>
      <c r="AF989" s="56"/>
      <c r="AG989" s="56"/>
      <c r="AH989" s="56"/>
      <c r="AI989" s="56"/>
      <c r="AJ989" s="56"/>
      <c r="AK989" s="56"/>
      <c r="AL989" s="56"/>
    </row>
    <row r="990" spans="1:38" ht="14.25" customHeight="1">
      <c r="A990" s="56"/>
      <c r="B990" s="56"/>
      <c r="C990" s="56"/>
      <c r="D990" s="62"/>
      <c r="E990" s="56"/>
      <c r="F990" s="57"/>
      <c r="G990" s="57"/>
      <c r="H990" s="57"/>
      <c r="I990" s="57"/>
      <c r="J990" s="57"/>
      <c r="K990" s="58"/>
      <c r="L990" s="57"/>
      <c r="M990" s="57"/>
      <c r="N990" s="57"/>
      <c r="O990" s="57"/>
      <c r="P990" s="57"/>
      <c r="Q990" s="58"/>
      <c r="R990" s="57"/>
      <c r="S990" s="56"/>
      <c r="T990" s="56"/>
      <c r="U990" s="56"/>
      <c r="V990" s="56"/>
      <c r="W990" s="56"/>
      <c r="X990" s="56"/>
      <c r="Y990" s="56"/>
      <c r="Z990" s="56"/>
      <c r="AA990" s="56"/>
      <c r="AB990" s="56"/>
      <c r="AC990" s="56"/>
      <c r="AD990" s="56"/>
      <c r="AE990" s="56"/>
      <c r="AF990" s="56"/>
      <c r="AG990" s="56"/>
      <c r="AH990" s="56"/>
      <c r="AI990" s="56"/>
      <c r="AJ990" s="56"/>
      <c r="AK990" s="56"/>
      <c r="AL990" s="56"/>
    </row>
    <row r="991" spans="1:38" ht="14.25" customHeight="1">
      <c r="A991" s="56"/>
      <c r="B991" s="56"/>
      <c r="C991" s="56"/>
      <c r="D991" s="62"/>
      <c r="E991" s="56"/>
      <c r="F991" s="57"/>
      <c r="G991" s="57"/>
      <c r="H991" s="57"/>
      <c r="I991" s="57"/>
      <c r="J991" s="57"/>
      <c r="K991" s="58"/>
      <c r="L991" s="57"/>
      <c r="M991" s="57"/>
      <c r="N991" s="57"/>
      <c r="O991" s="57"/>
      <c r="P991" s="57"/>
      <c r="Q991" s="58"/>
      <c r="R991" s="57"/>
      <c r="S991" s="56"/>
      <c r="T991" s="56"/>
      <c r="U991" s="56"/>
      <c r="V991" s="56"/>
      <c r="W991" s="56"/>
      <c r="X991" s="56"/>
      <c r="Y991" s="56"/>
      <c r="Z991" s="56"/>
      <c r="AA991" s="56"/>
      <c r="AB991" s="56"/>
      <c r="AC991" s="56"/>
      <c r="AD991" s="56"/>
      <c r="AE991" s="56"/>
      <c r="AF991" s="56"/>
      <c r="AG991" s="56"/>
      <c r="AH991" s="56"/>
      <c r="AI991" s="56"/>
      <c r="AJ991" s="56"/>
      <c r="AK991" s="56"/>
      <c r="AL991" s="56"/>
    </row>
    <row r="992" spans="1:38" ht="14.25" customHeight="1">
      <c r="A992" s="56"/>
      <c r="B992" s="56"/>
      <c r="C992" s="56"/>
      <c r="D992" s="62"/>
      <c r="E992" s="56"/>
      <c r="F992" s="57"/>
      <c r="G992" s="57"/>
      <c r="H992" s="57"/>
      <c r="I992" s="57"/>
      <c r="J992" s="57"/>
      <c r="K992" s="58"/>
      <c r="L992" s="57"/>
      <c r="M992" s="57"/>
      <c r="N992" s="57"/>
      <c r="O992" s="57"/>
      <c r="P992" s="57"/>
      <c r="Q992" s="58"/>
      <c r="R992" s="57"/>
      <c r="S992" s="56"/>
      <c r="T992" s="56"/>
      <c r="U992" s="56"/>
      <c r="V992" s="56"/>
      <c r="W992" s="56"/>
      <c r="X992" s="56"/>
      <c r="Y992" s="56"/>
      <c r="Z992" s="56"/>
      <c r="AA992" s="56"/>
      <c r="AB992" s="56"/>
      <c r="AC992" s="56"/>
      <c r="AD992" s="56"/>
      <c r="AE992" s="56"/>
      <c r="AF992" s="56"/>
      <c r="AG992" s="56"/>
      <c r="AH992" s="56"/>
      <c r="AI992" s="56"/>
      <c r="AJ992" s="56"/>
      <c r="AK992" s="56"/>
      <c r="AL992" s="56"/>
    </row>
    <row r="993" spans="1:38" ht="14.25" customHeight="1">
      <c r="A993" s="56"/>
      <c r="B993" s="56"/>
      <c r="C993" s="56"/>
      <c r="D993" s="62"/>
      <c r="E993" s="56"/>
      <c r="F993" s="57"/>
      <c r="G993" s="57"/>
      <c r="H993" s="57"/>
      <c r="I993" s="57"/>
      <c r="J993" s="57"/>
      <c r="K993" s="58"/>
      <c r="L993" s="57"/>
      <c r="M993" s="57"/>
      <c r="N993" s="57"/>
      <c r="O993" s="57"/>
      <c r="P993" s="57"/>
      <c r="Q993" s="58"/>
      <c r="R993" s="57"/>
      <c r="S993" s="56"/>
      <c r="T993" s="56"/>
      <c r="U993" s="56"/>
      <c r="V993" s="56"/>
      <c r="W993" s="56"/>
      <c r="X993" s="56"/>
      <c r="Y993" s="56"/>
      <c r="Z993" s="56"/>
      <c r="AA993" s="56"/>
      <c r="AB993" s="56"/>
      <c r="AC993" s="56"/>
      <c r="AD993" s="56"/>
      <c r="AE993" s="56"/>
      <c r="AF993" s="56"/>
      <c r="AG993" s="56"/>
      <c r="AH993" s="56"/>
      <c r="AI993" s="56"/>
      <c r="AJ993" s="56"/>
      <c r="AK993" s="56"/>
      <c r="AL993" s="56"/>
    </row>
    <row r="994" spans="1:38" ht="14.25" customHeight="1">
      <c r="A994" s="56"/>
      <c r="B994" s="56"/>
      <c r="C994" s="56"/>
      <c r="D994" s="62"/>
      <c r="E994" s="56"/>
      <c r="F994" s="57"/>
      <c r="G994" s="57"/>
      <c r="H994" s="57"/>
      <c r="I994" s="57"/>
      <c r="J994" s="57"/>
      <c r="K994" s="58"/>
      <c r="L994" s="57"/>
      <c r="M994" s="57"/>
      <c r="N994" s="57"/>
      <c r="O994" s="57"/>
      <c r="P994" s="57"/>
      <c r="Q994" s="58"/>
      <c r="R994" s="57"/>
      <c r="S994" s="56"/>
      <c r="T994" s="56"/>
      <c r="U994" s="56"/>
      <c r="V994" s="56"/>
      <c r="W994" s="56"/>
      <c r="X994" s="56"/>
      <c r="Y994" s="56"/>
      <c r="Z994" s="56"/>
      <c r="AA994" s="56"/>
      <c r="AB994" s="56"/>
      <c r="AC994" s="56"/>
      <c r="AD994" s="56"/>
      <c r="AE994" s="56"/>
      <c r="AF994" s="56"/>
      <c r="AG994" s="56"/>
      <c r="AH994" s="56"/>
      <c r="AI994" s="56"/>
      <c r="AJ994" s="56"/>
      <c r="AK994" s="56"/>
      <c r="AL994" s="56"/>
    </row>
    <row r="995" spans="1:38" ht="14.25" customHeight="1">
      <c r="A995" s="56"/>
      <c r="B995" s="56"/>
      <c r="C995" s="56"/>
      <c r="D995" s="62"/>
      <c r="E995" s="56"/>
      <c r="F995" s="57"/>
      <c r="G995" s="57"/>
      <c r="H995" s="57"/>
      <c r="I995" s="57"/>
      <c r="J995" s="57"/>
      <c r="K995" s="58"/>
      <c r="L995" s="57"/>
      <c r="M995" s="57"/>
      <c r="N995" s="57"/>
      <c r="O995" s="57"/>
      <c r="P995" s="57"/>
      <c r="Q995" s="58"/>
      <c r="R995" s="57"/>
      <c r="S995" s="56"/>
      <c r="T995" s="56"/>
      <c r="U995" s="56"/>
      <c r="V995" s="56"/>
      <c r="W995" s="56"/>
      <c r="X995" s="56"/>
      <c r="Y995" s="56"/>
      <c r="Z995" s="56"/>
      <c r="AA995" s="56"/>
      <c r="AB995" s="56"/>
      <c r="AC995" s="56"/>
      <c r="AD995" s="56"/>
      <c r="AE995" s="56"/>
      <c r="AF995" s="56"/>
      <c r="AG995" s="56"/>
      <c r="AH995" s="56"/>
      <c r="AI995" s="56"/>
      <c r="AJ995" s="56"/>
      <c r="AK995" s="56"/>
      <c r="AL995" s="56"/>
    </row>
    <row r="996" spans="1:38" ht="14.25" customHeight="1">
      <c r="A996" s="56"/>
      <c r="B996" s="56"/>
      <c r="C996" s="56"/>
      <c r="D996" s="62"/>
      <c r="E996" s="56"/>
      <c r="F996" s="57"/>
      <c r="G996" s="57"/>
      <c r="H996" s="57"/>
      <c r="I996" s="57"/>
      <c r="J996" s="57"/>
      <c r="K996" s="58"/>
      <c r="L996" s="57"/>
      <c r="M996" s="57"/>
      <c r="N996" s="57"/>
      <c r="O996" s="57"/>
      <c r="P996" s="57"/>
      <c r="Q996" s="58"/>
      <c r="R996" s="57"/>
      <c r="S996" s="56"/>
      <c r="T996" s="56"/>
      <c r="U996" s="56"/>
      <c r="V996" s="56"/>
      <c r="W996" s="56"/>
      <c r="X996" s="56"/>
      <c r="Y996" s="56"/>
      <c r="Z996" s="56"/>
      <c r="AA996" s="56"/>
      <c r="AB996" s="56"/>
      <c r="AC996" s="56"/>
      <c r="AD996" s="56"/>
      <c r="AE996" s="56"/>
      <c r="AF996" s="56"/>
      <c r="AG996" s="56"/>
      <c r="AH996" s="56"/>
      <c r="AI996" s="56"/>
      <c r="AJ996" s="56"/>
      <c r="AK996" s="56"/>
      <c r="AL996" s="56"/>
    </row>
    <row r="997" spans="1:38" ht="14.25" customHeight="1">
      <c r="A997" s="56"/>
      <c r="B997" s="56"/>
      <c r="C997" s="56"/>
      <c r="D997" s="62"/>
      <c r="E997" s="56"/>
      <c r="F997" s="57"/>
      <c r="G997" s="57"/>
      <c r="H997" s="57"/>
      <c r="I997" s="57"/>
      <c r="J997" s="57"/>
      <c r="K997" s="58"/>
      <c r="L997" s="57"/>
      <c r="M997" s="57"/>
      <c r="N997" s="57"/>
      <c r="O997" s="57"/>
      <c r="P997" s="57"/>
      <c r="Q997" s="58"/>
      <c r="R997" s="57"/>
      <c r="S997" s="56"/>
      <c r="T997" s="56"/>
      <c r="U997" s="56"/>
      <c r="V997" s="56"/>
      <c r="W997" s="56"/>
      <c r="X997" s="56"/>
      <c r="Y997" s="56"/>
      <c r="Z997" s="56"/>
      <c r="AA997" s="56"/>
      <c r="AB997" s="56"/>
      <c r="AC997" s="56"/>
      <c r="AD997" s="56"/>
      <c r="AE997" s="56"/>
      <c r="AF997" s="56"/>
      <c r="AG997" s="56"/>
      <c r="AH997" s="56"/>
      <c r="AI997" s="56"/>
      <c r="AJ997" s="56"/>
      <c r="AK997" s="56"/>
      <c r="AL997" s="56"/>
    </row>
    <row r="998" spans="1:38" ht="14.25" customHeight="1">
      <c r="A998" s="56"/>
      <c r="B998" s="56"/>
      <c r="C998" s="56"/>
      <c r="D998" s="62"/>
      <c r="E998" s="56"/>
      <c r="F998" s="57"/>
      <c r="G998" s="57"/>
      <c r="H998" s="57"/>
      <c r="I998" s="57"/>
      <c r="J998" s="57"/>
      <c r="K998" s="58"/>
      <c r="L998" s="57"/>
      <c r="M998" s="57"/>
      <c r="N998" s="57"/>
      <c r="O998" s="57"/>
      <c r="P998" s="57"/>
      <c r="Q998" s="58"/>
      <c r="R998" s="57"/>
      <c r="S998" s="56"/>
      <c r="T998" s="56"/>
      <c r="U998" s="56"/>
      <c r="V998" s="56"/>
      <c r="W998" s="56"/>
      <c r="X998" s="56"/>
      <c r="Y998" s="56"/>
      <c r="Z998" s="56"/>
      <c r="AA998" s="56"/>
      <c r="AB998" s="56"/>
      <c r="AC998" s="56"/>
      <c r="AD998" s="56"/>
      <c r="AE998" s="56"/>
      <c r="AF998" s="56"/>
      <c r="AG998" s="56"/>
      <c r="AH998" s="56"/>
      <c r="AI998" s="56"/>
      <c r="AJ998" s="56"/>
      <c r="AK998" s="56"/>
      <c r="AL998" s="56"/>
    </row>
    <row r="999" spans="1:38" ht="14.25" customHeight="1">
      <c r="A999" s="56"/>
      <c r="B999" s="56"/>
      <c r="C999" s="56"/>
      <c r="D999" s="62"/>
      <c r="E999" s="56"/>
      <c r="F999" s="57"/>
      <c r="G999" s="57"/>
      <c r="H999" s="57"/>
      <c r="I999" s="57"/>
      <c r="J999" s="57"/>
      <c r="K999" s="58"/>
      <c r="L999" s="57"/>
      <c r="M999" s="57"/>
      <c r="N999" s="57"/>
      <c r="O999" s="57"/>
      <c r="P999" s="57"/>
      <c r="Q999" s="58"/>
      <c r="R999" s="57"/>
      <c r="S999" s="56"/>
      <c r="T999" s="56"/>
      <c r="U999" s="56"/>
      <c r="V999" s="56"/>
      <c r="W999" s="56"/>
      <c r="X999" s="56"/>
      <c r="Y999" s="56"/>
      <c r="Z999" s="56"/>
      <c r="AA999" s="56"/>
      <c r="AB999" s="56"/>
      <c r="AC999" s="56"/>
      <c r="AD999" s="56"/>
      <c r="AE999" s="56"/>
      <c r="AF999" s="56"/>
      <c r="AG999" s="56"/>
      <c r="AH999" s="56"/>
      <c r="AI999" s="56"/>
      <c r="AJ999" s="56"/>
      <c r="AK999" s="56"/>
      <c r="AL999" s="56"/>
    </row>
    <row r="1000" spans="1:38" ht="14.25" customHeight="1">
      <c r="A1000" s="56"/>
      <c r="B1000" s="56"/>
      <c r="C1000" s="56"/>
      <c r="D1000" s="62"/>
      <c r="E1000" s="56"/>
      <c r="F1000" s="57"/>
      <c r="G1000" s="57"/>
      <c r="H1000" s="57"/>
      <c r="I1000" s="57"/>
      <c r="J1000" s="57"/>
      <c r="K1000" s="58"/>
      <c r="L1000" s="57"/>
      <c r="M1000" s="57"/>
      <c r="N1000" s="57"/>
      <c r="O1000" s="57"/>
      <c r="P1000" s="57"/>
      <c r="Q1000" s="58"/>
      <c r="R1000" s="57"/>
      <c r="S1000" s="56"/>
      <c r="T1000" s="56"/>
      <c r="U1000" s="56"/>
      <c r="V1000" s="56"/>
      <c r="W1000" s="56"/>
      <c r="X1000" s="56"/>
      <c r="Y1000" s="56"/>
      <c r="Z1000" s="56"/>
      <c r="AA1000" s="56"/>
      <c r="AB1000" s="56"/>
      <c r="AC1000" s="56"/>
      <c r="AD1000" s="56"/>
      <c r="AE1000" s="56"/>
      <c r="AF1000" s="56"/>
      <c r="AG1000" s="56"/>
      <c r="AH1000" s="56"/>
      <c r="AI1000" s="56"/>
      <c r="AJ1000" s="56"/>
      <c r="AK1000" s="56"/>
      <c r="AL1000" s="56"/>
    </row>
  </sheetData>
  <sheetProtection algorithmName="SHA-512" hashValue="eI/V7qF6O5a7r/MWqi3A9Ul3HjpBHtJ1lD01UiQLyV87QBJz93PN+cWdusKdPYdTZdMMJaFyaXVT5ZqqQrLr+w==" saltValue="Y7t3FlIqSZR1W5K1UmXoEA==" spinCount="100000" sheet="1" objects="1" scenarios="1"/>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3"/>
  <sheetViews>
    <sheetView workbookViewId="0">
      <selection activeCell="K29" sqref="K29"/>
    </sheetView>
  </sheetViews>
  <sheetFormatPr defaultColWidth="16.7109375" defaultRowHeight="15" customHeight="1"/>
  <cols>
    <col min="1" max="26" width="10.28515625" customWidth="1"/>
  </cols>
  <sheetData>
    <row r="1" spans="1:4" ht="9.75" customHeight="1"/>
    <row r="2" spans="1:4" ht="9.75" customHeight="1">
      <c r="A2" s="34" t="s">
        <v>11</v>
      </c>
    </row>
    <row r="3" spans="1:4" ht="9.75" customHeight="1">
      <c r="A3" s="35" t="s">
        <v>12</v>
      </c>
    </row>
    <row r="4" spans="1:4" ht="9.75" customHeight="1">
      <c r="A4" s="35" t="s">
        <v>102</v>
      </c>
    </row>
    <row r="5" spans="1:4" ht="9.75" customHeight="1">
      <c r="A5" s="35" t="s">
        <v>103</v>
      </c>
    </row>
    <row r="6" spans="1:4" ht="9.75" customHeight="1"/>
    <row r="7" spans="1:4" ht="9.75" customHeight="1">
      <c r="A7" s="34" t="s">
        <v>104</v>
      </c>
      <c r="D7" s="531" t="s">
        <v>1373</v>
      </c>
    </row>
    <row r="8" spans="1:4" ht="9.75" customHeight="1">
      <c r="A8" s="35" t="s">
        <v>1434</v>
      </c>
      <c r="D8" s="35" t="s">
        <v>1434</v>
      </c>
    </row>
    <row r="9" spans="1:4" ht="9.75" customHeight="1">
      <c r="A9" s="35" t="s">
        <v>1431</v>
      </c>
      <c r="D9" s="35" t="s">
        <v>1432</v>
      </c>
    </row>
    <row r="10" spans="1:4" ht="9.75" customHeight="1">
      <c r="A10" s="35" t="s">
        <v>1432</v>
      </c>
    </row>
    <row r="11" spans="1:4" ht="9.75" customHeight="1">
      <c r="A11" s="35" t="s">
        <v>1496</v>
      </c>
    </row>
    <row r="12" spans="1:4" ht="9.75" customHeight="1">
      <c r="A12" s="35" t="s">
        <v>1433</v>
      </c>
    </row>
    <row r="13" spans="1:4" ht="9.75" customHeight="1">
      <c r="A13" s="35" t="s">
        <v>1461</v>
      </c>
    </row>
    <row r="14" spans="1:4" ht="9.75" customHeight="1"/>
    <row r="15" spans="1:4" ht="9.75" customHeight="1">
      <c r="A15" s="34" t="s">
        <v>105</v>
      </c>
    </row>
    <row r="16" spans="1:4" ht="9.75" customHeight="1">
      <c r="A16" s="35" t="s">
        <v>13</v>
      </c>
    </row>
    <row r="17" spans="1:1" ht="9.75" customHeight="1">
      <c r="A17" s="35" t="s">
        <v>106</v>
      </c>
    </row>
    <row r="18" spans="1:1" ht="9.75" customHeight="1">
      <c r="A18" s="35" t="s">
        <v>107</v>
      </c>
    </row>
    <row r="19" spans="1:1" ht="9.75" customHeight="1"/>
    <row r="20" spans="1:1" ht="9.75" customHeight="1">
      <c r="A20" s="34" t="s">
        <v>108</v>
      </c>
    </row>
    <row r="21" spans="1:1" ht="9.75" customHeight="1">
      <c r="A21" s="35" t="s">
        <v>109</v>
      </c>
    </row>
    <row r="22" spans="1:1" ht="9.75" customHeight="1">
      <c r="A22" s="35" t="s">
        <v>15</v>
      </c>
    </row>
    <row r="23" spans="1:1" ht="9.75" customHeight="1">
      <c r="A23" s="35" t="s">
        <v>110</v>
      </c>
    </row>
    <row r="24" spans="1:1" ht="9.75" customHeight="1"/>
    <row r="25" spans="1:1" ht="9.75" customHeight="1">
      <c r="A25" s="34" t="s">
        <v>14</v>
      </c>
    </row>
    <row r="26" spans="1:1" ht="9.75" customHeight="1">
      <c r="A26" s="35" t="s">
        <v>109</v>
      </c>
    </row>
    <row r="27" spans="1:1" ht="9.75" customHeight="1">
      <c r="A27" s="35" t="s">
        <v>15</v>
      </c>
    </row>
    <row r="28" spans="1:1" ht="9.75" customHeight="1">
      <c r="A28" s="35" t="s">
        <v>110</v>
      </c>
    </row>
    <row r="29" spans="1:1" ht="9.75" customHeight="1"/>
    <row r="30" spans="1:1" ht="9.75" customHeight="1">
      <c r="A30" s="34" t="s">
        <v>111</v>
      </c>
    </row>
    <row r="31" spans="1:1" ht="9.75" customHeight="1">
      <c r="A31" s="35" t="s">
        <v>18</v>
      </c>
    </row>
    <row r="32" spans="1:1" ht="9.75" customHeight="1"/>
    <row r="33" spans="1:1" ht="9.75" customHeight="1">
      <c r="A33" s="34" t="s">
        <v>112</v>
      </c>
    </row>
    <row r="34" spans="1:1" ht="9.75" customHeight="1">
      <c r="A34" s="517" t="s">
        <v>1362</v>
      </c>
    </row>
    <row r="35" spans="1:1" ht="9.75" customHeight="1">
      <c r="A35" s="35" t="s">
        <v>1363</v>
      </c>
    </row>
    <row r="36" spans="1:1" ht="9.75" customHeight="1">
      <c r="A36" s="35" t="s">
        <v>20</v>
      </c>
    </row>
    <row r="37" spans="1:1" ht="9.75" customHeight="1"/>
    <row r="38" spans="1:1" ht="9.75" customHeight="1">
      <c r="A38" s="34" t="s">
        <v>114</v>
      </c>
    </row>
    <row r="39" spans="1:1" ht="9.75" customHeight="1">
      <c r="A39" s="35" t="s">
        <v>22</v>
      </c>
    </row>
    <row r="40" spans="1:1" ht="9.75" customHeight="1">
      <c r="A40" s="36" t="s">
        <v>115</v>
      </c>
    </row>
    <row r="41" spans="1:1" ht="9.75" customHeight="1">
      <c r="A41" s="35" t="s">
        <v>116</v>
      </c>
    </row>
    <row r="42" spans="1:1" ht="9.75" customHeight="1"/>
    <row r="43" spans="1:1" ht="9.75" customHeight="1">
      <c r="A43" s="34" t="s">
        <v>117</v>
      </c>
    </row>
    <row r="44" spans="1:1" ht="9.75" customHeight="1">
      <c r="A44" s="35" t="s">
        <v>118</v>
      </c>
    </row>
    <row r="45" spans="1:1" ht="9.75" customHeight="1">
      <c r="A45" s="35" t="s">
        <v>119</v>
      </c>
    </row>
    <row r="46" spans="1:1" ht="9.75" customHeight="1">
      <c r="A46" s="35" t="s">
        <v>24</v>
      </c>
    </row>
    <row r="47" spans="1:1" ht="9.75" customHeight="1"/>
    <row r="48" spans="1:1" ht="9.75" customHeight="1">
      <c r="A48" s="34" t="s">
        <v>120</v>
      </c>
    </row>
    <row r="49" spans="1:1" ht="9.75" customHeight="1">
      <c r="A49" s="35" t="s">
        <v>121</v>
      </c>
    </row>
    <row r="50" spans="1:1" ht="9.75" customHeight="1">
      <c r="A50" s="35" t="s">
        <v>26</v>
      </c>
    </row>
    <row r="51" spans="1:1" ht="9.75" customHeight="1">
      <c r="A51" s="35" t="s">
        <v>122</v>
      </c>
    </row>
    <row r="52" spans="1:1" ht="9.75" customHeight="1"/>
    <row r="53" spans="1:1" ht="9.75" customHeight="1">
      <c r="A53" s="34" t="s">
        <v>123</v>
      </c>
    </row>
    <row r="54" spans="1:1" ht="9.75" customHeight="1">
      <c r="A54" s="35" t="s">
        <v>124</v>
      </c>
    </row>
    <row r="55" spans="1:1" ht="9.75" customHeight="1">
      <c r="A55" s="35" t="s">
        <v>125</v>
      </c>
    </row>
    <row r="56" spans="1:1" ht="9.75" customHeight="1">
      <c r="A56" s="35" t="s">
        <v>28</v>
      </c>
    </row>
    <row r="57" spans="1:1" ht="9.75" customHeight="1"/>
    <row r="58" spans="1:1" ht="9.75" customHeight="1"/>
    <row r="59" spans="1:1" ht="9.75" customHeight="1"/>
    <row r="60" spans="1:1" ht="9.75" customHeight="1"/>
    <row r="61" spans="1:1" ht="9.75" customHeight="1"/>
    <row r="62" spans="1:1" ht="9.75" customHeight="1"/>
    <row r="63" spans="1:1" ht="9.75" customHeight="1"/>
    <row r="64" spans="1:1"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row r="76" ht="9.75" customHeight="1"/>
    <row r="77" ht="9.75" customHeight="1"/>
    <row r="78" ht="9.75" customHeight="1"/>
    <row r="79" ht="9.75" customHeight="1"/>
    <row r="80" ht="9.75" customHeight="1"/>
    <row r="81" ht="9.75" customHeight="1"/>
    <row r="82" ht="9.75" customHeight="1"/>
    <row r="83" ht="9.75" customHeight="1"/>
    <row r="84" ht="9.75" customHeight="1"/>
    <row r="85" ht="9.75" customHeight="1"/>
    <row r="86" ht="9.75" customHeight="1"/>
    <row r="87" ht="9.75" customHeight="1"/>
    <row r="88" ht="9.75" customHeight="1"/>
    <row r="89" ht="9.75" customHeight="1"/>
    <row r="90" ht="9.75" customHeight="1"/>
    <row r="91" ht="9.75" customHeight="1"/>
    <row r="92" ht="9.75" customHeight="1"/>
    <row r="93" ht="9.75" customHeight="1"/>
    <row r="94" ht="9.75" customHeight="1"/>
    <row r="95" ht="9.75" customHeight="1"/>
    <row r="96"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9.75" customHeight="1"/>
    <row r="12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9.75" customHeight="1"/>
    <row r="196" ht="9.75" customHeight="1"/>
    <row r="197" ht="9.75" customHeight="1"/>
    <row r="198" ht="9.75" customHeight="1"/>
    <row r="199" ht="9.75" customHeight="1"/>
    <row r="200" ht="9.75" customHeight="1"/>
    <row r="201" ht="9.75" customHeight="1"/>
    <row r="202" ht="9.75" customHeight="1"/>
    <row r="203" ht="9.75" customHeight="1"/>
    <row r="204" ht="9.75" customHeight="1"/>
    <row r="205" ht="9.75" customHeight="1"/>
    <row r="206" ht="9.75" customHeight="1"/>
    <row r="207" ht="9.75" customHeight="1"/>
    <row r="208"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row r="234" ht="9.75" customHeight="1"/>
    <row r="235" ht="9.75" customHeight="1"/>
    <row r="236" ht="9.75" customHeight="1"/>
    <row r="237" ht="9.75" customHeight="1"/>
    <row r="238" ht="9.75" customHeight="1"/>
    <row r="239" ht="9.75" customHeight="1"/>
    <row r="240"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row r="1001" ht="9.75" customHeight="1"/>
    <row r="1002" ht="9.75" customHeight="1"/>
    <row r="1003" ht="9.75" customHeight="1"/>
  </sheetData>
  <sheetProtection algorithmName="SHA-512" hashValue="xm4aFAoxRlos0Q/Fe+BBpHk9cEOoIO4bNQjoL3u+UjQJ2Mvje1tNagCWX9diMQrd5G8ekHkkHZaxY/arYhWYbw==" saltValue="cqUq1aZoJZtaao1USajUuw==" spinCount="100000" sheet="1" objects="1" scenarios="1"/>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7CAAC"/>
  </sheetPr>
  <dimension ref="A1:Z1014"/>
  <sheetViews>
    <sheetView showGridLines="0" topLeftCell="A42" workbookViewId="0">
      <selection activeCell="G45" sqref="G45"/>
    </sheetView>
  </sheetViews>
  <sheetFormatPr defaultColWidth="16.7109375" defaultRowHeight="15" customHeight="1" outlineLevelRow="1"/>
  <cols>
    <col min="1" max="1" width="2" customWidth="1"/>
    <col min="2" max="2" width="63.28515625" customWidth="1"/>
    <col min="3" max="4" width="15.7109375" customWidth="1"/>
    <col min="5" max="5" width="50.28515625" customWidth="1"/>
    <col min="6" max="6" width="2" customWidth="1"/>
    <col min="7" max="7" width="75.7109375" customWidth="1"/>
    <col min="8" max="8" width="12.42578125" customWidth="1"/>
    <col min="9" max="26" width="10.28515625" customWidth="1"/>
  </cols>
  <sheetData>
    <row r="1" spans="1:26" ht="8.25" customHeight="1">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11.25" customHeight="1">
      <c r="A2" s="63"/>
      <c r="B2" s="741" t="s">
        <v>184</v>
      </c>
      <c r="C2" s="742"/>
      <c r="D2" s="742"/>
      <c r="E2" s="743"/>
      <c r="F2" s="63"/>
      <c r="G2" s="63"/>
      <c r="H2" s="63"/>
      <c r="I2" s="63"/>
      <c r="J2" s="63"/>
      <c r="K2" s="63"/>
      <c r="L2" s="63"/>
      <c r="M2" s="63"/>
      <c r="N2" s="63"/>
      <c r="O2" s="63"/>
      <c r="P2" s="63"/>
      <c r="Q2" s="63"/>
      <c r="R2" s="63"/>
      <c r="S2" s="63"/>
      <c r="T2" s="63"/>
      <c r="U2" s="63"/>
      <c r="V2" s="63"/>
      <c r="W2" s="63"/>
      <c r="X2" s="63"/>
      <c r="Y2" s="63"/>
      <c r="Z2" s="63"/>
    </row>
    <row r="3" spans="1:26" ht="11.25" customHeight="1">
      <c r="A3" s="63"/>
      <c r="B3" s="64" t="s">
        <v>185</v>
      </c>
      <c r="C3" s="734"/>
      <c r="D3" s="735"/>
      <c r="E3" s="736"/>
      <c r="F3" s="63"/>
      <c r="G3" s="63"/>
      <c r="H3" s="63"/>
      <c r="I3" s="63"/>
      <c r="J3" s="63"/>
      <c r="K3" s="63"/>
      <c r="L3" s="63"/>
      <c r="M3" s="63"/>
      <c r="N3" s="63"/>
      <c r="O3" s="63"/>
      <c r="P3" s="63"/>
      <c r="Q3" s="63"/>
      <c r="R3" s="63"/>
      <c r="S3" s="63"/>
      <c r="T3" s="63"/>
      <c r="U3" s="63"/>
      <c r="V3" s="63"/>
      <c r="W3" s="63"/>
      <c r="X3" s="63"/>
      <c r="Y3" s="63"/>
      <c r="Z3" s="63"/>
    </row>
    <row r="4" spans="1:26" ht="11.25" customHeight="1">
      <c r="A4" s="63"/>
      <c r="B4" s="65" t="s">
        <v>186</v>
      </c>
      <c r="C4" s="744"/>
      <c r="D4" s="745"/>
      <c r="E4" s="746"/>
      <c r="F4" s="66"/>
      <c r="G4" s="63"/>
      <c r="H4" s="63"/>
      <c r="I4" s="63"/>
      <c r="J4" s="63"/>
      <c r="K4" s="63"/>
      <c r="L4" s="63"/>
      <c r="M4" s="63"/>
      <c r="N4" s="63"/>
      <c r="O4" s="63"/>
      <c r="P4" s="63"/>
      <c r="Q4" s="63"/>
      <c r="R4" s="63"/>
      <c r="S4" s="63"/>
      <c r="T4" s="63"/>
      <c r="U4" s="63"/>
      <c r="V4" s="63"/>
      <c r="W4" s="63"/>
      <c r="X4" s="63"/>
      <c r="Y4" s="63"/>
      <c r="Z4" s="63"/>
    </row>
    <row r="5" spans="1:26" ht="11.25" customHeight="1">
      <c r="A5" s="63"/>
      <c r="B5" s="64" t="s">
        <v>187</v>
      </c>
      <c r="C5" s="67"/>
      <c r="D5" s="67"/>
      <c r="E5" s="68" t="s">
        <v>188</v>
      </c>
      <c r="F5" s="63"/>
      <c r="G5" s="63"/>
      <c r="H5" s="63"/>
      <c r="I5" s="63"/>
      <c r="J5" s="63"/>
      <c r="K5" s="63"/>
      <c r="L5" s="63"/>
      <c r="M5" s="63"/>
      <c r="N5" s="63"/>
      <c r="O5" s="63"/>
      <c r="P5" s="63"/>
      <c r="Q5" s="63"/>
      <c r="R5" s="63"/>
      <c r="S5" s="63"/>
      <c r="T5" s="63"/>
      <c r="U5" s="63"/>
      <c r="V5" s="63"/>
      <c r="W5" s="63"/>
      <c r="X5" s="63"/>
      <c r="Y5" s="63"/>
      <c r="Z5" s="63"/>
    </row>
    <row r="6" spans="1:26" ht="11.25" customHeight="1">
      <c r="A6" s="63"/>
      <c r="B6" s="69" t="s">
        <v>189</v>
      </c>
      <c r="C6" s="747"/>
      <c r="D6" s="748"/>
      <c r="E6" s="749"/>
      <c r="F6" s="63"/>
      <c r="G6" s="63"/>
      <c r="H6" s="63"/>
      <c r="I6" s="63"/>
      <c r="J6" s="63"/>
      <c r="K6" s="63"/>
      <c r="L6" s="63"/>
      <c r="M6" s="63"/>
      <c r="N6" s="63"/>
      <c r="O6" s="63"/>
      <c r="P6" s="63"/>
      <c r="Q6" s="63"/>
      <c r="R6" s="63"/>
      <c r="S6" s="63"/>
      <c r="T6" s="63"/>
      <c r="U6" s="63"/>
      <c r="V6" s="63"/>
      <c r="W6" s="63"/>
      <c r="X6" s="63"/>
      <c r="Y6" s="63"/>
      <c r="Z6" s="63"/>
    </row>
    <row r="7" spans="1:26" ht="11.25" customHeight="1">
      <c r="A7" s="63"/>
      <c r="B7" s="64" t="s">
        <v>190</v>
      </c>
      <c r="C7" s="67"/>
      <c r="D7" s="70"/>
      <c r="E7" s="71"/>
      <c r="F7" s="63"/>
      <c r="G7" s="63"/>
      <c r="H7" s="63"/>
      <c r="I7" s="63"/>
      <c r="J7" s="63"/>
      <c r="K7" s="63"/>
      <c r="L7" s="63"/>
      <c r="M7" s="63"/>
      <c r="N7" s="63"/>
      <c r="O7" s="63"/>
      <c r="P7" s="63"/>
      <c r="Q7" s="63"/>
      <c r="R7" s="63"/>
      <c r="S7" s="63"/>
      <c r="T7" s="63"/>
      <c r="U7" s="63"/>
      <c r="V7" s="63"/>
      <c r="W7" s="63"/>
      <c r="X7" s="63"/>
      <c r="Y7" s="63"/>
      <c r="Z7" s="63"/>
    </row>
    <row r="8" spans="1:26" ht="11.25" customHeight="1">
      <c r="A8" s="63"/>
      <c r="B8" s="64" t="s">
        <v>191</v>
      </c>
      <c r="C8" s="734"/>
      <c r="D8" s="735"/>
      <c r="E8" s="736"/>
      <c r="F8" s="63"/>
      <c r="G8" s="63"/>
      <c r="H8" s="63"/>
      <c r="I8" s="63"/>
      <c r="J8" s="63"/>
      <c r="K8" s="63"/>
      <c r="L8" s="63"/>
      <c r="M8" s="63"/>
      <c r="N8" s="63"/>
      <c r="O8" s="63"/>
      <c r="P8" s="63"/>
      <c r="Q8" s="63"/>
      <c r="R8" s="63"/>
      <c r="S8" s="63"/>
      <c r="T8" s="63"/>
      <c r="U8" s="63"/>
      <c r="V8" s="63"/>
      <c r="W8" s="63"/>
      <c r="X8" s="63"/>
      <c r="Y8" s="63"/>
      <c r="Z8" s="63"/>
    </row>
    <row r="9" spans="1:26" ht="11.25" customHeight="1">
      <c r="A9" s="63"/>
      <c r="B9" s="64" t="s">
        <v>192</v>
      </c>
      <c r="C9" s="734"/>
      <c r="D9" s="735"/>
      <c r="E9" s="736"/>
      <c r="F9" s="63"/>
      <c r="G9" s="63"/>
      <c r="H9" s="63"/>
      <c r="I9" s="63"/>
      <c r="J9" s="63"/>
      <c r="K9" s="63"/>
      <c r="L9" s="63"/>
      <c r="M9" s="63"/>
      <c r="N9" s="63"/>
      <c r="O9" s="63"/>
      <c r="P9" s="63"/>
      <c r="Q9" s="63"/>
      <c r="R9" s="63"/>
      <c r="S9" s="63"/>
      <c r="T9" s="63"/>
      <c r="U9" s="63"/>
      <c r="V9" s="63"/>
      <c r="W9" s="63"/>
      <c r="X9" s="63"/>
      <c r="Y9" s="63"/>
      <c r="Z9" s="63"/>
    </row>
    <row r="10" spans="1:26" ht="11.25" customHeight="1">
      <c r="A10" s="63"/>
      <c r="B10" s="64" t="s">
        <v>193</v>
      </c>
      <c r="C10" s="734"/>
      <c r="D10" s="735"/>
      <c r="E10" s="736"/>
      <c r="F10" s="63"/>
      <c r="G10" s="63"/>
      <c r="H10" s="63"/>
      <c r="I10" s="63"/>
      <c r="J10" s="63"/>
      <c r="K10" s="63"/>
      <c r="L10" s="63"/>
      <c r="M10" s="63"/>
      <c r="N10" s="63"/>
      <c r="O10" s="63"/>
      <c r="P10" s="63"/>
      <c r="Q10" s="63"/>
      <c r="R10" s="63"/>
      <c r="S10" s="63"/>
      <c r="T10" s="63"/>
      <c r="U10" s="63"/>
      <c r="V10" s="63"/>
      <c r="W10" s="63"/>
      <c r="X10" s="63"/>
      <c r="Y10" s="63"/>
      <c r="Z10" s="63"/>
    </row>
    <row r="11" spans="1:26" ht="11.25" customHeight="1">
      <c r="A11" s="63"/>
      <c r="B11" s="64" t="s">
        <v>194</v>
      </c>
      <c r="C11" s="734"/>
      <c r="D11" s="735"/>
      <c r="E11" s="736"/>
      <c r="F11" s="63"/>
      <c r="G11" s="63"/>
      <c r="H11" s="63"/>
      <c r="I11" s="63"/>
      <c r="J11" s="63"/>
      <c r="K11" s="63"/>
      <c r="L11" s="63"/>
      <c r="M11" s="63"/>
      <c r="N11" s="63"/>
      <c r="O11" s="63"/>
      <c r="P11" s="63"/>
      <c r="Q11" s="63"/>
      <c r="R11" s="63"/>
      <c r="S11" s="63"/>
      <c r="T11" s="63"/>
      <c r="U11" s="63"/>
      <c r="V11" s="63"/>
      <c r="W11" s="63"/>
      <c r="X11" s="63"/>
      <c r="Y11" s="63"/>
      <c r="Z11" s="63"/>
    </row>
    <row r="12" spans="1:26" ht="11.25" customHeight="1">
      <c r="A12" s="63"/>
      <c r="B12" s="64" t="s">
        <v>195</v>
      </c>
      <c r="C12" s="734"/>
      <c r="D12" s="735"/>
      <c r="E12" s="736"/>
      <c r="F12" s="63"/>
      <c r="G12" s="63"/>
      <c r="H12" s="63"/>
      <c r="I12" s="63"/>
      <c r="J12" s="63"/>
      <c r="K12" s="63"/>
      <c r="L12" s="63"/>
      <c r="M12" s="63"/>
      <c r="N12" s="63"/>
      <c r="O12" s="63"/>
      <c r="P12" s="63"/>
      <c r="Q12" s="63"/>
      <c r="R12" s="63"/>
      <c r="S12" s="63"/>
      <c r="T12" s="63"/>
      <c r="U12" s="63"/>
      <c r="V12" s="63"/>
      <c r="W12" s="63"/>
      <c r="X12" s="63"/>
      <c r="Y12" s="63"/>
      <c r="Z12" s="63"/>
    </row>
    <row r="13" spans="1:26" ht="11.25" customHeight="1">
      <c r="A13" s="63"/>
      <c r="B13" s="64" t="s">
        <v>196</v>
      </c>
      <c r="C13" s="734"/>
      <c r="D13" s="735"/>
      <c r="E13" s="736"/>
      <c r="F13" s="63"/>
      <c r="G13" s="63"/>
      <c r="H13" s="63"/>
      <c r="I13" s="63"/>
      <c r="J13" s="63"/>
      <c r="K13" s="63"/>
      <c r="L13" s="63"/>
      <c r="M13" s="63"/>
      <c r="N13" s="63"/>
      <c r="O13" s="63"/>
      <c r="P13" s="63"/>
      <c r="Q13" s="63"/>
      <c r="R13" s="63"/>
      <c r="S13" s="63"/>
      <c r="T13" s="63"/>
      <c r="U13" s="63"/>
      <c r="V13" s="63"/>
      <c r="W13" s="63"/>
      <c r="X13" s="63"/>
      <c r="Y13" s="63"/>
      <c r="Z13" s="63"/>
    </row>
    <row r="14" spans="1:26" ht="11.25" customHeight="1">
      <c r="A14" s="63"/>
      <c r="B14" s="64" t="s">
        <v>197</v>
      </c>
      <c r="C14" s="734"/>
      <c r="D14" s="735"/>
      <c r="E14" s="736"/>
      <c r="F14" s="63"/>
      <c r="G14" s="63"/>
      <c r="H14" s="63"/>
      <c r="I14" s="63"/>
      <c r="J14" s="63"/>
      <c r="K14" s="63"/>
      <c r="L14" s="63"/>
      <c r="M14" s="63"/>
      <c r="N14" s="63"/>
      <c r="O14" s="63"/>
      <c r="P14" s="63"/>
      <c r="Q14" s="63"/>
      <c r="R14" s="63"/>
      <c r="S14" s="63"/>
      <c r="T14" s="63"/>
      <c r="U14" s="63"/>
      <c r="V14" s="63"/>
      <c r="W14" s="63"/>
      <c r="X14" s="63"/>
      <c r="Y14" s="63"/>
      <c r="Z14" s="63"/>
    </row>
    <row r="15" spans="1:26" ht="11.25" customHeight="1">
      <c r="A15" s="63"/>
      <c r="B15" s="72" t="s">
        <v>198</v>
      </c>
      <c r="C15" s="73" t="s">
        <v>199</v>
      </c>
      <c r="D15" s="74" t="s">
        <v>200</v>
      </c>
      <c r="E15" s="75" t="s">
        <v>201</v>
      </c>
      <c r="F15" s="63"/>
      <c r="G15" s="76"/>
      <c r="H15" s="63"/>
      <c r="I15" s="63"/>
      <c r="J15" s="63"/>
      <c r="K15" s="63"/>
      <c r="L15" s="63"/>
      <c r="M15" s="63"/>
      <c r="N15" s="63"/>
      <c r="O15" s="63"/>
      <c r="P15" s="63"/>
      <c r="Q15" s="63"/>
      <c r="R15" s="63"/>
      <c r="S15" s="63"/>
      <c r="T15" s="63"/>
      <c r="U15" s="63"/>
      <c r="V15" s="63"/>
      <c r="W15" s="63"/>
      <c r="X15" s="63"/>
      <c r="Y15" s="63"/>
      <c r="Z15" s="63"/>
    </row>
    <row r="16" spans="1:26" ht="11.25" customHeight="1">
      <c r="A16" s="63"/>
      <c r="B16" s="77" t="s">
        <v>202</v>
      </c>
      <c r="C16" s="78">
        <f>Input!C22</f>
        <v>61811533.799999997</v>
      </c>
      <c r="D16" s="79" t="str">
        <f>IF(ISERROR(VLOOKUP(B16,Energiedragers_tabel,2,FALSE)&amp;" / a"),"",VLOOKUP(B16,Energiedragers_tabel,2,FALSE)&amp;" / a")</f>
        <v>m3 / a</v>
      </c>
      <c r="E16" s="80"/>
      <c r="F16" s="63"/>
      <c r="G16" s="81"/>
      <c r="H16" s="63"/>
      <c r="I16" s="63"/>
      <c r="J16" s="63"/>
      <c r="K16" s="63"/>
      <c r="L16" s="63"/>
      <c r="M16" s="63"/>
      <c r="N16" s="63"/>
      <c r="O16" s="63"/>
      <c r="P16" s="63"/>
      <c r="Q16" s="63"/>
      <c r="R16" s="63"/>
      <c r="S16" s="63"/>
      <c r="T16" s="63"/>
      <c r="U16" s="63"/>
      <c r="V16" s="63"/>
      <c r="W16" s="63"/>
      <c r="X16" s="63"/>
      <c r="Y16" s="63"/>
      <c r="Z16" s="63"/>
    </row>
    <row r="17" spans="1:26" ht="11.25" customHeight="1">
      <c r="A17" s="63"/>
      <c r="B17" s="77" t="str">
        <f>B16</f>
        <v>Aardgas</v>
      </c>
      <c r="C17" s="82">
        <f>IF(ISERROR((C16*VLOOKUP(B17,Energiedragers_tabel,3,FALSE))/1000000),"",(C16*VLOOKUP(B17,Energiedragers_tabel,3,FALSE))/1000000)</f>
        <v>61.811533799999999</v>
      </c>
      <c r="D17" s="79" t="str">
        <f>"TJp / a"</f>
        <v>TJp / a</v>
      </c>
      <c r="E17" s="68"/>
      <c r="F17" s="63"/>
      <c r="G17" s="509"/>
      <c r="H17" s="63"/>
      <c r="I17" s="63"/>
      <c r="J17" s="63"/>
      <c r="K17" s="63"/>
      <c r="L17" s="63"/>
      <c r="M17" s="63"/>
      <c r="N17" s="63"/>
      <c r="O17" s="63"/>
      <c r="P17" s="63"/>
      <c r="Q17" s="63"/>
      <c r="R17" s="63"/>
      <c r="S17" s="63"/>
      <c r="T17" s="63"/>
      <c r="U17" s="63"/>
      <c r="V17" s="63"/>
      <c r="W17" s="63"/>
      <c r="X17" s="63"/>
      <c r="Y17" s="63"/>
      <c r="Z17" s="63"/>
    </row>
    <row r="18" spans="1:26" ht="11.25" customHeight="1">
      <c r="A18" s="63"/>
      <c r="B18" s="77" t="s">
        <v>203</v>
      </c>
      <c r="C18" s="78">
        <f>Input!C24/3.6</f>
        <v>1048064.5</v>
      </c>
      <c r="D18" s="79" t="str">
        <f>IF(ISERROR(VLOOKUP(B18,Energiedragers_tabel,2,FALSE)&amp;" / a"),"",VLOOKUP(B18,Energiedragers_tabel,2,FALSE)&amp;" / a")</f>
        <v>kWh / a</v>
      </c>
      <c r="E18" s="80"/>
      <c r="F18" s="63"/>
      <c r="G18" s="509"/>
      <c r="H18" s="63"/>
      <c r="I18" s="63"/>
      <c r="J18" s="63"/>
      <c r="K18" s="63"/>
      <c r="L18" s="63"/>
      <c r="M18" s="63"/>
      <c r="N18" s="63"/>
      <c r="O18" s="63"/>
      <c r="P18" s="63"/>
      <c r="Q18" s="63"/>
      <c r="R18" s="63"/>
      <c r="S18" s="63"/>
      <c r="T18" s="63"/>
      <c r="U18" s="63"/>
      <c r="V18" s="63"/>
      <c r="W18" s="63"/>
      <c r="X18" s="63"/>
      <c r="Y18" s="63"/>
      <c r="Z18" s="63"/>
    </row>
    <row r="19" spans="1:26" ht="11.25" customHeight="1">
      <c r="A19" s="63"/>
      <c r="B19" s="77" t="str">
        <f>B18</f>
        <v>Elektriciteit</v>
      </c>
      <c r="C19" s="82">
        <f>IF(ISERROR((C18*VLOOKUP(B19,Energiedragers_tabel,3,FALSE))/1000000),"",(C18*VLOOKUP(B19,Energiedragers_tabel,3,FALSE))/1000000)</f>
        <v>3.7730322000000003</v>
      </c>
      <c r="D19" s="79" t="str">
        <f t="shared" ref="D19:D20" si="0">"TJp / a"</f>
        <v>TJp / a</v>
      </c>
      <c r="E19" s="68"/>
      <c r="F19" s="63"/>
      <c r="G19" s="81"/>
      <c r="H19" s="63"/>
      <c r="I19" s="63"/>
      <c r="J19" s="63"/>
      <c r="K19" s="63"/>
      <c r="L19" s="63"/>
      <c r="M19" s="63"/>
      <c r="N19" s="63"/>
      <c r="O19" s="63"/>
      <c r="P19" s="63"/>
      <c r="Q19" s="63"/>
      <c r="R19" s="63"/>
      <c r="S19" s="63"/>
      <c r="T19" s="63"/>
      <c r="U19" s="63"/>
      <c r="V19" s="63"/>
      <c r="W19" s="63"/>
      <c r="X19" s="63"/>
      <c r="Y19" s="63"/>
      <c r="Z19" s="63"/>
    </row>
    <row r="20" spans="1:26" ht="11.25" customHeight="1">
      <c r="A20" s="63"/>
      <c r="B20" s="83" t="s">
        <v>204</v>
      </c>
      <c r="C20" s="84">
        <f>SUMIF(D16:D19,D20,C16:C19)</f>
        <v>65.584565999999995</v>
      </c>
      <c r="D20" s="85" t="str">
        <f t="shared" si="0"/>
        <v>TJp / a</v>
      </c>
      <c r="E20" s="86"/>
      <c r="F20" s="63"/>
      <c r="G20" s="81"/>
      <c r="H20" s="63"/>
      <c r="I20" s="63"/>
      <c r="J20" s="63"/>
      <c r="K20" s="63"/>
      <c r="L20" s="63"/>
      <c r="M20" s="63"/>
      <c r="N20" s="63"/>
      <c r="O20" s="63"/>
      <c r="P20" s="63"/>
      <c r="Q20" s="63"/>
      <c r="R20" s="63"/>
      <c r="S20" s="63"/>
      <c r="T20" s="63"/>
      <c r="U20" s="63"/>
      <c r="V20" s="63"/>
      <c r="W20" s="63"/>
      <c r="X20" s="63"/>
      <c r="Y20" s="63"/>
      <c r="Z20" s="63"/>
    </row>
    <row r="21" spans="1:26" ht="11.25" customHeight="1">
      <c r="A21" s="63"/>
      <c r="B21" s="72" t="s">
        <v>205</v>
      </c>
      <c r="C21" s="73"/>
      <c r="D21" s="74"/>
      <c r="E21" s="75"/>
      <c r="F21" s="63"/>
      <c r="G21" s="81"/>
      <c r="H21" s="63"/>
      <c r="I21" s="63"/>
      <c r="J21" s="63"/>
      <c r="K21" s="63"/>
      <c r="L21" s="63"/>
      <c r="M21" s="63"/>
      <c r="N21" s="63"/>
      <c r="O21" s="63"/>
      <c r="P21" s="63"/>
      <c r="Q21" s="63"/>
      <c r="R21" s="63"/>
      <c r="S21" s="63"/>
      <c r="T21" s="63"/>
      <c r="U21" s="63"/>
      <c r="V21" s="63"/>
      <c r="W21" s="63"/>
      <c r="X21" s="63"/>
      <c r="Y21" s="63"/>
      <c r="Z21" s="63"/>
    </row>
    <row r="22" spans="1:26" ht="11.25" customHeight="1">
      <c r="A22" s="63"/>
      <c r="B22" s="77" t="str">
        <f>B16</f>
        <v>Aardgas</v>
      </c>
      <c r="C22" s="87">
        <f>C17*VLOOKUP(B22,Energiedragers_tabel,9,FALSE)</f>
        <v>3510.89511984</v>
      </c>
      <c r="D22" s="79" t="str">
        <f t="shared" ref="D22:D24" si="1">"ton / a"</f>
        <v>ton / a</v>
      </c>
      <c r="E22" s="68"/>
      <c r="F22" s="63"/>
      <c r="G22" s="509"/>
      <c r="H22" s="63"/>
      <c r="I22" s="63"/>
      <c r="J22" s="63"/>
      <c r="K22" s="63"/>
      <c r="L22" s="63"/>
      <c r="M22" s="63"/>
      <c r="N22" s="63"/>
      <c r="O22" s="63"/>
      <c r="P22" s="63"/>
      <c r="Q22" s="63"/>
      <c r="R22" s="63"/>
      <c r="S22" s="63"/>
      <c r="T22" s="63"/>
      <c r="U22" s="63"/>
      <c r="V22" s="63"/>
      <c r="W22" s="63"/>
      <c r="X22" s="63"/>
      <c r="Y22" s="63"/>
      <c r="Z22" s="63"/>
    </row>
    <row r="23" spans="1:26" ht="11.25" customHeight="1">
      <c r="A23" s="63"/>
      <c r="B23" s="77" t="str">
        <f>B18</f>
        <v>Elektriciteit</v>
      </c>
      <c r="C23" s="87">
        <f>C19*VLOOKUP(B23,Energiedragers_tabel,9,FALSE)</f>
        <v>281.46820212</v>
      </c>
      <c r="D23" s="79" t="str">
        <f t="shared" si="1"/>
        <v>ton / a</v>
      </c>
      <c r="E23" s="68"/>
      <c r="F23" s="63"/>
      <c r="G23" s="81"/>
      <c r="H23" s="63"/>
      <c r="I23" s="63"/>
      <c r="J23" s="63"/>
      <c r="K23" s="63"/>
      <c r="L23" s="63"/>
      <c r="M23" s="63"/>
      <c r="N23" s="63"/>
      <c r="O23" s="63"/>
      <c r="P23" s="63"/>
      <c r="Q23" s="63"/>
      <c r="R23" s="63"/>
      <c r="S23" s="63"/>
      <c r="T23" s="63"/>
      <c r="U23" s="63"/>
      <c r="V23" s="63"/>
      <c r="W23" s="63"/>
      <c r="X23" s="63"/>
      <c r="Y23" s="63"/>
      <c r="Z23" s="63"/>
    </row>
    <row r="24" spans="1:26" ht="11.25" customHeight="1">
      <c r="A24" s="63"/>
      <c r="B24" s="88" t="s">
        <v>206</v>
      </c>
      <c r="C24" s="89">
        <f>SUM(C22:C23)</f>
        <v>3792.3633219600001</v>
      </c>
      <c r="D24" s="85" t="str">
        <f t="shared" si="1"/>
        <v>ton / a</v>
      </c>
      <c r="E24" s="68"/>
      <c r="F24" s="63"/>
      <c r="G24" s="509"/>
      <c r="H24" s="63"/>
      <c r="I24" s="63"/>
      <c r="J24" s="63"/>
      <c r="K24" s="63"/>
      <c r="L24" s="63"/>
      <c r="M24" s="63"/>
      <c r="N24" s="63"/>
      <c r="O24" s="63"/>
      <c r="P24" s="63"/>
      <c r="Q24" s="63"/>
      <c r="R24" s="63"/>
      <c r="S24" s="63"/>
      <c r="T24" s="63"/>
      <c r="U24" s="63"/>
      <c r="V24" s="63"/>
      <c r="W24" s="63"/>
      <c r="X24" s="63"/>
      <c r="Y24" s="63"/>
      <c r="Z24" s="63"/>
    </row>
    <row r="25" spans="1:26" ht="11.25" customHeight="1">
      <c r="A25" s="63"/>
      <c r="B25" s="72" t="s">
        <v>207</v>
      </c>
      <c r="C25" s="73"/>
      <c r="D25" s="74"/>
      <c r="E25" s="75"/>
      <c r="F25" s="63"/>
      <c r="G25" s="90"/>
      <c r="H25" s="63"/>
      <c r="I25" s="63"/>
      <c r="J25" s="63"/>
      <c r="K25" s="63"/>
      <c r="L25" s="63"/>
      <c r="M25" s="63"/>
      <c r="N25" s="63"/>
      <c r="O25" s="63"/>
      <c r="P25" s="63"/>
      <c r="Q25" s="63"/>
      <c r="R25" s="63"/>
      <c r="S25" s="63"/>
      <c r="T25" s="63"/>
      <c r="U25" s="63"/>
      <c r="V25" s="63"/>
      <c r="W25" s="63"/>
      <c r="X25" s="63"/>
      <c r="Y25" s="63"/>
      <c r="Z25" s="63"/>
    </row>
    <row r="26" spans="1:26" ht="11.25" customHeight="1">
      <c r="A26" s="63"/>
      <c r="B26" s="77" t="str">
        <f>B16</f>
        <v>Aardgas</v>
      </c>
      <c r="C26" s="67"/>
      <c r="D26" s="79" t="str">
        <f t="shared" ref="D26:D28" si="2">"€ / a"</f>
        <v>€ / a</v>
      </c>
      <c r="E26" s="80"/>
      <c r="F26" s="63"/>
      <c r="G26" s="91"/>
      <c r="H26" s="63"/>
      <c r="I26" s="63"/>
      <c r="J26" s="63"/>
      <c r="K26" s="63"/>
      <c r="L26" s="63"/>
      <c r="M26" s="63"/>
      <c r="N26" s="63"/>
      <c r="O26" s="63"/>
      <c r="P26" s="63"/>
      <c r="Q26" s="63"/>
      <c r="R26" s="63"/>
      <c r="S26" s="63"/>
      <c r="T26" s="63"/>
      <c r="U26" s="63"/>
      <c r="V26" s="63"/>
      <c r="W26" s="63"/>
      <c r="X26" s="63"/>
      <c r="Y26" s="63"/>
      <c r="Z26" s="63"/>
    </row>
    <row r="27" spans="1:26" ht="11.25" customHeight="1">
      <c r="A27" s="63"/>
      <c r="B27" s="77" t="str">
        <f>B18</f>
        <v>Elektriciteit</v>
      </c>
      <c r="C27" s="67"/>
      <c r="D27" s="79" t="str">
        <f t="shared" si="2"/>
        <v>€ / a</v>
      </c>
      <c r="E27" s="80"/>
      <c r="F27" s="63"/>
      <c r="G27" s="509"/>
      <c r="H27" s="63"/>
      <c r="I27" s="63"/>
      <c r="J27" s="63"/>
      <c r="K27" s="63"/>
      <c r="L27" s="63"/>
      <c r="M27" s="63"/>
      <c r="N27" s="63"/>
      <c r="O27" s="63"/>
      <c r="P27" s="63"/>
      <c r="Q27" s="63"/>
      <c r="R27" s="63"/>
      <c r="S27" s="63"/>
      <c r="T27" s="63"/>
      <c r="U27" s="63"/>
      <c r="V27" s="63"/>
      <c r="W27" s="63"/>
      <c r="X27" s="63"/>
      <c r="Y27" s="63"/>
      <c r="Z27" s="63"/>
    </row>
    <row r="28" spans="1:26" ht="11.25" customHeight="1">
      <c r="A28" s="63"/>
      <c r="B28" s="83" t="s">
        <v>208</v>
      </c>
      <c r="C28" s="89">
        <f>SUM(C26:C27)</f>
        <v>0</v>
      </c>
      <c r="D28" s="85" t="str">
        <f t="shared" si="2"/>
        <v>€ / a</v>
      </c>
      <c r="E28" s="68"/>
      <c r="F28" s="63"/>
      <c r="G28" s="509"/>
      <c r="H28" s="63"/>
      <c r="I28" s="63"/>
      <c r="J28" s="63"/>
      <c r="K28" s="63"/>
      <c r="L28" s="63"/>
      <c r="M28" s="63"/>
      <c r="N28" s="63"/>
      <c r="O28" s="63"/>
      <c r="P28" s="63"/>
      <c r="Q28" s="63"/>
      <c r="R28" s="63"/>
      <c r="S28" s="63"/>
      <c r="T28" s="63"/>
      <c r="U28" s="63"/>
      <c r="V28" s="63"/>
      <c r="W28" s="63"/>
      <c r="X28" s="63"/>
      <c r="Y28" s="63"/>
      <c r="Z28" s="63"/>
    </row>
    <row r="29" spans="1:26" ht="11.25" customHeight="1">
      <c r="A29" s="63"/>
      <c r="B29" s="72" t="s">
        <v>209</v>
      </c>
      <c r="C29" s="73"/>
      <c r="D29" s="74"/>
      <c r="E29" s="75"/>
      <c r="F29" s="63"/>
      <c r="G29" s="509"/>
      <c r="H29" s="63"/>
      <c r="I29" s="63"/>
      <c r="J29" s="63"/>
      <c r="K29" s="63"/>
      <c r="L29" s="63"/>
      <c r="M29" s="63"/>
      <c r="N29" s="63"/>
      <c r="O29" s="63"/>
      <c r="P29" s="63"/>
      <c r="Q29" s="63"/>
      <c r="R29" s="63"/>
      <c r="S29" s="63"/>
      <c r="T29" s="63"/>
      <c r="U29" s="63"/>
      <c r="V29" s="63"/>
      <c r="W29" s="63"/>
      <c r="X29" s="63"/>
      <c r="Y29" s="63"/>
      <c r="Z29" s="63"/>
    </row>
    <row r="30" spans="1:26" ht="11.25" customHeight="1">
      <c r="A30" s="63"/>
      <c r="B30" s="77" t="str">
        <f>B16</f>
        <v>Aardgas</v>
      </c>
      <c r="C30" s="92">
        <f>IF(ISERROR(C26/C16),"",C26/C16)</f>
        <v>0</v>
      </c>
      <c r="D30" s="79" t="str">
        <f>IF(ISERROR("€" &amp;" / "&amp;VLOOKUP(B30,Energiedragers_tabel,2,FALSE)),"","€" &amp;" / "&amp;VLOOKUP(B30,Energiedragers_tabel,2,FALSE))</f>
        <v>€ / m3</v>
      </c>
      <c r="E30" s="68"/>
      <c r="F30" s="63"/>
      <c r="G30" s="509"/>
      <c r="H30" s="63"/>
      <c r="I30" s="63"/>
      <c r="J30" s="63"/>
      <c r="K30" s="63"/>
      <c r="L30" s="63"/>
      <c r="M30" s="63"/>
      <c r="N30" s="63"/>
      <c r="O30" s="63"/>
      <c r="P30" s="63"/>
      <c r="Q30" s="63"/>
      <c r="R30" s="63"/>
      <c r="S30" s="63"/>
      <c r="T30" s="63"/>
      <c r="U30" s="63"/>
      <c r="V30" s="63"/>
      <c r="W30" s="63"/>
      <c r="X30" s="63"/>
      <c r="Y30" s="63"/>
      <c r="Z30" s="63"/>
    </row>
    <row r="31" spans="1:26" ht="11.25" customHeight="1">
      <c r="A31" s="63"/>
      <c r="B31" s="93" t="str">
        <f>B18</f>
        <v>Elektriciteit</v>
      </c>
      <c r="C31" s="94">
        <f>IF(ISERROR(C27/C18),"",C27/C18)</f>
        <v>0</v>
      </c>
      <c r="D31" s="95" t="str">
        <f>IF(ISERROR("€" &amp;" / "&amp;VLOOKUP(B31,Energiedragers_tabel,2,FALSE)),"","€" &amp;" / "&amp;VLOOKUP(B31,Energiedragers_tabel,2,FALSE))</f>
        <v>€ / kWh</v>
      </c>
      <c r="E31" s="96"/>
      <c r="F31" s="63"/>
      <c r="G31" s="509"/>
      <c r="H31" s="63"/>
      <c r="I31" s="63"/>
      <c r="J31" s="63"/>
      <c r="K31" s="63"/>
      <c r="L31" s="63"/>
      <c r="M31" s="63"/>
      <c r="N31" s="63"/>
      <c r="O31" s="63"/>
      <c r="P31" s="63"/>
      <c r="Q31" s="63"/>
      <c r="R31" s="63"/>
      <c r="S31" s="63"/>
      <c r="T31" s="63"/>
      <c r="U31" s="63"/>
      <c r="V31" s="63"/>
      <c r="W31" s="63"/>
      <c r="X31" s="63"/>
      <c r="Y31" s="63"/>
      <c r="Z31" s="63"/>
    </row>
    <row r="32" spans="1:26" ht="11.25" customHeight="1">
      <c r="A32" s="63"/>
      <c r="B32" s="97" t="s">
        <v>210</v>
      </c>
      <c r="C32" s="98"/>
      <c r="D32" s="99"/>
      <c r="E32" s="100"/>
      <c r="F32" s="63"/>
      <c r="G32" s="509"/>
      <c r="H32" s="63"/>
      <c r="I32" s="63"/>
      <c r="J32" s="63"/>
      <c r="K32" s="63"/>
      <c r="L32" s="63"/>
      <c r="M32" s="63"/>
      <c r="N32" s="63"/>
      <c r="O32" s="63"/>
      <c r="P32" s="63"/>
      <c r="Q32" s="63"/>
      <c r="R32" s="63"/>
      <c r="S32" s="63"/>
      <c r="T32" s="63"/>
      <c r="U32" s="63"/>
      <c r="V32" s="63"/>
      <c r="W32" s="63"/>
      <c r="X32" s="63"/>
      <c r="Y32" s="63"/>
      <c r="Z32" s="63"/>
    </row>
    <row r="33" spans="1:26" ht="11.25" customHeight="1">
      <c r="A33" s="63"/>
      <c r="B33" s="77" t="str">
        <f>B16</f>
        <v>Aardgas</v>
      </c>
      <c r="C33" s="101">
        <f t="shared" ref="C33:C34" si="3">C30</f>
        <v>0</v>
      </c>
      <c r="D33" s="79" t="str">
        <f>IF(ISERROR("€" &amp;" / "&amp;VLOOKUP(B33,Energiedragers_tabel,2,FALSE)),"","€" &amp;" / "&amp;VLOOKUP(B33,Energiedragers_tabel,2,FALSE))</f>
        <v>€ / m3</v>
      </c>
      <c r="E33" s="80"/>
      <c r="F33" s="63"/>
      <c r="G33" s="509"/>
      <c r="H33" s="63"/>
      <c r="I33" s="63"/>
      <c r="J33" s="63"/>
      <c r="K33" s="63"/>
      <c r="L33" s="63"/>
      <c r="M33" s="63"/>
      <c r="N33" s="63"/>
      <c r="O33" s="63"/>
      <c r="P33" s="63"/>
      <c r="Q33" s="63"/>
      <c r="R33" s="63"/>
      <c r="S33" s="63"/>
      <c r="T33" s="63"/>
      <c r="U33" s="63"/>
      <c r="V33" s="63"/>
      <c r="W33" s="63"/>
      <c r="X33" s="63"/>
      <c r="Y33" s="63"/>
      <c r="Z33" s="63"/>
    </row>
    <row r="34" spans="1:26" ht="11.25" customHeight="1">
      <c r="A34" s="63"/>
      <c r="B34" s="93" t="str">
        <f>B18</f>
        <v>Elektriciteit</v>
      </c>
      <c r="C34" s="102">
        <f t="shared" si="3"/>
        <v>0</v>
      </c>
      <c r="D34" s="95" t="str">
        <f>IF(ISERROR("€" &amp;" / "&amp;VLOOKUP(B34,Energiedragers_tabel,2,FALSE)),"","€" &amp;" / "&amp;VLOOKUP(B34,Energiedragers_tabel,2,FALSE))</f>
        <v>€ / kWh</v>
      </c>
      <c r="E34" s="80"/>
      <c r="F34" s="63"/>
      <c r="G34" s="509"/>
      <c r="H34" s="63"/>
      <c r="I34" s="63"/>
      <c r="J34" s="63"/>
      <c r="K34" s="63"/>
      <c r="L34" s="63"/>
      <c r="M34" s="63"/>
      <c r="N34" s="63"/>
      <c r="O34" s="63"/>
      <c r="P34" s="63"/>
      <c r="Q34" s="63"/>
      <c r="R34" s="63"/>
      <c r="S34" s="63"/>
      <c r="T34" s="63"/>
      <c r="U34" s="63"/>
      <c r="V34" s="63"/>
      <c r="W34" s="63"/>
      <c r="X34" s="63"/>
      <c r="Y34" s="63"/>
      <c r="Z34" s="63"/>
    </row>
    <row r="35" spans="1:26" ht="11.25" customHeight="1">
      <c r="A35" s="63"/>
      <c r="B35" s="97" t="s">
        <v>211</v>
      </c>
      <c r="C35" s="98"/>
      <c r="D35" s="99"/>
      <c r="E35" s="100"/>
      <c r="F35" s="63"/>
      <c r="G35" s="509"/>
      <c r="H35" s="63"/>
      <c r="I35" s="63"/>
      <c r="J35" s="63"/>
      <c r="K35" s="63"/>
      <c r="L35" s="63"/>
      <c r="M35" s="63"/>
      <c r="N35" s="63"/>
      <c r="O35" s="63"/>
      <c r="P35" s="63"/>
      <c r="Q35" s="63"/>
      <c r="R35" s="63"/>
      <c r="S35" s="63"/>
      <c r="T35" s="63"/>
      <c r="U35" s="63"/>
      <c r="V35" s="63"/>
      <c r="W35" s="63"/>
      <c r="X35" s="63"/>
      <c r="Y35" s="63"/>
      <c r="Z35" s="63"/>
    </row>
    <row r="36" spans="1:26" ht="11.25" customHeight="1">
      <c r="A36" s="63"/>
      <c r="B36" s="103" t="s">
        <v>212</v>
      </c>
      <c r="C36" s="104">
        <f>Invloedsfactoren!C19</f>
        <v>0</v>
      </c>
      <c r="D36" s="79" t="str">
        <f t="shared" ref="D36:D49" si="4">"ton / a"</f>
        <v>ton / a</v>
      </c>
      <c r="E36" s="80"/>
      <c r="F36" s="63"/>
      <c r="G36" s="105"/>
      <c r="H36" s="63"/>
      <c r="I36" s="63"/>
      <c r="J36" s="63"/>
      <c r="K36" s="63"/>
      <c r="L36" s="63"/>
      <c r="M36" s="63"/>
      <c r="N36" s="63"/>
      <c r="O36" s="63"/>
      <c r="P36" s="63"/>
      <c r="Q36" s="63"/>
      <c r="R36" s="63"/>
      <c r="S36" s="63"/>
      <c r="T36" s="63"/>
      <c r="U36" s="63"/>
      <c r="V36" s="63"/>
      <c r="W36" s="63"/>
      <c r="X36" s="63"/>
      <c r="Y36" s="63"/>
      <c r="Z36" s="63"/>
    </row>
    <row r="37" spans="1:26" ht="11.25" customHeight="1">
      <c r="A37" s="63"/>
      <c r="B37" s="103" t="s">
        <v>213</v>
      </c>
      <c r="C37" s="104">
        <f>Invloedsfactoren!C20</f>
        <v>0</v>
      </c>
      <c r="D37" s="79" t="str">
        <f t="shared" si="4"/>
        <v>ton / a</v>
      </c>
      <c r="E37" s="80"/>
      <c r="F37" s="63"/>
      <c r="G37" s="509"/>
      <c r="H37" s="63"/>
      <c r="I37" s="63"/>
      <c r="J37" s="63"/>
      <c r="K37" s="63"/>
      <c r="L37" s="63"/>
      <c r="M37" s="63"/>
      <c r="N37" s="63"/>
      <c r="O37" s="63"/>
      <c r="P37" s="63"/>
      <c r="Q37" s="63"/>
      <c r="R37" s="63"/>
      <c r="S37" s="63"/>
      <c r="T37" s="63"/>
      <c r="U37" s="63"/>
      <c r="V37" s="63"/>
      <c r="W37" s="63"/>
      <c r="X37" s="63"/>
      <c r="Y37" s="63"/>
      <c r="Z37" s="63"/>
    </row>
    <row r="38" spans="1:26" ht="11.25" customHeight="1">
      <c r="A38" s="63"/>
      <c r="B38" s="103" t="s">
        <v>214</v>
      </c>
      <c r="C38" s="104">
        <f>Invloedsfactoren!C21</f>
        <v>0</v>
      </c>
      <c r="D38" s="79" t="str">
        <f t="shared" si="4"/>
        <v>ton / a</v>
      </c>
      <c r="E38" s="80"/>
      <c r="F38" s="63"/>
      <c r="G38" s="509"/>
      <c r="H38" s="63"/>
      <c r="I38" s="63"/>
      <c r="J38" s="63"/>
      <c r="K38" s="63"/>
      <c r="L38" s="63"/>
      <c r="M38" s="63"/>
      <c r="N38" s="63"/>
      <c r="O38" s="63"/>
      <c r="P38" s="63"/>
      <c r="Q38" s="63"/>
      <c r="R38" s="63"/>
      <c r="S38" s="63"/>
      <c r="T38" s="63"/>
      <c r="U38" s="63"/>
      <c r="V38" s="63"/>
      <c r="W38" s="63"/>
      <c r="X38" s="63"/>
      <c r="Y38" s="63"/>
      <c r="Z38" s="63"/>
    </row>
    <row r="39" spans="1:26" ht="11.25" customHeight="1">
      <c r="A39" s="63"/>
      <c r="B39" s="103" t="s">
        <v>215</v>
      </c>
      <c r="C39" s="104">
        <f>Invloedsfactoren!C22</f>
        <v>0</v>
      </c>
      <c r="D39" s="79" t="str">
        <f t="shared" si="4"/>
        <v>ton / a</v>
      </c>
      <c r="E39" s="80"/>
      <c r="F39" s="63"/>
      <c r="G39" s="509"/>
      <c r="H39" s="63"/>
      <c r="I39" s="63"/>
      <c r="J39" s="63"/>
      <c r="K39" s="63"/>
      <c r="L39" s="63"/>
      <c r="M39" s="63"/>
      <c r="N39" s="63"/>
      <c r="O39" s="63"/>
      <c r="P39" s="63"/>
      <c r="Q39" s="63"/>
      <c r="R39" s="63"/>
      <c r="S39" s="63"/>
      <c r="T39" s="63"/>
      <c r="U39" s="63"/>
      <c r="V39" s="63"/>
      <c r="W39" s="63"/>
      <c r="X39" s="63"/>
      <c r="Y39" s="63"/>
      <c r="Z39" s="63"/>
    </row>
    <row r="40" spans="1:26" ht="11.25" customHeight="1">
      <c r="A40" s="63"/>
      <c r="B40" s="103" t="s">
        <v>216</v>
      </c>
      <c r="C40" s="104">
        <f>Invloedsfactoren!C23</f>
        <v>32653.200000000001</v>
      </c>
      <c r="D40" s="79" t="str">
        <f t="shared" si="4"/>
        <v>ton / a</v>
      </c>
      <c r="E40" s="80"/>
      <c r="F40" s="63"/>
      <c r="G40" s="509"/>
      <c r="H40" s="63"/>
      <c r="I40" s="63"/>
      <c r="J40" s="63"/>
      <c r="K40" s="63"/>
      <c r="L40" s="63"/>
      <c r="M40" s="63"/>
      <c r="N40" s="63"/>
      <c r="O40" s="63"/>
      <c r="P40" s="63"/>
      <c r="Q40" s="63"/>
      <c r="R40" s="63"/>
      <c r="S40" s="63"/>
      <c r="T40" s="63"/>
      <c r="U40" s="63"/>
      <c r="V40" s="63"/>
      <c r="W40" s="63"/>
      <c r="X40" s="63"/>
      <c r="Y40" s="63"/>
      <c r="Z40" s="63"/>
    </row>
    <row r="41" spans="1:26" ht="11.25" customHeight="1">
      <c r="A41" s="63"/>
      <c r="B41" s="103" t="s">
        <v>217</v>
      </c>
      <c r="C41" s="104">
        <f>Invloedsfactoren!C24</f>
        <v>4761.8</v>
      </c>
      <c r="D41" s="79" t="str">
        <f t="shared" si="4"/>
        <v>ton / a</v>
      </c>
      <c r="E41" s="80"/>
      <c r="F41" s="63"/>
      <c r="G41" s="81"/>
      <c r="H41" s="63"/>
      <c r="I41" s="63"/>
      <c r="J41" s="63"/>
      <c r="K41" s="63"/>
      <c r="L41" s="63"/>
      <c r="M41" s="63"/>
      <c r="N41" s="63"/>
      <c r="O41" s="63"/>
      <c r="P41" s="63"/>
      <c r="Q41" s="63"/>
      <c r="R41" s="63"/>
      <c r="S41" s="63"/>
      <c r="T41" s="63"/>
      <c r="U41" s="63"/>
      <c r="V41" s="63"/>
      <c r="W41" s="63"/>
      <c r="X41" s="63"/>
      <c r="Y41" s="63"/>
      <c r="Z41" s="63"/>
    </row>
    <row r="42" spans="1:26" ht="11.25" customHeight="1">
      <c r="A42" s="63"/>
      <c r="B42" s="103" t="s">
        <v>218</v>
      </c>
      <c r="C42" s="104">
        <f>Invloedsfactoren!C25</f>
        <v>0</v>
      </c>
      <c r="D42" s="79" t="str">
        <f t="shared" si="4"/>
        <v>ton / a</v>
      </c>
      <c r="E42" s="80"/>
      <c r="F42" s="63"/>
      <c r="G42" s="91"/>
      <c r="H42" s="63"/>
      <c r="I42" s="63"/>
      <c r="J42" s="63"/>
      <c r="K42" s="63"/>
      <c r="L42" s="63"/>
      <c r="M42" s="63"/>
      <c r="N42" s="63"/>
      <c r="O42" s="63"/>
      <c r="P42" s="63"/>
      <c r="Q42" s="63"/>
      <c r="R42" s="63"/>
      <c r="S42" s="63"/>
      <c r="T42" s="63"/>
      <c r="U42" s="63"/>
      <c r="V42" s="63"/>
      <c r="W42" s="63"/>
      <c r="X42" s="63"/>
      <c r="Y42" s="63"/>
      <c r="Z42" s="63"/>
    </row>
    <row r="43" spans="1:26" ht="11.25" customHeight="1">
      <c r="A43" s="63"/>
      <c r="B43" s="103" t="s">
        <v>219</v>
      </c>
      <c r="C43" s="104">
        <f>Invloedsfactoren!C26</f>
        <v>0</v>
      </c>
      <c r="D43" s="79" t="str">
        <f t="shared" si="4"/>
        <v>ton / a</v>
      </c>
      <c r="E43" s="80"/>
      <c r="F43" s="63"/>
      <c r="G43" s="509"/>
      <c r="H43" s="63"/>
      <c r="I43" s="63"/>
      <c r="J43" s="63"/>
      <c r="K43" s="63"/>
      <c r="L43" s="63"/>
      <c r="M43" s="63"/>
      <c r="N43" s="63"/>
      <c r="O43" s="63"/>
      <c r="P43" s="63"/>
      <c r="Q43" s="63"/>
      <c r="R43" s="63"/>
      <c r="S43" s="63"/>
      <c r="T43" s="63"/>
      <c r="U43" s="63"/>
      <c r="V43" s="63"/>
      <c r="W43" s="63"/>
      <c r="X43" s="63"/>
      <c r="Y43" s="63"/>
      <c r="Z43" s="63"/>
    </row>
    <row r="44" spans="1:26" ht="11.25" customHeight="1">
      <c r="A44" s="63"/>
      <c r="B44" s="103" t="s">
        <v>1366</v>
      </c>
      <c r="C44" s="104">
        <f>Invloedsfactoren!C27</f>
        <v>131632.6</v>
      </c>
      <c r="D44" s="79" t="str">
        <f t="shared" si="4"/>
        <v>ton / a</v>
      </c>
      <c r="E44" s="106"/>
      <c r="F44" s="63"/>
      <c r="G44" s="509"/>
      <c r="H44" s="63"/>
      <c r="I44" s="63"/>
      <c r="J44" s="63"/>
      <c r="K44" s="63"/>
      <c r="L44" s="63"/>
      <c r="M44" s="63"/>
      <c r="N44" s="63"/>
      <c r="O44" s="63"/>
      <c r="P44" s="63"/>
      <c r="Q44" s="63"/>
      <c r="R44" s="63"/>
      <c r="S44" s="63"/>
      <c r="T44" s="63"/>
      <c r="U44" s="63"/>
      <c r="V44" s="63"/>
      <c r="W44" s="63"/>
      <c r="X44" s="63"/>
      <c r="Y44" s="63"/>
      <c r="Z44" s="63"/>
    </row>
    <row r="45" spans="1:26" ht="11.25" customHeight="1">
      <c r="A45" s="63"/>
      <c r="B45" s="103" t="s">
        <v>1367</v>
      </c>
      <c r="C45" s="104">
        <f>Invloedsfactoren!C28</f>
        <v>24830.1</v>
      </c>
      <c r="D45" s="79" t="str">
        <f t="shared" si="4"/>
        <v>ton / a</v>
      </c>
      <c r="E45" s="80"/>
      <c r="F45" s="63"/>
      <c r="G45" s="509"/>
      <c r="H45" s="63"/>
      <c r="I45" s="63"/>
      <c r="J45" s="63"/>
      <c r="K45" s="63"/>
      <c r="L45" s="63"/>
      <c r="M45" s="63"/>
      <c r="N45" s="63"/>
      <c r="O45" s="63"/>
      <c r="P45" s="63"/>
      <c r="Q45" s="63"/>
      <c r="R45" s="63"/>
      <c r="S45" s="63"/>
      <c r="T45" s="63"/>
      <c r="U45" s="63"/>
      <c r="V45" s="63"/>
      <c r="W45" s="63"/>
      <c r="X45" s="63"/>
      <c r="Y45" s="63"/>
      <c r="Z45" s="63"/>
    </row>
    <row r="46" spans="1:26" ht="11.25" customHeight="1">
      <c r="A46" s="63"/>
      <c r="B46" s="64" t="s">
        <v>1399</v>
      </c>
      <c r="C46" s="582">
        <f>Invloedsfactoren!C29</f>
        <v>0</v>
      </c>
      <c r="D46" s="79" t="str">
        <f t="shared" si="4"/>
        <v>ton / a</v>
      </c>
      <c r="E46" s="583"/>
      <c r="F46" s="63"/>
      <c r="G46" s="509"/>
      <c r="H46" s="63"/>
      <c r="I46" s="63"/>
      <c r="J46" s="63"/>
      <c r="K46" s="63"/>
      <c r="L46" s="63"/>
      <c r="M46" s="63"/>
      <c r="N46" s="63"/>
      <c r="O46" s="63"/>
      <c r="P46" s="63"/>
      <c r="Q46" s="63"/>
      <c r="R46" s="63"/>
      <c r="S46" s="63"/>
      <c r="T46" s="63"/>
      <c r="U46" s="63"/>
      <c r="V46" s="63"/>
      <c r="W46" s="63"/>
      <c r="X46" s="63"/>
      <c r="Y46" s="63"/>
      <c r="Z46" s="63"/>
    </row>
    <row r="47" spans="1:26" ht="11.25" customHeight="1">
      <c r="A47" s="63"/>
      <c r="B47" s="64" t="s">
        <v>1412</v>
      </c>
      <c r="C47" s="582">
        <f>Invloedsfactoren!C30</f>
        <v>0</v>
      </c>
      <c r="D47" s="79" t="str">
        <f t="shared" si="4"/>
        <v>ton / a</v>
      </c>
      <c r="E47" s="583"/>
      <c r="F47" s="63"/>
      <c r="G47" s="509"/>
      <c r="H47" s="63"/>
      <c r="I47" s="63"/>
      <c r="J47" s="63"/>
      <c r="K47" s="63"/>
      <c r="L47" s="63"/>
      <c r="M47" s="63"/>
      <c r="N47" s="63"/>
      <c r="O47" s="63"/>
      <c r="P47" s="63"/>
      <c r="Q47" s="63"/>
      <c r="R47" s="63"/>
      <c r="S47" s="63"/>
      <c r="T47" s="63"/>
      <c r="U47" s="63"/>
      <c r="V47" s="63"/>
      <c r="W47" s="63"/>
      <c r="X47" s="63"/>
      <c r="Y47" s="63"/>
      <c r="Z47" s="63"/>
    </row>
    <row r="48" spans="1:26" ht="11.25" customHeight="1">
      <c r="A48" s="63"/>
      <c r="B48" s="64" t="s">
        <v>1400</v>
      </c>
      <c r="C48" s="582">
        <f>Invloedsfactoren!C31</f>
        <v>0</v>
      </c>
      <c r="D48" s="79" t="str">
        <f t="shared" si="4"/>
        <v>ton / a</v>
      </c>
      <c r="E48" s="583"/>
      <c r="F48" s="63"/>
      <c r="G48" s="509"/>
      <c r="H48" s="63"/>
      <c r="I48" s="63"/>
      <c r="J48" s="63"/>
      <c r="K48" s="63"/>
      <c r="L48" s="63"/>
      <c r="M48" s="63"/>
      <c r="N48" s="63"/>
      <c r="O48" s="63"/>
      <c r="P48" s="63"/>
      <c r="Q48" s="63"/>
      <c r="R48" s="63"/>
      <c r="S48" s="63"/>
      <c r="T48" s="63"/>
      <c r="U48" s="63"/>
      <c r="V48" s="63"/>
      <c r="W48" s="63"/>
      <c r="X48" s="63"/>
      <c r="Y48" s="63"/>
      <c r="Z48" s="63"/>
    </row>
    <row r="49" spans="1:26" ht="11.25" customHeight="1">
      <c r="A49" s="63"/>
      <c r="B49" s="69" t="s">
        <v>221</v>
      </c>
      <c r="C49" s="107">
        <f>SUM(C36:C45)</f>
        <v>193877.7</v>
      </c>
      <c r="D49" s="108" t="str">
        <f t="shared" si="4"/>
        <v>ton / a</v>
      </c>
      <c r="E49" s="100"/>
      <c r="F49" s="63"/>
      <c r="G49" s="81"/>
      <c r="H49" s="63"/>
      <c r="I49" s="63"/>
      <c r="J49" s="63"/>
      <c r="K49" s="63"/>
      <c r="L49" s="63"/>
      <c r="M49" s="63"/>
      <c r="N49" s="63"/>
      <c r="O49" s="63"/>
      <c r="P49" s="63"/>
      <c r="Q49" s="63"/>
      <c r="R49" s="63"/>
      <c r="S49" s="63"/>
      <c r="T49" s="63"/>
      <c r="U49" s="63"/>
      <c r="V49" s="63"/>
      <c r="W49" s="63"/>
      <c r="X49" s="63"/>
      <c r="Y49" s="63"/>
      <c r="Z49" s="63"/>
    </row>
    <row r="50" spans="1:26" ht="11.25" customHeight="1">
      <c r="A50" s="63"/>
      <c r="B50" s="97" t="s">
        <v>222</v>
      </c>
      <c r="C50" s="98"/>
      <c r="D50" s="99"/>
      <c r="E50" s="100"/>
      <c r="F50" s="63"/>
      <c r="G50" s="91"/>
      <c r="H50" s="63"/>
      <c r="I50" s="63"/>
      <c r="J50" s="63"/>
      <c r="K50" s="63"/>
      <c r="L50" s="63"/>
      <c r="M50" s="63"/>
      <c r="N50" s="63"/>
      <c r="O50" s="63"/>
      <c r="P50" s="63"/>
      <c r="Q50" s="63"/>
      <c r="R50" s="63"/>
      <c r="S50" s="63"/>
      <c r="T50" s="63"/>
      <c r="U50" s="63"/>
      <c r="V50" s="63"/>
      <c r="W50" s="63"/>
      <c r="X50" s="63"/>
      <c r="Y50" s="63"/>
      <c r="Z50" s="63"/>
    </row>
    <row r="51" spans="1:26" ht="11.25" customHeight="1">
      <c r="A51" s="63"/>
      <c r="B51" s="64" t="s">
        <v>1394</v>
      </c>
      <c r="C51" s="104">
        <f>SUM(Invloedsfactoren!C19:C23)-SUM(Invloedsfactoren!E19:E23)</f>
        <v>27853.179600000003</v>
      </c>
      <c r="D51" s="79" t="str">
        <f t="shared" ref="D51:D60" si="5">"ton / a"</f>
        <v>ton / a</v>
      </c>
      <c r="E51" s="106"/>
      <c r="F51" s="63"/>
      <c r="G51" s="105"/>
      <c r="H51" s="63"/>
      <c r="I51" s="63"/>
      <c r="J51" s="63"/>
      <c r="K51" s="63"/>
      <c r="L51" s="63"/>
      <c r="M51" s="63"/>
      <c r="N51" s="63"/>
      <c r="O51" s="63"/>
      <c r="P51" s="63"/>
      <c r="Q51" s="63"/>
      <c r="R51" s="63"/>
      <c r="S51" s="63"/>
      <c r="T51" s="63"/>
      <c r="U51" s="63"/>
      <c r="V51" s="63"/>
      <c r="W51" s="63"/>
      <c r="X51" s="63"/>
      <c r="Y51" s="63"/>
      <c r="Z51" s="63"/>
    </row>
    <row r="52" spans="1:26" ht="11.25" customHeight="1">
      <c r="A52" s="63"/>
      <c r="B52" s="64" t="s">
        <v>1395</v>
      </c>
      <c r="C52" s="104">
        <f>SUM(Invloedsfactoren!E19:E28)</f>
        <v>66146.969400000002</v>
      </c>
      <c r="D52" s="79" t="str">
        <f t="shared" si="5"/>
        <v>ton / a</v>
      </c>
      <c r="E52" s="106"/>
      <c r="F52" s="63"/>
      <c r="G52" s="509"/>
      <c r="H52" s="63"/>
      <c r="I52" s="63"/>
      <c r="J52" s="63"/>
      <c r="K52" s="63"/>
      <c r="L52" s="63"/>
      <c r="M52" s="63"/>
      <c r="N52" s="63"/>
      <c r="O52" s="63"/>
      <c r="P52" s="63"/>
      <c r="Q52" s="63"/>
      <c r="R52" s="63"/>
      <c r="S52" s="63"/>
      <c r="T52" s="63"/>
      <c r="U52" s="63"/>
      <c r="V52" s="63"/>
      <c r="W52" s="63"/>
      <c r="X52" s="63"/>
      <c r="Y52" s="63"/>
      <c r="Z52" s="63"/>
    </row>
    <row r="53" spans="1:26" ht="11.25" customHeight="1">
      <c r="A53" s="63"/>
      <c r="B53" s="64" t="s">
        <v>1396</v>
      </c>
      <c r="C53" s="104">
        <f>Invloedsfactoren!C25-Invloedsfactoren!E25</f>
        <v>0</v>
      </c>
      <c r="D53" s="79" t="str">
        <f t="shared" si="5"/>
        <v>ton / a</v>
      </c>
      <c r="E53" s="106"/>
      <c r="F53" s="63"/>
      <c r="G53" s="509"/>
      <c r="H53" s="63"/>
      <c r="I53" s="63"/>
      <c r="J53" s="63"/>
      <c r="K53" s="63"/>
      <c r="L53" s="63"/>
      <c r="M53" s="63"/>
      <c r="N53" s="63"/>
      <c r="O53" s="63"/>
      <c r="P53" s="63"/>
      <c r="Q53" s="63"/>
      <c r="R53" s="63"/>
      <c r="S53" s="63"/>
      <c r="T53" s="63"/>
      <c r="U53" s="63"/>
      <c r="V53" s="63"/>
      <c r="W53" s="63"/>
      <c r="X53" s="63"/>
      <c r="Y53" s="63"/>
      <c r="Z53" s="63"/>
    </row>
    <row r="54" spans="1:26" ht="11.25" customHeight="1">
      <c r="A54" s="63"/>
      <c r="B54" s="64" t="s">
        <v>1397</v>
      </c>
      <c r="C54" s="104">
        <f>Invloedsfactoren!C24-Invloedsfactoren!E24</f>
        <v>4761.8</v>
      </c>
      <c r="D54" s="79" t="str">
        <f t="shared" si="5"/>
        <v>ton / a</v>
      </c>
      <c r="E54" s="106"/>
      <c r="F54" s="63"/>
      <c r="G54" s="509"/>
      <c r="H54" s="63"/>
      <c r="I54" s="63"/>
      <c r="J54" s="63"/>
      <c r="K54" s="63"/>
      <c r="L54" s="63"/>
      <c r="M54" s="63"/>
      <c r="N54" s="63"/>
      <c r="O54" s="63"/>
      <c r="P54" s="63"/>
      <c r="Q54" s="63"/>
      <c r="R54" s="63"/>
      <c r="S54" s="63"/>
      <c r="T54" s="63"/>
      <c r="U54" s="63"/>
      <c r="V54" s="63"/>
      <c r="W54" s="63"/>
      <c r="X54" s="63"/>
      <c r="Y54" s="63"/>
      <c r="Z54" s="63"/>
    </row>
    <row r="55" spans="1:26" ht="11.25" customHeight="1">
      <c r="A55" s="63"/>
      <c r="B55" s="64" t="s">
        <v>1402</v>
      </c>
      <c r="C55" s="104">
        <f>Invloedsfactoren!C27-Invloedsfactoren!E27</f>
        <v>70285.651000000013</v>
      </c>
      <c r="D55" s="79" t="str">
        <f t="shared" si="5"/>
        <v>ton / a</v>
      </c>
      <c r="E55" s="106" t="s">
        <v>220</v>
      </c>
      <c r="F55" s="63"/>
      <c r="G55" s="509"/>
      <c r="H55" s="63"/>
      <c r="I55" s="63"/>
      <c r="J55" s="63"/>
      <c r="K55" s="63"/>
      <c r="L55" s="63"/>
      <c r="M55" s="63"/>
      <c r="N55" s="63"/>
      <c r="O55" s="63"/>
      <c r="P55" s="63"/>
      <c r="Q55" s="63"/>
      <c r="R55" s="63"/>
      <c r="S55" s="63"/>
      <c r="T55" s="63"/>
      <c r="U55" s="63"/>
      <c r="V55" s="63"/>
      <c r="W55" s="63"/>
      <c r="X55" s="63"/>
      <c r="Y55" s="63"/>
      <c r="Z55" s="63"/>
    </row>
    <row r="56" spans="1:26" ht="11.25" customHeight="1">
      <c r="A56" s="63"/>
      <c r="B56" s="64" t="s">
        <v>1398</v>
      </c>
      <c r="C56" s="104">
        <f>Invloedsfactoren!C28-Invloedsfactoren!E28+Invloedsfactoren!C26-Invloedsfactoren!E26</f>
        <v>24830.1</v>
      </c>
      <c r="D56" s="79" t="str">
        <f t="shared" si="5"/>
        <v>ton / a</v>
      </c>
      <c r="E56" s="106"/>
      <c r="F56" s="63"/>
      <c r="G56" s="81"/>
      <c r="K56" s="63"/>
      <c r="L56" s="63"/>
      <c r="M56" s="63"/>
      <c r="N56" s="63"/>
      <c r="O56" s="63"/>
      <c r="P56" s="63"/>
      <c r="Q56" s="63"/>
      <c r="R56" s="63"/>
      <c r="S56" s="63"/>
      <c r="T56" s="63"/>
      <c r="U56" s="63"/>
      <c r="V56" s="63"/>
      <c r="W56" s="63"/>
      <c r="X56" s="63"/>
      <c r="Y56" s="63"/>
      <c r="Z56" s="63"/>
    </row>
    <row r="57" spans="1:26" ht="11.25" customHeight="1">
      <c r="A57" s="63"/>
      <c r="B57" s="64" t="s">
        <v>1399</v>
      </c>
      <c r="C57" s="104">
        <f>Invloedsfactoren!C29-Invloedsfactoren!E29</f>
        <v>0</v>
      </c>
      <c r="D57" s="79" t="str">
        <f t="shared" si="5"/>
        <v>ton / a</v>
      </c>
      <c r="E57" s="575"/>
      <c r="F57" s="63"/>
      <c r="G57" s="81"/>
      <c r="H57" s="63"/>
      <c r="I57" s="63"/>
      <c r="J57" s="63"/>
      <c r="K57" s="63"/>
      <c r="L57" s="63"/>
      <c r="M57" s="63"/>
      <c r="N57" s="63"/>
      <c r="O57" s="63"/>
      <c r="P57" s="63"/>
      <c r="Q57" s="63"/>
      <c r="R57" s="63"/>
      <c r="S57" s="63"/>
      <c r="T57" s="63"/>
      <c r="U57" s="63"/>
      <c r="V57" s="63"/>
      <c r="W57" s="63"/>
      <c r="X57" s="63"/>
      <c r="Y57" s="63"/>
      <c r="Z57" s="63"/>
    </row>
    <row r="58" spans="1:26" ht="11.25" customHeight="1">
      <c r="A58" s="63"/>
      <c r="B58" s="64" t="s">
        <v>1412</v>
      </c>
      <c r="C58" s="574">
        <f>Invloedsfactoren!C30-Invloedsfactoren!E30</f>
        <v>0</v>
      </c>
      <c r="D58" s="79" t="str">
        <f t="shared" si="5"/>
        <v>ton / a</v>
      </c>
      <c r="E58" s="575"/>
      <c r="F58" s="63"/>
      <c r="G58" s="81"/>
      <c r="H58" s="63"/>
      <c r="I58" s="63"/>
      <c r="J58" s="63"/>
      <c r="K58" s="63"/>
      <c r="L58" s="63"/>
      <c r="M58" s="63"/>
      <c r="N58" s="63"/>
      <c r="O58" s="63"/>
      <c r="P58" s="63"/>
      <c r="Q58" s="63"/>
      <c r="R58" s="63"/>
      <c r="S58" s="63"/>
      <c r="T58" s="63"/>
      <c r="U58" s="63"/>
      <c r="V58" s="63"/>
      <c r="W58" s="63"/>
      <c r="X58" s="63"/>
      <c r="Y58" s="63"/>
      <c r="Z58" s="63"/>
    </row>
    <row r="59" spans="1:26" ht="11.25" customHeight="1">
      <c r="A59" s="63"/>
      <c r="B59" s="64" t="s">
        <v>1400</v>
      </c>
      <c r="C59" s="574">
        <f>Invloedsfactoren!C31-Invloedsfactoren!E31</f>
        <v>0</v>
      </c>
      <c r="D59" s="79" t="str">
        <f t="shared" si="5"/>
        <v>ton / a</v>
      </c>
      <c r="E59" s="575"/>
      <c r="F59" s="63"/>
      <c r="G59" s="81"/>
      <c r="H59" s="63"/>
      <c r="I59" s="63"/>
      <c r="J59" s="63"/>
      <c r="K59" s="63"/>
      <c r="L59" s="63"/>
      <c r="M59" s="63"/>
      <c r="N59" s="63"/>
      <c r="O59" s="63"/>
      <c r="P59" s="63"/>
      <c r="Q59" s="63"/>
      <c r="R59" s="63"/>
      <c r="S59" s="63"/>
      <c r="T59" s="63"/>
      <c r="U59" s="63"/>
      <c r="V59" s="63"/>
      <c r="W59" s="63"/>
      <c r="X59" s="63"/>
      <c r="Y59" s="63"/>
      <c r="Z59" s="63"/>
    </row>
    <row r="60" spans="1:26" ht="11.25" customHeight="1">
      <c r="A60" s="63"/>
      <c r="B60" s="64" t="s">
        <v>1401</v>
      </c>
      <c r="C60" s="574">
        <f>SUM(Invloedsfactoren!E29:E31)</f>
        <v>0</v>
      </c>
      <c r="D60" s="79" t="str">
        <f t="shared" si="5"/>
        <v>ton / a</v>
      </c>
      <c r="E60" s="575"/>
      <c r="F60" s="63"/>
      <c r="G60" s="81"/>
      <c r="H60" s="63" t="str">
        <f>Lijsten!A3</f>
        <v>Charge mixing plant</v>
      </c>
      <c r="I60" s="63" t="s">
        <v>1187</v>
      </c>
      <c r="J60" s="63"/>
      <c r="K60" s="63"/>
      <c r="L60" s="63"/>
      <c r="M60" s="63"/>
      <c r="N60" s="63"/>
      <c r="O60" s="63"/>
      <c r="P60" s="63"/>
      <c r="Q60" s="63"/>
      <c r="R60" s="63"/>
      <c r="S60" s="63"/>
      <c r="T60" s="63"/>
      <c r="U60" s="63"/>
      <c r="V60" s="63"/>
      <c r="W60" s="63"/>
      <c r="X60" s="63"/>
      <c r="Y60" s="63"/>
      <c r="Z60" s="63"/>
    </row>
    <row r="61" spans="1:26" ht="11.25" customHeight="1">
      <c r="A61" s="63"/>
      <c r="B61" s="109" t="s">
        <v>223</v>
      </c>
      <c r="C61" s="110">
        <f>SUM(C51:C56)</f>
        <v>193877.70000000004</v>
      </c>
      <c r="D61" s="111" t="s">
        <v>224</v>
      </c>
      <c r="E61" s="96"/>
      <c r="F61" s="63"/>
      <c r="G61" s="63"/>
      <c r="H61" s="63" t="str">
        <f>Lijsten!A4</f>
        <v>Tower installation</v>
      </c>
      <c r="I61" s="63" t="s">
        <v>1194</v>
      </c>
      <c r="J61" s="63"/>
      <c r="K61" s="63"/>
      <c r="L61" s="63"/>
      <c r="M61" s="63"/>
      <c r="N61" s="63"/>
      <c r="O61" s="63"/>
      <c r="P61" s="63"/>
      <c r="Q61" s="63"/>
      <c r="R61" s="63"/>
      <c r="S61" s="63"/>
      <c r="T61" s="63"/>
      <c r="U61" s="63"/>
      <c r="V61" s="63"/>
      <c r="W61" s="63"/>
      <c r="X61" s="63"/>
      <c r="Y61" s="63"/>
      <c r="Z61" s="63"/>
    </row>
    <row r="62" spans="1:26" ht="11.25" customHeight="1">
      <c r="A62" s="63"/>
      <c r="B62" s="72" t="s">
        <v>225</v>
      </c>
      <c r="C62" s="73"/>
      <c r="D62" s="74"/>
      <c r="E62" s="112"/>
      <c r="F62" s="63"/>
      <c r="G62" s="63"/>
      <c r="H62" s="63" t="str">
        <f>Lijsten!A5</f>
        <v>Drum mixer</v>
      </c>
      <c r="I62" s="63" t="s">
        <v>1200</v>
      </c>
      <c r="J62" s="63"/>
      <c r="K62" s="63"/>
      <c r="L62" s="63"/>
      <c r="M62" s="63"/>
      <c r="N62" s="63"/>
      <c r="O62" s="63"/>
      <c r="P62" s="63"/>
      <c r="Q62" s="63"/>
      <c r="R62" s="63"/>
      <c r="S62" s="63"/>
      <c r="T62" s="63"/>
      <c r="U62" s="63"/>
      <c r="V62" s="63"/>
      <c r="W62" s="63"/>
      <c r="X62" s="63"/>
      <c r="Y62" s="63"/>
      <c r="Z62" s="63"/>
    </row>
    <row r="63" spans="1:26" ht="11.25" customHeight="1">
      <c r="A63" s="63"/>
      <c r="B63" s="64" t="s">
        <v>226</v>
      </c>
      <c r="C63" s="113">
        <f>IF(ISERROR(C20*1000000/C61),"",C20*1000000/C61)</f>
        <v>338.27802784951535</v>
      </c>
      <c r="D63" s="79" t="str">
        <f>"MJp / ton"</f>
        <v>MJp / ton</v>
      </c>
      <c r="E63" s="114" t="s">
        <v>227</v>
      </c>
      <c r="F63" s="63"/>
      <c r="G63" s="63"/>
      <c r="H63" s="63"/>
      <c r="I63" s="63"/>
      <c r="J63" s="63"/>
      <c r="K63" s="63"/>
      <c r="L63" s="63"/>
      <c r="M63" s="63"/>
      <c r="N63" s="63"/>
      <c r="O63" s="63"/>
      <c r="P63" s="63"/>
      <c r="Q63" s="63"/>
      <c r="R63" s="63"/>
      <c r="S63" s="63"/>
      <c r="T63" s="63"/>
      <c r="U63" s="63"/>
      <c r="V63" s="63"/>
      <c r="W63" s="63"/>
      <c r="X63" s="63"/>
      <c r="Y63" s="63"/>
      <c r="Z63" s="63"/>
    </row>
    <row r="64" spans="1:26" ht="11.25" customHeight="1">
      <c r="A64" s="63"/>
      <c r="B64" s="65" t="s">
        <v>228</v>
      </c>
      <c r="C64" s="94">
        <f>IF(ISERROR(C63/Energiedragers!D3),"",C63/Energiedragers!D3)</f>
        <v>338.27802784951535</v>
      </c>
      <c r="D64" s="95" t="s">
        <v>229</v>
      </c>
      <c r="E64" s="115" t="s">
        <v>230</v>
      </c>
      <c r="F64" s="63"/>
      <c r="G64" s="116"/>
      <c r="H64" s="63"/>
      <c r="I64" s="63"/>
      <c r="J64" s="63"/>
      <c r="K64" s="63"/>
      <c r="L64" s="63"/>
      <c r="M64" s="63"/>
      <c r="N64" s="63"/>
      <c r="O64" s="63"/>
      <c r="P64" s="63"/>
      <c r="Q64" s="63"/>
      <c r="R64" s="63"/>
      <c r="S64" s="63"/>
      <c r="T64" s="63"/>
      <c r="U64" s="63"/>
      <c r="V64" s="63"/>
      <c r="W64" s="63"/>
      <c r="X64" s="63"/>
      <c r="Y64" s="63"/>
      <c r="Z64" s="63"/>
    </row>
    <row r="65" spans="1:26" ht="11.25" customHeight="1">
      <c r="A65" s="63"/>
      <c r="B65" s="117" t="s">
        <v>231</v>
      </c>
      <c r="C65" s="118">
        <f>IF(ISERROR(C24*1000/C61),"",C24*1000/C61)</f>
        <v>19.560595787756917</v>
      </c>
      <c r="D65" s="119" t="str">
        <f>"kg / ton"</f>
        <v>kg / ton</v>
      </c>
      <c r="E65" s="120" t="s">
        <v>232</v>
      </c>
      <c r="F65" s="63"/>
      <c r="G65" s="63"/>
      <c r="H65" s="63" t="str">
        <f>Lijsten!A8</f>
        <v>Diesel (MJ)</v>
      </c>
      <c r="I65" s="63" t="s">
        <v>202</v>
      </c>
      <c r="J65" s="63"/>
      <c r="K65" s="63"/>
      <c r="L65" s="63"/>
      <c r="M65" s="63"/>
      <c r="N65" s="63"/>
      <c r="O65" s="63"/>
      <c r="P65" s="63"/>
      <c r="Q65" s="63"/>
      <c r="R65" s="63"/>
      <c r="S65" s="63"/>
      <c r="T65" s="63"/>
      <c r="U65" s="63"/>
      <c r="V65" s="63"/>
      <c r="W65" s="63"/>
      <c r="X65" s="63"/>
      <c r="Y65" s="63"/>
      <c r="Z65" s="63"/>
    </row>
    <row r="66" spans="1:26" ht="11.25" customHeight="1">
      <c r="A66" s="63"/>
      <c r="B66" s="72" t="s">
        <v>233</v>
      </c>
      <c r="C66" s="737"/>
      <c r="D66" s="738"/>
      <c r="E66" s="739"/>
      <c r="F66" s="63"/>
      <c r="G66" s="63"/>
      <c r="H66" s="63" t="str">
        <f>Lijsten!A9</f>
        <v>Natural gas (MJ)</v>
      </c>
      <c r="I66" s="63" t="s">
        <v>202</v>
      </c>
      <c r="J66" s="63"/>
      <c r="K66" s="63"/>
      <c r="L66" s="63"/>
      <c r="M66" s="63"/>
      <c r="N66" s="63"/>
      <c r="O66" s="63"/>
      <c r="P66" s="63"/>
      <c r="Q66" s="63"/>
      <c r="R66" s="63"/>
      <c r="S66" s="63"/>
      <c r="T66" s="63"/>
      <c r="U66" s="63"/>
      <c r="V66" s="63"/>
      <c r="W66" s="63"/>
      <c r="X66" s="63"/>
      <c r="Y66" s="63"/>
      <c r="Z66" s="63"/>
    </row>
    <row r="67" spans="1:26" ht="11.25" customHeight="1">
      <c r="A67" s="63"/>
      <c r="B67" s="64" t="s">
        <v>234</v>
      </c>
      <c r="C67" s="740" t="str">
        <f>VLOOKUP(Input!C29,Projectinformatie!$H$60:$I$62,2,FALSE)</f>
        <v>Charge-menginstallatie</v>
      </c>
      <c r="D67" s="733"/>
      <c r="E67" s="121"/>
      <c r="F67" s="63"/>
      <c r="G67" s="63"/>
      <c r="H67" s="63" t="str">
        <f>Lijsten!A10</f>
        <v>LPG (MJ)</v>
      </c>
      <c r="I67" s="63" t="s">
        <v>202</v>
      </c>
      <c r="J67" s="63"/>
      <c r="K67" s="63"/>
      <c r="L67" s="63"/>
      <c r="M67" s="63"/>
      <c r="N67" s="63"/>
      <c r="O67" s="63"/>
      <c r="P67" s="63"/>
      <c r="Q67" s="63"/>
      <c r="R67" s="63"/>
      <c r="S67" s="63"/>
      <c r="T67" s="63"/>
      <c r="U67" s="63"/>
      <c r="V67" s="63"/>
      <c r="W67" s="63"/>
      <c r="X67" s="63"/>
      <c r="Y67" s="63"/>
      <c r="Z67" s="63"/>
    </row>
    <row r="68" spans="1:26" ht="11.25" customHeight="1">
      <c r="A68" s="63"/>
      <c r="B68" s="64" t="s">
        <v>235</v>
      </c>
      <c r="C68" s="740" t="str">
        <f>VLOOKUP(Input!C30,Projectinformatie!$H$65:$I$70,2,FALSE)</f>
        <v>Aardgas</v>
      </c>
      <c r="D68" s="733"/>
      <c r="E68" s="121" t="s">
        <v>236</v>
      </c>
      <c r="F68" s="63"/>
      <c r="H68" s="63" t="str">
        <f>Lijsten!A11</f>
        <v>Kerosene (MJ)</v>
      </c>
      <c r="I68" s="63" t="s">
        <v>202</v>
      </c>
      <c r="J68" s="63"/>
      <c r="K68" s="63"/>
      <c r="L68" s="63"/>
      <c r="M68" s="63"/>
      <c r="N68" s="63"/>
      <c r="O68" s="63"/>
      <c r="P68" s="63"/>
      <c r="Q68" s="63"/>
      <c r="R68" s="63"/>
      <c r="S68" s="63"/>
      <c r="T68" s="63"/>
      <c r="U68" s="63"/>
      <c r="V68" s="63"/>
      <c r="W68" s="63"/>
      <c r="X68" s="63"/>
      <c r="Y68" s="63"/>
      <c r="Z68" s="63"/>
    </row>
    <row r="69" spans="1:26" ht="11.25" customHeight="1">
      <c r="A69" s="63"/>
      <c r="B69" s="64" t="s">
        <v>237</v>
      </c>
      <c r="C69" s="740" t="str">
        <f>VLOOKUP(Input!C31,Projectinformatie!H74:I76,2,FALSE)</f>
        <v>Nee</v>
      </c>
      <c r="D69" s="733"/>
      <c r="E69" s="121"/>
      <c r="F69" s="63"/>
      <c r="H69" s="63" t="str">
        <f>Lijsten!A12</f>
        <v>Recovered Fuel Oil (MJ)</v>
      </c>
      <c r="I69" s="63" t="s">
        <v>202</v>
      </c>
      <c r="J69" s="63"/>
      <c r="K69" s="63"/>
      <c r="L69" s="63"/>
      <c r="M69" s="63"/>
      <c r="N69" s="63"/>
      <c r="O69" s="63"/>
      <c r="P69" s="63"/>
      <c r="Q69" s="63"/>
      <c r="R69" s="63"/>
      <c r="S69" s="63"/>
      <c r="T69" s="63"/>
      <c r="U69" s="63"/>
      <c r="V69" s="63"/>
      <c r="W69" s="63"/>
      <c r="X69" s="63"/>
      <c r="Y69" s="63"/>
      <c r="Z69" s="63"/>
    </row>
    <row r="70" spans="1:26" ht="11.25" customHeight="1">
      <c r="A70" s="63"/>
      <c r="B70" s="64" t="s">
        <v>238</v>
      </c>
      <c r="C70" s="122"/>
      <c r="D70" s="79" t="str">
        <f>"h / a"</f>
        <v>h / a</v>
      </c>
      <c r="E70" s="106"/>
      <c r="F70" s="63"/>
      <c r="H70" s="63" t="str">
        <f>Lijsten!A13</f>
        <v>Heavy Fuel Oil (MJ)</v>
      </c>
      <c r="I70" s="63" t="s">
        <v>202</v>
      </c>
      <c r="J70" s="63"/>
      <c r="K70" s="63"/>
      <c r="L70" s="63"/>
      <c r="M70" s="63"/>
      <c r="N70" s="63"/>
      <c r="O70" s="63"/>
      <c r="P70" s="63"/>
      <c r="Q70" s="63"/>
      <c r="R70" s="63"/>
      <c r="S70" s="63"/>
      <c r="T70" s="63"/>
      <c r="U70" s="63"/>
      <c r="V70" s="63"/>
      <c r="W70" s="63"/>
      <c r="X70" s="63"/>
      <c r="Y70" s="63"/>
      <c r="Z70" s="63"/>
    </row>
    <row r="71" spans="1:26" ht="11.25" customHeight="1">
      <c r="A71" s="63"/>
      <c r="B71" s="123"/>
      <c r="C71" s="124"/>
      <c r="D71" s="79"/>
      <c r="E71" s="68"/>
      <c r="F71" s="63"/>
      <c r="G71" s="63"/>
      <c r="H71" s="63"/>
      <c r="J71" s="63"/>
      <c r="K71" s="63"/>
      <c r="L71" s="63"/>
      <c r="M71" s="63"/>
      <c r="N71" s="63"/>
      <c r="O71" s="63"/>
      <c r="P71" s="63"/>
      <c r="Q71" s="63"/>
      <c r="R71" s="63"/>
      <c r="S71" s="63"/>
      <c r="T71" s="63"/>
      <c r="U71" s="63"/>
      <c r="V71" s="63"/>
      <c r="W71" s="63"/>
      <c r="X71" s="63"/>
      <c r="Y71" s="63"/>
      <c r="Z71" s="63"/>
    </row>
    <row r="72" spans="1:26" ht="11.25" customHeight="1">
      <c r="A72" s="63"/>
      <c r="B72" s="125" t="s">
        <v>239</v>
      </c>
      <c r="C72" s="126"/>
      <c r="D72" s="119"/>
      <c r="E72" s="127"/>
      <c r="F72" s="63"/>
      <c r="G72" s="63"/>
      <c r="H72" s="63"/>
      <c r="I72" s="63"/>
      <c r="J72" s="63"/>
      <c r="K72" s="63"/>
      <c r="L72" s="63"/>
      <c r="M72" s="63"/>
      <c r="N72" s="63"/>
      <c r="O72" s="63"/>
      <c r="P72" s="63"/>
      <c r="Q72" s="63"/>
      <c r="R72" s="63"/>
      <c r="S72" s="63"/>
      <c r="T72" s="63"/>
      <c r="U72" s="63"/>
      <c r="V72" s="63"/>
      <c r="W72" s="63"/>
      <c r="X72" s="63"/>
      <c r="Y72" s="63"/>
      <c r="Z72" s="63"/>
    </row>
    <row r="73" spans="1:26" ht="11.25" customHeight="1" outlineLevel="1">
      <c r="A73" s="63"/>
      <c r="B73" s="103" t="s">
        <v>240</v>
      </c>
      <c r="C73" s="128">
        <f>Input!C55</f>
        <v>0.03</v>
      </c>
      <c r="D73" s="129" t="s">
        <v>241</v>
      </c>
      <c r="E73" s="130" t="s">
        <v>242</v>
      </c>
      <c r="F73" s="63"/>
      <c r="G73" s="131"/>
      <c r="H73" s="131"/>
      <c r="I73" s="63"/>
      <c r="J73" s="63"/>
      <c r="K73" s="63"/>
      <c r="L73" s="63"/>
      <c r="M73" s="63"/>
      <c r="N73" s="63"/>
      <c r="O73" s="63"/>
      <c r="P73" s="63"/>
      <c r="Q73" s="63"/>
      <c r="R73" s="63"/>
      <c r="S73" s="63"/>
      <c r="T73" s="63"/>
      <c r="U73" s="63"/>
      <c r="V73" s="63"/>
      <c r="W73" s="63"/>
      <c r="X73" s="63"/>
      <c r="Y73" s="63"/>
      <c r="Z73" s="63"/>
    </row>
    <row r="74" spans="1:26" ht="11.25" customHeight="1" outlineLevel="1">
      <c r="A74" s="63"/>
      <c r="B74" s="64" t="s">
        <v>243</v>
      </c>
      <c r="C74" s="128">
        <f>Input!C56</f>
        <v>0.06</v>
      </c>
      <c r="D74" s="79" t="s">
        <v>241</v>
      </c>
      <c r="E74" s="130" t="s">
        <v>242</v>
      </c>
      <c r="F74" s="63"/>
      <c r="G74" s="131"/>
      <c r="H74" s="63" t="str">
        <f>Lijsten!A16</f>
        <v>Yes</v>
      </c>
      <c r="I74" s="63" t="s">
        <v>1219</v>
      </c>
      <c r="J74" s="63"/>
      <c r="K74" s="63"/>
      <c r="L74" s="63"/>
      <c r="M74" s="63"/>
      <c r="N74" s="63"/>
      <c r="O74" s="63"/>
      <c r="P74" s="63"/>
      <c r="Q74" s="63"/>
      <c r="R74" s="63"/>
      <c r="S74" s="63"/>
      <c r="T74" s="63"/>
      <c r="U74" s="63"/>
      <c r="V74" s="63"/>
      <c r="W74" s="63"/>
      <c r="X74" s="63"/>
      <c r="Y74" s="63"/>
      <c r="Z74" s="63"/>
    </row>
    <row r="75" spans="1:26" ht="11.25" customHeight="1" outlineLevel="1">
      <c r="A75" s="63"/>
      <c r="B75" s="64" t="s">
        <v>244</v>
      </c>
      <c r="C75" s="128">
        <f>Input!C57</f>
        <v>4.4999999999999998E-2</v>
      </c>
      <c r="D75" s="79" t="s">
        <v>241</v>
      </c>
      <c r="E75" s="130" t="s">
        <v>242</v>
      </c>
      <c r="F75" s="63"/>
      <c r="G75" s="132" t="s">
        <v>245</v>
      </c>
      <c r="H75" s="63" t="str">
        <f>Lijsten!A17</f>
        <v>No</v>
      </c>
      <c r="I75" s="63" t="s">
        <v>1224</v>
      </c>
      <c r="J75" s="63"/>
      <c r="K75" s="63"/>
      <c r="L75" s="63"/>
      <c r="M75" s="63"/>
      <c r="N75" s="63"/>
      <c r="O75" s="63"/>
      <c r="P75" s="63"/>
      <c r="Q75" s="63"/>
      <c r="R75" s="63"/>
      <c r="S75" s="63"/>
      <c r="T75" s="63"/>
      <c r="U75" s="63"/>
      <c r="V75" s="63"/>
      <c r="W75" s="63"/>
      <c r="X75" s="63"/>
      <c r="Y75" s="63"/>
      <c r="Z75" s="63"/>
    </row>
    <row r="76" spans="1:26" ht="11.25" customHeight="1" outlineLevel="1">
      <c r="A76" s="63"/>
      <c r="B76" s="64" t="s">
        <v>246</v>
      </c>
      <c r="C76" s="128">
        <f>Input!C58</f>
        <v>3.5000000000000003E-2</v>
      </c>
      <c r="D76" s="79" t="s">
        <v>241</v>
      </c>
      <c r="E76" s="130" t="s">
        <v>242</v>
      </c>
      <c r="F76" s="63"/>
      <c r="G76" s="131" t="s">
        <v>247</v>
      </c>
      <c r="H76" s="63" t="str">
        <f>Lijsten!A18</f>
        <v>N/A</v>
      </c>
      <c r="I76" s="63" t="s">
        <v>1248</v>
      </c>
      <c r="J76" s="63"/>
      <c r="K76" s="63"/>
      <c r="L76" s="63"/>
      <c r="M76" s="63"/>
      <c r="N76" s="63"/>
      <c r="O76" s="63"/>
      <c r="P76" s="63"/>
      <c r="Q76" s="63"/>
      <c r="R76" s="63"/>
      <c r="S76" s="63"/>
      <c r="T76" s="63"/>
      <c r="U76" s="63"/>
      <c r="V76" s="63"/>
      <c r="W76" s="63"/>
      <c r="X76" s="63"/>
      <c r="Y76" s="63"/>
      <c r="Z76" s="63"/>
    </row>
    <row r="77" spans="1:26" ht="11.25" customHeight="1" outlineLevel="1">
      <c r="A77" s="63"/>
      <c r="B77" s="64"/>
      <c r="C77" s="92"/>
      <c r="D77" s="79"/>
      <c r="E77" s="68"/>
      <c r="F77" s="63"/>
      <c r="G77" s="131"/>
      <c r="H77" s="131"/>
      <c r="I77" s="63"/>
      <c r="J77" s="63"/>
      <c r="K77" s="63"/>
      <c r="L77" s="63"/>
      <c r="M77" s="63"/>
      <c r="N77" s="63"/>
      <c r="O77" s="63"/>
      <c r="P77" s="63"/>
      <c r="Q77" s="63"/>
      <c r="R77" s="63"/>
      <c r="S77" s="63"/>
      <c r="T77" s="63"/>
      <c r="U77" s="63"/>
      <c r="V77" s="63"/>
      <c r="W77" s="63"/>
      <c r="X77" s="63"/>
      <c r="Y77" s="63"/>
      <c r="Z77" s="63"/>
    </row>
    <row r="78" spans="1:26" ht="11.25" customHeight="1" outlineLevel="1">
      <c r="A78" s="63"/>
      <c r="B78" s="64" t="s">
        <v>248</v>
      </c>
      <c r="C78" s="133">
        <f>Invloedsfactoren!F32</f>
        <v>0.47664697108137166</v>
      </c>
      <c r="D78" s="79" t="s">
        <v>241</v>
      </c>
      <c r="E78" s="130" t="s">
        <v>249</v>
      </c>
      <c r="F78" s="90"/>
      <c r="G78" s="134"/>
      <c r="H78" s="131"/>
      <c r="I78" s="63"/>
      <c r="J78" s="63"/>
      <c r="K78" s="63"/>
      <c r="L78" s="63"/>
      <c r="M78" s="63"/>
      <c r="N78" s="63"/>
      <c r="O78" s="63"/>
      <c r="P78" s="63"/>
      <c r="Q78" s="63"/>
      <c r="R78" s="63"/>
      <c r="S78" s="63"/>
      <c r="T78" s="63"/>
      <c r="U78" s="63"/>
      <c r="V78" s="63"/>
      <c r="W78" s="63"/>
      <c r="X78" s="63"/>
      <c r="Y78" s="63"/>
      <c r="Z78" s="63"/>
    </row>
    <row r="79" spans="1:26" ht="11.25" customHeight="1" outlineLevel="1">
      <c r="A79" s="63"/>
      <c r="B79" s="64" t="s">
        <v>250</v>
      </c>
      <c r="C79" s="135">
        <f>Input!C81</f>
        <v>165</v>
      </c>
      <c r="D79" s="79"/>
      <c r="E79" s="106" t="s">
        <v>251</v>
      </c>
      <c r="F79" s="90"/>
      <c r="G79" s="131"/>
      <c r="H79" s="131"/>
      <c r="I79" s="63"/>
      <c r="J79" s="63"/>
      <c r="K79" s="63"/>
      <c r="L79" s="63"/>
      <c r="M79" s="63"/>
      <c r="N79" s="63"/>
      <c r="O79" s="63"/>
      <c r="P79" s="63"/>
      <c r="Q79" s="63"/>
      <c r="R79" s="63"/>
      <c r="S79" s="63"/>
      <c r="T79" s="63"/>
      <c r="U79" s="63"/>
      <c r="V79" s="63"/>
      <c r="W79" s="63"/>
      <c r="X79" s="63"/>
      <c r="Y79" s="63"/>
      <c r="Z79" s="63"/>
    </row>
    <row r="80" spans="1:26" ht="11.25" customHeight="1" outlineLevel="1">
      <c r="A80" s="63"/>
      <c r="B80" s="64" t="s">
        <v>252</v>
      </c>
      <c r="C80" s="135">
        <f>Input!C81</f>
        <v>165</v>
      </c>
      <c r="D80" s="79"/>
      <c r="E80" s="106" t="s">
        <v>251</v>
      </c>
      <c r="F80" s="90"/>
      <c r="G80" s="131"/>
      <c r="H80" s="131"/>
      <c r="I80" s="63"/>
      <c r="J80" s="63"/>
      <c r="K80" s="63"/>
      <c r="L80" s="63"/>
      <c r="M80" s="63"/>
      <c r="N80" s="63"/>
      <c r="O80" s="63"/>
      <c r="P80" s="63"/>
      <c r="Q80" s="63"/>
      <c r="R80" s="63"/>
      <c r="S80" s="63"/>
      <c r="T80" s="63"/>
      <c r="U80" s="63"/>
      <c r="V80" s="63"/>
      <c r="W80" s="63"/>
      <c r="X80" s="63"/>
      <c r="Y80" s="63"/>
      <c r="Z80" s="63"/>
    </row>
    <row r="81" spans="1:26" ht="11.25" customHeight="1" outlineLevel="1">
      <c r="A81" s="63"/>
      <c r="B81" s="64" t="s">
        <v>253</v>
      </c>
      <c r="C81" s="135">
        <f>Input!C81</f>
        <v>165</v>
      </c>
      <c r="D81" s="79"/>
      <c r="E81" s="106" t="s">
        <v>251</v>
      </c>
      <c r="F81" s="90"/>
      <c r="G81" s="63"/>
      <c r="H81" s="63"/>
      <c r="I81" s="63"/>
      <c r="J81" s="63"/>
      <c r="K81" s="63"/>
      <c r="L81" s="63"/>
      <c r="M81" s="63"/>
      <c r="N81" s="63"/>
      <c r="O81" s="63"/>
      <c r="P81" s="63"/>
      <c r="Q81" s="63"/>
      <c r="R81" s="63"/>
      <c r="S81" s="63"/>
      <c r="T81" s="63"/>
      <c r="U81" s="63"/>
      <c r="V81" s="63"/>
      <c r="W81" s="63"/>
      <c r="X81" s="63"/>
      <c r="Y81" s="63"/>
      <c r="Z81" s="63"/>
    </row>
    <row r="82" spans="1:26" ht="11.25" customHeight="1" outlineLevel="1">
      <c r="A82" s="63"/>
      <c r="B82" s="64" t="s">
        <v>254</v>
      </c>
      <c r="C82" s="135">
        <f>Input!C81</f>
        <v>165</v>
      </c>
      <c r="D82" s="79"/>
      <c r="E82" s="106" t="s">
        <v>251</v>
      </c>
      <c r="F82" s="90"/>
      <c r="G82" s="63"/>
      <c r="H82" s="63"/>
      <c r="I82" s="63"/>
      <c r="J82" s="63"/>
      <c r="K82" s="63"/>
      <c r="L82" s="63"/>
      <c r="M82" s="63"/>
      <c r="N82" s="63"/>
      <c r="O82" s="63"/>
      <c r="P82" s="63"/>
      <c r="Q82" s="63"/>
      <c r="R82" s="63"/>
      <c r="S82" s="63"/>
      <c r="T82" s="63"/>
      <c r="U82" s="63"/>
      <c r="V82" s="63"/>
      <c r="W82" s="63"/>
      <c r="X82" s="63"/>
      <c r="Y82" s="63"/>
      <c r="Z82" s="63"/>
    </row>
    <row r="83" spans="1:26" ht="11.25" customHeight="1" outlineLevel="1">
      <c r="A83" s="63"/>
      <c r="B83" s="64" t="s">
        <v>255</v>
      </c>
      <c r="C83" s="135">
        <f>Input!C81</f>
        <v>165</v>
      </c>
      <c r="D83" s="79"/>
      <c r="E83" s="106" t="s">
        <v>251</v>
      </c>
      <c r="F83" s="90"/>
      <c r="G83" s="63"/>
      <c r="H83" s="63"/>
      <c r="I83" s="63"/>
      <c r="J83" s="63"/>
      <c r="K83" s="63"/>
      <c r="L83" s="63"/>
      <c r="M83" s="63"/>
      <c r="N83" s="63"/>
      <c r="O83" s="63"/>
      <c r="P83" s="63"/>
      <c r="Q83" s="63"/>
      <c r="R83" s="63"/>
      <c r="S83" s="63"/>
      <c r="T83" s="63"/>
      <c r="U83" s="63"/>
      <c r="V83" s="63"/>
      <c r="W83" s="63"/>
      <c r="X83" s="63"/>
      <c r="Y83" s="63"/>
      <c r="Z83" s="63"/>
    </row>
    <row r="84" spans="1:26" ht="11.25" customHeight="1" outlineLevel="1">
      <c r="A84" s="63"/>
      <c r="B84" s="64" t="s">
        <v>256</v>
      </c>
      <c r="C84" s="136">
        <f>AVERAGE((C36*C79+C37*C80+C38*C81+C39*C82+C40*C83)/SUM(C36:C40))</f>
        <v>165</v>
      </c>
      <c r="D84" s="79" t="s">
        <v>257</v>
      </c>
      <c r="E84" s="106" t="s">
        <v>258</v>
      </c>
      <c r="F84" s="90"/>
      <c r="G84" s="63"/>
      <c r="H84" s="63"/>
      <c r="I84" s="63"/>
      <c r="J84" s="63"/>
      <c r="K84" s="63"/>
      <c r="L84" s="63"/>
      <c r="M84" s="63"/>
      <c r="N84" s="63"/>
      <c r="O84" s="63"/>
      <c r="P84" s="63"/>
      <c r="Q84" s="63"/>
      <c r="R84" s="63"/>
      <c r="S84" s="63"/>
      <c r="T84" s="63"/>
      <c r="U84" s="63"/>
      <c r="V84" s="63"/>
      <c r="W84" s="63"/>
      <c r="X84" s="63"/>
      <c r="Y84" s="63"/>
      <c r="Z84" s="63"/>
    </row>
    <row r="85" spans="1:26" ht="11.25" customHeight="1" outlineLevel="1">
      <c r="A85" s="63"/>
      <c r="B85" s="64" t="s">
        <v>259</v>
      </c>
      <c r="C85" s="135">
        <f>Input!C83</f>
        <v>170</v>
      </c>
      <c r="D85" s="79" t="s">
        <v>257</v>
      </c>
      <c r="E85" s="106" t="s">
        <v>251</v>
      </c>
      <c r="F85" s="90"/>
      <c r="G85" s="63"/>
      <c r="H85" s="63"/>
      <c r="I85" s="63"/>
      <c r="J85" s="63"/>
      <c r="K85" s="63"/>
      <c r="L85" s="63"/>
      <c r="M85" s="63"/>
      <c r="N85" s="63"/>
      <c r="O85" s="63"/>
      <c r="P85" s="63"/>
      <c r="Q85" s="63"/>
      <c r="R85" s="63"/>
      <c r="S85" s="63"/>
      <c r="T85" s="63"/>
      <c r="U85" s="63"/>
      <c r="V85" s="63"/>
      <c r="W85" s="63"/>
      <c r="X85" s="63"/>
      <c r="Y85" s="63"/>
      <c r="Z85" s="63"/>
    </row>
    <row r="86" spans="1:26" ht="11.25" customHeight="1" outlineLevel="1">
      <c r="A86" s="63"/>
      <c r="B86" s="64" t="s">
        <v>260</v>
      </c>
      <c r="C86" s="135">
        <f>Input!C84</f>
        <v>160</v>
      </c>
      <c r="D86" s="79" t="s">
        <v>257</v>
      </c>
      <c r="E86" s="106" t="s">
        <v>251</v>
      </c>
      <c r="F86" s="90"/>
      <c r="G86" s="63"/>
      <c r="H86" s="63"/>
      <c r="I86" s="63"/>
      <c r="J86" s="63"/>
      <c r="K86" s="63"/>
      <c r="L86" s="63"/>
      <c r="M86" s="63"/>
      <c r="N86" s="63"/>
      <c r="O86" s="63"/>
      <c r="P86" s="63"/>
      <c r="Q86" s="63"/>
      <c r="R86" s="63"/>
      <c r="S86" s="63"/>
      <c r="T86" s="63"/>
      <c r="U86" s="63"/>
      <c r="V86" s="63"/>
      <c r="W86" s="63"/>
      <c r="X86" s="63"/>
      <c r="Y86" s="63"/>
      <c r="Z86" s="63"/>
    </row>
    <row r="87" spans="1:26" ht="11.25" customHeight="1" outlineLevel="1">
      <c r="A87" s="63"/>
      <c r="B87" s="64" t="s">
        <v>261</v>
      </c>
      <c r="C87" s="135">
        <f>Input!C85</f>
        <v>165</v>
      </c>
      <c r="D87" s="79" t="s">
        <v>257</v>
      </c>
      <c r="E87" s="106" t="s">
        <v>251</v>
      </c>
      <c r="F87" s="90"/>
      <c r="G87" s="63"/>
      <c r="H87" s="63"/>
      <c r="I87" s="63"/>
      <c r="J87" s="63"/>
      <c r="K87" s="63"/>
      <c r="L87" s="63"/>
      <c r="M87" s="63"/>
      <c r="N87" s="63"/>
      <c r="O87" s="63"/>
      <c r="P87" s="63"/>
      <c r="Q87" s="63"/>
      <c r="R87" s="63"/>
      <c r="S87" s="63"/>
      <c r="T87" s="63"/>
      <c r="U87" s="63"/>
      <c r="V87" s="63"/>
      <c r="W87" s="63"/>
      <c r="X87" s="63"/>
      <c r="Y87" s="63"/>
      <c r="Z87" s="63"/>
    </row>
    <row r="88" spans="1:26" ht="11.25" customHeight="1" outlineLevel="1">
      <c r="A88" s="63"/>
      <c r="B88" s="64" t="s">
        <v>262</v>
      </c>
      <c r="C88" s="135">
        <f>Input!C82</f>
        <v>165</v>
      </c>
      <c r="D88" s="79" t="s">
        <v>257</v>
      </c>
      <c r="E88" s="106" t="s">
        <v>251</v>
      </c>
      <c r="F88" s="90"/>
      <c r="G88" s="63"/>
      <c r="H88" s="63"/>
      <c r="I88" s="63"/>
      <c r="J88" s="63"/>
      <c r="K88" s="63"/>
      <c r="L88" s="63"/>
      <c r="M88" s="63"/>
      <c r="N88" s="63"/>
      <c r="O88" s="63"/>
      <c r="P88" s="63"/>
      <c r="Q88" s="63"/>
      <c r="R88" s="63"/>
      <c r="S88" s="63"/>
      <c r="T88" s="63"/>
      <c r="U88" s="63"/>
      <c r="V88" s="63"/>
      <c r="W88" s="63"/>
      <c r="X88" s="63"/>
      <c r="Y88" s="63"/>
      <c r="Z88" s="63"/>
    </row>
    <row r="89" spans="1:26" ht="11.25" customHeight="1" outlineLevel="1">
      <c r="A89" s="63"/>
      <c r="B89" s="137" t="s">
        <v>263</v>
      </c>
      <c r="C89" s="138">
        <f>Input!C85</f>
        <v>165</v>
      </c>
      <c r="D89" s="139" t="s">
        <v>257</v>
      </c>
      <c r="E89" s="106" t="s">
        <v>251</v>
      </c>
      <c r="F89" s="90"/>
      <c r="G89" s="63"/>
      <c r="H89" s="63"/>
      <c r="I89" s="63"/>
      <c r="J89" s="63"/>
      <c r="K89" s="63"/>
      <c r="L89" s="63"/>
      <c r="M89" s="63"/>
      <c r="N89" s="63"/>
      <c r="O89" s="63"/>
      <c r="P89" s="63"/>
      <c r="Q89" s="63"/>
      <c r="R89" s="63"/>
      <c r="S89" s="63"/>
      <c r="T89" s="63"/>
      <c r="U89" s="63"/>
      <c r="V89" s="63"/>
      <c r="W89" s="63"/>
      <c r="X89" s="63"/>
      <c r="Y89" s="63"/>
      <c r="Z89" s="63"/>
    </row>
    <row r="90" spans="1:26" ht="11.25" customHeight="1" outlineLevel="1">
      <c r="A90" s="63"/>
      <c r="B90" s="64" t="s">
        <v>1413</v>
      </c>
      <c r="C90" s="138">
        <f>Input!C86</f>
        <v>145</v>
      </c>
      <c r="D90" s="139" t="s">
        <v>257</v>
      </c>
      <c r="E90" s="106" t="s">
        <v>251</v>
      </c>
      <c r="F90" s="90"/>
      <c r="G90" s="63"/>
      <c r="H90" s="63"/>
      <c r="I90" s="63"/>
      <c r="J90" s="63"/>
      <c r="K90" s="63"/>
      <c r="L90" s="63"/>
      <c r="M90" s="63"/>
      <c r="N90" s="63"/>
      <c r="O90" s="63"/>
      <c r="P90" s="63"/>
      <c r="Q90" s="63"/>
      <c r="R90" s="63"/>
      <c r="S90" s="63"/>
      <c r="T90" s="63"/>
      <c r="U90" s="63"/>
      <c r="V90" s="63"/>
      <c r="W90" s="63"/>
      <c r="X90" s="63"/>
      <c r="Y90" s="63"/>
      <c r="Z90" s="63"/>
    </row>
    <row r="91" spans="1:26" ht="11.25" customHeight="1" outlineLevel="1">
      <c r="A91" s="63"/>
      <c r="B91" s="64" t="s">
        <v>1414</v>
      </c>
      <c r="C91" s="138">
        <f>Input!C87</f>
        <v>145</v>
      </c>
      <c r="D91" s="139" t="s">
        <v>257</v>
      </c>
      <c r="E91" s="106" t="s">
        <v>251</v>
      </c>
      <c r="F91" s="90"/>
      <c r="G91" s="63"/>
      <c r="H91" s="63"/>
      <c r="I91" s="63"/>
      <c r="J91" s="63"/>
      <c r="K91" s="63"/>
      <c r="L91" s="63"/>
      <c r="M91" s="63"/>
      <c r="N91" s="63"/>
      <c r="O91" s="63"/>
      <c r="P91" s="63"/>
      <c r="Q91" s="63"/>
      <c r="R91" s="63"/>
      <c r="S91" s="63"/>
      <c r="T91" s="63"/>
      <c r="U91" s="63"/>
      <c r="V91" s="63"/>
      <c r="W91" s="63"/>
      <c r="X91" s="63"/>
      <c r="Y91" s="63"/>
      <c r="Z91" s="63"/>
    </row>
    <row r="92" spans="1:26" ht="11.25" customHeight="1" outlineLevel="1">
      <c r="A92" s="63"/>
      <c r="B92" s="64" t="s">
        <v>1415</v>
      </c>
      <c r="C92" s="138">
        <f>Input!C88</f>
        <v>145</v>
      </c>
      <c r="D92" s="139" t="s">
        <v>257</v>
      </c>
      <c r="E92" s="106" t="s">
        <v>251</v>
      </c>
      <c r="F92" s="90"/>
      <c r="G92" s="63"/>
      <c r="H92" s="63"/>
      <c r="I92" s="63"/>
      <c r="J92" s="63"/>
      <c r="K92" s="63"/>
      <c r="L92" s="63"/>
      <c r="M92" s="63"/>
      <c r="N92" s="63"/>
      <c r="O92" s="63"/>
      <c r="P92" s="63"/>
      <c r="Q92" s="63"/>
      <c r="R92" s="63"/>
      <c r="S92" s="63"/>
      <c r="T92" s="63"/>
      <c r="U92" s="63"/>
      <c r="V92" s="63"/>
      <c r="W92" s="63"/>
      <c r="X92" s="63"/>
      <c r="Y92" s="63"/>
      <c r="Z92" s="63"/>
    </row>
    <row r="93" spans="1:26" ht="11.25" customHeight="1" outlineLevel="1">
      <c r="A93" s="63"/>
      <c r="B93" s="103" t="s">
        <v>264</v>
      </c>
      <c r="C93" s="140">
        <f>Input!D81</f>
        <v>120</v>
      </c>
      <c r="D93" s="129" t="s">
        <v>257</v>
      </c>
      <c r="E93" s="106" t="s">
        <v>265</v>
      </c>
      <c r="F93" s="90"/>
      <c r="G93" s="63"/>
      <c r="H93" s="63"/>
      <c r="I93" s="63"/>
      <c r="J93" s="63"/>
      <c r="K93" s="63"/>
      <c r="L93" s="63"/>
      <c r="M93" s="63"/>
      <c r="N93" s="63"/>
      <c r="O93" s="63"/>
      <c r="P93" s="63"/>
      <c r="Q93" s="63"/>
      <c r="R93" s="63"/>
      <c r="S93" s="63"/>
      <c r="T93" s="63"/>
      <c r="U93" s="63"/>
      <c r="V93" s="63"/>
      <c r="W93" s="63"/>
      <c r="X93" s="63"/>
      <c r="Y93" s="63"/>
      <c r="Z93" s="63"/>
    </row>
    <row r="94" spans="1:26" ht="11.25" customHeight="1" outlineLevel="1">
      <c r="A94" s="63"/>
      <c r="B94" s="64" t="s">
        <v>266</v>
      </c>
      <c r="C94" s="135">
        <f>Input!D83</f>
        <v>120</v>
      </c>
      <c r="D94" s="79" t="s">
        <v>257</v>
      </c>
      <c r="E94" s="106" t="s">
        <v>265</v>
      </c>
      <c r="F94" s="90"/>
      <c r="G94" s="63"/>
      <c r="H94" s="63"/>
      <c r="I94" s="63"/>
      <c r="J94" s="63"/>
      <c r="K94" s="63"/>
      <c r="L94" s="63"/>
      <c r="M94" s="63"/>
      <c r="N94" s="63"/>
      <c r="O94" s="63"/>
      <c r="P94" s="63"/>
      <c r="Q94" s="63"/>
      <c r="R94" s="63"/>
      <c r="S94" s="63"/>
      <c r="T94" s="63"/>
      <c r="U94" s="63"/>
      <c r="V94" s="63"/>
      <c r="W94" s="63"/>
      <c r="X94" s="63"/>
      <c r="Y94" s="63"/>
      <c r="Z94" s="63"/>
    </row>
    <row r="95" spans="1:26" ht="11.25" customHeight="1" outlineLevel="1">
      <c r="A95" s="63"/>
      <c r="B95" s="64" t="s">
        <v>267</v>
      </c>
      <c r="C95" s="135">
        <f>Input!D84</f>
        <v>120</v>
      </c>
      <c r="D95" s="79" t="s">
        <v>257</v>
      </c>
      <c r="E95" s="106" t="s">
        <v>265</v>
      </c>
      <c r="F95" s="90"/>
      <c r="G95" s="63"/>
      <c r="H95" s="63"/>
      <c r="I95" s="63"/>
      <c r="J95" s="63"/>
      <c r="K95" s="63"/>
      <c r="L95" s="63"/>
      <c r="M95" s="63"/>
      <c r="N95" s="63"/>
      <c r="O95" s="63"/>
      <c r="P95" s="63"/>
      <c r="Q95" s="63"/>
      <c r="R95" s="63"/>
      <c r="S95" s="63"/>
      <c r="T95" s="63"/>
      <c r="U95" s="63"/>
      <c r="V95" s="63"/>
      <c r="W95" s="63"/>
      <c r="X95" s="63"/>
      <c r="Y95" s="63"/>
      <c r="Z95" s="63"/>
    </row>
    <row r="96" spans="1:26" ht="11.25" customHeight="1" outlineLevel="1">
      <c r="A96" s="63"/>
      <c r="B96" s="64" t="s">
        <v>268</v>
      </c>
      <c r="C96" s="135">
        <f>Input!D85</f>
        <v>120</v>
      </c>
      <c r="D96" s="79" t="s">
        <v>257</v>
      </c>
      <c r="E96" s="106" t="s">
        <v>265</v>
      </c>
      <c r="F96" s="141"/>
      <c r="G96" s="63"/>
      <c r="H96" s="63"/>
      <c r="I96" s="63"/>
      <c r="J96" s="63"/>
      <c r="K96" s="63"/>
      <c r="L96" s="63"/>
      <c r="M96" s="63"/>
      <c r="N96" s="63"/>
      <c r="O96" s="63"/>
      <c r="P96" s="63"/>
      <c r="Q96" s="63"/>
      <c r="R96" s="63"/>
      <c r="S96" s="63"/>
      <c r="T96" s="63"/>
      <c r="U96" s="63"/>
      <c r="V96" s="63"/>
      <c r="W96" s="63"/>
      <c r="X96" s="63"/>
      <c r="Y96" s="63"/>
      <c r="Z96" s="63"/>
    </row>
    <row r="97" spans="1:26" ht="11.25" customHeight="1" outlineLevel="1">
      <c r="A97" s="63"/>
      <c r="B97" s="64" t="s">
        <v>269</v>
      </c>
      <c r="C97" s="135">
        <f>Input!D82</f>
        <v>120</v>
      </c>
      <c r="D97" s="79" t="s">
        <v>257</v>
      </c>
      <c r="E97" s="106" t="s">
        <v>265</v>
      </c>
      <c r="F97" s="141"/>
      <c r="G97" s="63"/>
      <c r="H97" s="63"/>
      <c r="I97" s="63"/>
      <c r="J97" s="63"/>
      <c r="K97" s="63"/>
      <c r="L97" s="63"/>
      <c r="M97" s="63"/>
      <c r="N97" s="63"/>
      <c r="O97" s="63"/>
      <c r="P97" s="63"/>
      <c r="Q97" s="63"/>
      <c r="R97" s="63"/>
      <c r="S97" s="63"/>
      <c r="T97" s="63"/>
      <c r="U97" s="63"/>
      <c r="V97" s="63"/>
      <c r="W97" s="63"/>
      <c r="X97" s="63"/>
      <c r="Y97" s="63"/>
      <c r="Z97" s="63"/>
    </row>
    <row r="98" spans="1:26" ht="11.25" customHeight="1" outlineLevel="1">
      <c r="A98" s="63"/>
      <c r="B98" s="64" t="s">
        <v>270</v>
      </c>
      <c r="C98" s="135">
        <f>Input!D85</f>
        <v>120</v>
      </c>
      <c r="D98" s="79" t="s">
        <v>257</v>
      </c>
      <c r="E98" s="106" t="s">
        <v>265</v>
      </c>
      <c r="F98" s="141"/>
      <c r="G98" s="63"/>
      <c r="H98" s="63"/>
      <c r="I98" s="63"/>
      <c r="J98" s="63"/>
      <c r="K98" s="63"/>
      <c r="L98" s="63"/>
      <c r="M98" s="63"/>
      <c r="N98" s="63"/>
      <c r="O98" s="63"/>
      <c r="P98" s="63"/>
      <c r="Q98" s="63"/>
      <c r="R98" s="63"/>
      <c r="S98" s="63"/>
      <c r="T98" s="63"/>
      <c r="U98" s="63"/>
      <c r="V98" s="63"/>
      <c r="W98" s="63"/>
      <c r="X98" s="63"/>
      <c r="Y98" s="63"/>
      <c r="Z98" s="63"/>
    </row>
    <row r="99" spans="1:26" ht="11.25" customHeight="1" outlineLevel="1">
      <c r="A99" s="63"/>
      <c r="B99" s="64" t="s">
        <v>1416</v>
      </c>
      <c r="C99" s="135">
        <f>Input!D86</f>
        <v>120</v>
      </c>
      <c r="D99" s="79" t="s">
        <v>257</v>
      </c>
      <c r="E99" s="106" t="s">
        <v>265</v>
      </c>
      <c r="F99" s="141"/>
      <c r="G99" s="63"/>
      <c r="H99" s="63"/>
      <c r="I99" s="63"/>
      <c r="J99" s="63"/>
      <c r="K99" s="63"/>
      <c r="L99" s="63"/>
      <c r="M99" s="63"/>
      <c r="N99" s="63"/>
      <c r="O99" s="63"/>
      <c r="P99" s="63"/>
      <c r="Q99" s="63"/>
      <c r="R99" s="63"/>
      <c r="S99" s="63"/>
      <c r="T99" s="63"/>
      <c r="U99" s="63"/>
      <c r="V99" s="63"/>
      <c r="W99" s="63"/>
      <c r="X99" s="63"/>
      <c r="Y99" s="63"/>
      <c r="Z99" s="63"/>
    </row>
    <row r="100" spans="1:26" ht="11.25" customHeight="1" outlineLevel="1">
      <c r="A100" s="63"/>
      <c r="B100" s="64" t="s">
        <v>1417</v>
      </c>
      <c r="C100" s="135">
        <f>Input!D87</f>
        <v>120</v>
      </c>
      <c r="D100" s="79" t="s">
        <v>257</v>
      </c>
      <c r="E100" s="106" t="s">
        <v>265</v>
      </c>
      <c r="F100" s="141"/>
      <c r="G100" s="63"/>
      <c r="H100" s="63"/>
      <c r="I100" s="63"/>
      <c r="J100" s="63"/>
      <c r="K100" s="63"/>
      <c r="L100" s="63"/>
      <c r="M100" s="63"/>
      <c r="N100" s="63"/>
      <c r="O100" s="63"/>
      <c r="P100" s="63"/>
      <c r="Q100" s="63"/>
      <c r="R100" s="63"/>
      <c r="S100" s="63"/>
      <c r="T100" s="63"/>
      <c r="U100" s="63"/>
      <c r="V100" s="63"/>
      <c r="W100" s="63"/>
      <c r="X100" s="63"/>
      <c r="Y100" s="63"/>
      <c r="Z100" s="63"/>
    </row>
    <row r="101" spans="1:26" ht="11.25" customHeight="1" outlineLevel="1">
      <c r="A101" s="63"/>
      <c r="B101" s="64" t="s">
        <v>1418</v>
      </c>
      <c r="C101" s="135">
        <f>Input!D88</f>
        <v>120</v>
      </c>
      <c r="D101" s="79" t="s">
        <v>257</v>
      </c>
      <c r="E101" s="106" t="s">
        <v>265</v>
      </c>
      <c r="F101" s="141"/>
      <c r="G101" s="63"/>
      <c r="H101" s="63"/>
      <c r="I101" s="63"/>
      <c r="J101" s="63"/>
      <c r="K101" s="63"/>
      <c r="L101" s="63"/>
      <c r="M101" s="63"/>
      <c r="N101" s="63"/>
      <c r="O101" s="63"/>
      <c r="P101" s="63"/>
      <c r="Q101" s="63"/>
      <c r="R101" s="63"/>
      <c r="S101" s="63"/>
      <c r="T101" s="63"/>
      <c r="U101" s="63"/>
      <c r="V101" s="63"/>
      <c r="W101" s="63"/>
      <c r="X101" s="63"/>
      <c r="Y101" s="63"/>
      <c r="Z101" s="63"/>
    </row>
    <row r="102" spans="1:26" ht="11.25" customHeight="1" outlineLevel="1">
      <c r="A102" s="63"/>
      <c r="B102" s="64" t="s">
        <v>271</v>
      </c>
      <c r="C102" s="142">
        <v>0.75</v>
      </c>
      <c r="D102" s="79" t="s">
        <v>241</v>
      </c>
      <c r="E102" s="106"/>
      <c r="F102" s="23"/>
      <c r="G102" s="63"/>
      <c r="H102" s="63" t="str">
        <f>Lijsten!A31</f>
        <v>Electricity</v>
      </c>
      <c r="I102" s="63" t="s">
        <v>203</v>
      </c>
      <c r="J102" s="63"/>
      <c r="K102" s="63"/>
      <c r="L102" s="63"/>
      <c r="M102" s="63"/>
      <c r="N102" s="63"/>
      <c r="O102" s="63"/>
      <c r="P102" s="63"/>
      <c r="Q102" s="63"/>
      <c r="R102" s="63"/>
      <c r="S102" s="63"/>
      <c r="T102" s="63"/>
      <c r="U102" s="63"/>
      <c r="V102" s="63"/>
      <c r="W102" s="63"/>
      <c r="X102" s="63"/>
      <c r="Y102" s="63"/>
      <c r="Z102" s="63"/>
    </row>
    <row r="103" spans="1:26" ht="11.25" customHeight="1" outlineLevel="1">
      <c r="A103" s="63"/>
      <c r="B103" s="64" t="s">
        <v>1420</v>
      </c>
      <c r="C103" s="143">
        <f>Input!C32</f>
        <v>110</v>
      </c>
      <c r="D103" s="79" t="s">
        <v>257</v>
      </c>
      <c r="E103" s="106"/>
      <c r="F103" s="23"/>
      <c r="G103" s="63"/>
      <c r="H103" s="63"/>
      <c r="I103" s="63"/>
      <c r="J103" s="63"/>
      <c r="K103" s="63"/>
      <c r="L103" s="63"/>
      <c r="M103" s="63"/>
      <c r="N103" s="63"/>
      <c r="O103" s="63"/>
      <c r="P103" s="63"/>
      <c r="Q103" s="63"/>
      <c r="R103" s="63"/>
      <c r="S103" s="63"/>
      <c r="T103" s="63"/>
      <c r="U103" s="63"/>
      <c r="V103" s="63"/>
      <c r="W103" s="63"/>
      <c r="X103" s="63"/>
      <c r="Y103" s="63"/>
      <c r="Z103" s="63"/>
    </row>
    <row r="104" spans="1:26" ht="11.25" customHeight="1" outlineLevel="1">
      <c r="A104" s="63"/>
      <c r="B104" s="64" t="s">
        <v>1419</v>
      </c>
      <c r="C104" s="143">
        <f>Input!C33</f>
        <v>105</v>
      </c>
      <c r="D104" s="79" t="s">
        <v>257</v>
      </c>
      <c r="E104" s="106"/>
      <c r="F104" s="23"/>
      <c r="G104" s="63"/>
      <c r="H104" s="63"/>
      <c r="I104" s="63"/>
      <c r="J104" s="63"/>
      <c r="K104" s="63"/>
      <c r="L104" s="63"/>
      <c r="M104" s="63"/>
      <c r="N104" s="63"/>
      <c r="O104" s="63"/>
      <c r="P104" s="63"/>
      <c r="Q104" s="63"/>
      <c r="R104" s="63"/>
      <c r="S104" s="63"/>
      <c r="T104" s="63"/>
      <c r="U104" s="63"/>
      <c r="V104" s="63"/>
      <c r="W104" s="63"/>
      <c r="X104" s="63"/>
      <c r="Y104" s="63"/>
      <c r="Z104" s="63"/>
    </row>
    <row r="105" spans="1:26" ht="9.75" customHeight="1" outlineLevel="1">
      <c r="A105" s="63"/>
      <c r="B105" s="64" t="s">
        <v>272</v>
      </c>
      <c r="C105" s="143">
        <f>Input!C34</f>
        <v>120</v>
      </c>
      <c r="D105" s="79" t="s">
        <v>257</v>
      </c>
      <c r="E105" s="106"/>
      <c r="F105" s="23"/>
      <c r="G105" s="63"/>
      <c r="H105" s="63"/>
      <c r="I105" s="63"/>
      <c r="J105" s="63"/>
      <c r="K105" s="63"/>
      <c r="L105" s="63"/>
      <c r="M105" s="63"/>
      <c r="N105" s="63"/>
      <c r="O105" s="63"/>
      <c r="P105" s="63"/>
      <c r="Q105" s="63"/>
      <c r="R105" s="63"/>
      <c r="S105" s="63"/>
      <c r="T105" s="63"/>
      <c r="U105" s="63"/>
      <c r="V105" s="63"/>
      <c r="W105" s="63"/>
      <c r="X105" s="63"/>
      <c r="Y105" s="63"/>
      <c r="Z105" s="63"/>
    </row>
    <row r="106" spans="1:26" ht="9.75" customHeight="1" outlineLevel="1">
      <c r="A106" s="63"/>
      <c r="B106" s="64"/>
      <c r="C106" s="92"/>
      <c r="D106" s="79"/>
      <c r="E106" s="68"/>
      <c r="F106" s="23"/>
      <c r="G106" s="63"/>
      <c r="H106" s="63"/>
      <c r="I106" s="63"/>
      <c r="J106" s="63"/>
      <c r="K106" s="63"/>
      <c r="L106" s="63"/>
      <c r="M106" s="63"/>
      <c r="N106" s="63"/>
      <c r="O106" s="63"/>
      <c r="P106" s="63"/>
      <c r="Q106" s="63"/>
      <c r="R106" s="63"/>
      <c r="S106" s="63"/>
      <c r="T106" s="63"/>
      <c r="U106" s="63"/>
      <c r="V106" s="63"/>
      <c r="W106" s="63"/>
      <c r="X106" s="63"/>
      <c r="Y106" s="63"/>
      <c r="Z106" s="63"/>
    </row>
    <row r="107" spans="1:26" ht="9.75" customHeight="1" outlineLevel="1">
      <c r="A107" s="63"/>
      <c r="B107" s="64" t="s">
        <v>273</v>
      </c>
      <c r="C107" s="144">
        <v>0.14499999999999999</v>
      </c>
      <c r="D107" s="79" t="s">
        <v>241</v>
      </c>
      <c r="E107" s="106"/>
      <c r="F107" s="23"/>
      <c r="G107" s="63"/>
      <c r="H107" s="63" t="str">
        <f>Lijsten!A34</f>
        <v>Outside</v>
      </c>
      <c r="I107" s="63" t="s">
        <v>1282</v>
      </c>
      <c r="J107" s="63"/>
      <c r="K107" s="63"/>
      <c r="L107" s="63"/>
      <c r="M107" s="63"/>
      <c r="N107" s="63"/>
      <c r="O107" s="63"/>
      <c r="P107" s="63"/>
      <c r="Q107" s="63"/>
      <c r="R107" s="63"/>
      <c r="S107" s="63"/>
      <c r="T107" s="63"/>
      <c r="U107" s="63"/>
      <c r="V107" s="63"/>
      <c r="W107" s="63"/>
      <c r="X107" s="63"/>
      <c r="Y107" s="63"/>
      <c r="Z107" s="63"/>
    </row>
    <row r="108" spans="1:26" ht="9.75" customHeight="1" outlineLevel="1">
      <c r="A108" s="63"/>
      <c r="B108" s="64"/>
      <c r="C108" s="92"/>
      <c r="D108" s="79"/>
      <c r="E108" s="68"/>
      <c r="F108" s="23"/>
      <c r="G108" s="63"/>
      <c r="H108" s="63" t="str">
        <f>Lijsten!A35</f>
        <v>Combination or canopy within</v>
      </c>
      <c r="I108" s="63" t="s">
        <v>113</v>
      </c>
      <c r="J108" s="63"/>
      <c r="K108" s="63"/>
      <c r="L108" s="63"/>
      <c r="M108" s="63"/>
      <c r="N108" s="63"/>
      <c r="O108" s="63"/>
      <c r="P108" s="63"/>
      <c r="Q108" s="63"/>
      <c r="R108" s="63"/>
      <c r="S108" s="63"/>
      <c r="T108" s="63"/>
      <c r="U108" s="63"/>
      <c r="V108" s="63"/>
      <c r="W108" s="63"/>
      <c r="X108" s="63"/>
      <c r="Y108" s="63"/>
      <c r="Z108" s="63"/>
    </row>
    <row r="109" spans="1:26" ht="9.75" customHeight="1" outlineLevel="1">
      <c r="A109" s="63"/>
      <c r="B109" s="64" t="s">
        <v>274</v>
      </c>
      <c r="C109" s="145" t="str">
        <f>VLOOKUP(Input!C43,$H$102:$I$102,2,FALSE)</f>
        <v>Elektriciteit</v>
      </c>
      <c r="D109" s="79" t="s">
        <v>241</v>
      </c>
      <c r="E109" s="106" t="s">
        <v>275</v>
      </c>
      <c r="F109" s="23"/>
      <c r="G109" s="63"/>
      <c r="H109" s="63" t="str">
        <f>Lijsten!A36</f>
        <v>Inside</v>
      </c>
      <c r="I109" s="63" t="s">
        <v>1286</v>
      </c>
      <c r="J109" s="63"/>
      <c r="K109" s="63"/>
      <c r="L109" s="63"/>
      <c r="M109" s="63"/>
      <c r="N109" s="63"/>
      <c r="O109" s="63"/>
      <c r="P109" s="63"/>
      <c r="Q109" s="63"/>
      <c r="R109" s="63"/>
      <c r="S109" s="63"/>
      <c r="T109" s="63"/>
      <c r="U109" s="63"/>
      <c r="V109" s="63"/>
      <c r="W109" s="63"/>
      <c r="X109" s="63"/>
      <c r="Y109" s="63"/>
      <c r="Z109" s="63"/>
    </row>
    <row r="110" spans="1:26" ht="9.75" customHeight="1" outlineLevel="1">
      <c r="A110" s="63"/>
      <c r="B110" s="64" t="s">
        <v>276</v>
      </c>
      <c r="C110" s="732" t="str">
        <f>VLOOKUP(Input!C44,$H$107:$I$109,2,FALSE)</f>
        <v>binnen</v>
      </c>
      <c r="D110" s="733"/>
      <c r="E110" s="106"/>
      <c r="F110" s="23"/>
      <c r="G110" s="63"/>
      <c r="I110" s="63"/>
      <c r="J110" s="63"/>
      <c r="K110" s="63"/>
      <c r="L110" s="63"/>
      <c r="M110" s="63"/>
      <c r="N110" s="63"/>
      <c r="O110" s="63"/>
      <c r="P110" s="63"/>
      <c r="Q110" s="63"/>
      <c r="R110" s="63"/>
      <c r="S110" s="63"/>
      <c r="T110" s="63"/>
      <c r="U110" s="63"/>
      <c r="V110" s="63"/>
      <c r="W110" s="63"/>
      <c r="X110" s="63"/>
      <c r="Y110" s="63"/>
      <c r="Z110" s="63"/>
    </row>
    <row r="111" spans="1:26" ht="9.75" customHeight="1" outlineLevel="1">
      <c r="A111" s="63"/>
      <c r="B111" s="64" t="s">
        <v>277</v>
      </c>
      <c r="C111" s="146" t="str">
        <f>Input!C45</f>
        <v>&gt;5</v>
      </c>
      <c r="D111" s="79" t="s">
        <v>241</v>
      </c>
      <c r="E111" s="106"/>
      <c r="F111" s="63"/>
      <c r="G111" s="63"/>
      <c r="H111" s="63" t="str">
        <f>Lijsten!A54</f>
        <v>mediocre</v>
      </c>
      <c r="I111" s="63" t="s">
        <v>1307</v>
      </c>
      <c r="J111" s="63"/>
      <c r="K111" s="63"/>
      <c r="L111" s="63"/>
      <c r="M111" s="63"/>
      <c r="N111" s="63"/>
      <c r="O111" s="63"/>
      <c r="P111" s="63"/>
      <c r="Q111" s="63"/>
      <c r="R111" s="63"/>
      <c r="S111" s="63"/>
      <c r="T111" s="63"/>
      <c r="U111" s="63"/>
      <c r="V111" s="63"/>
      <c r="W111" s="63"/>
      <c r="X111" s="63"/>
      <c r="Y111" s="63"/>
      <c r="Z111" s="63"/>
    </row>
    <row r="112" spans="1:26" ht="9.75" customHeight="1" outlineLevel="1">
      <c r="A112" s="63"/>
      <c r="B112" s="64" t="s">
        <v>278</v>
      </c>
      <c r="C112" s="146" t="str">
        <f>Input!C46</f>
        <v>&gt;175</v>
      </c>
      <c r="D112" s="79" t="s">
        <v>257</v>
      </c>
      <c r="E112" s="106"/>
      <c r="F112" s="63"/>
      <c r="G112" s="63"/>
      <c r="H112" s="63" t="str">
        <f>Lijsten!A55</f>
        <v>reasonable</v>
      </c>
      <c r="I112" s="63" t="s">
        <v>1308</v>
      </c>
      <c r="J112" s="63"/>
      <c r="K112" s="63"/>
      <c r="L112" s="63"/>
      <c r="M112" s="63"/>
      <c r="N112" s="63"/>
      <c r="O112" s="63"/>
      <c r="P112" s="63"/>
      <c r="Q112" s="63"/>
      <c r="R112" s="63"/>
      <c r="S112" s="63"/>
      <c r="T112" s="63"/>
      <c r="U112" s="63"/>
      <c r="V112" s="63"/>
      <c r="W112" s="63"/>
      <c r="X112" s="63"/>
      <c r="Y112" s="63"/>
      <c r="Z112" s="63"/>
    </row>
    <row r="113" spans="1:26" ht="9.75" customHeight="1" outlineLevel="1">
      <c r="A113" s="63"/>
      <c r="B113" s="64" t="s">
        <v>279</v>
      </c>
      <c r="C113" s="146" t="str">
        <f>Input!C47</f>
        <v>0,7-1,3</v>
      </c>
      <c r="D113" s="79" t="s">
        <v>280</v>
      </c>
      <c r="E113" s="106"/>
      <c r="F113" s="63"/>
      <c r="G113" s="63"/>
      <c r="H113" s="63" t="str">
        <f>Lijsten!A56</f>
        <v>good</v>
      </c>
      <c r="I113" s="63" t="s">
        <v>1309</v>
      </c>
      <c r="J113" s="63"/>
      <c r="K113" s="63"/>
      <c r="L113" s="63"/>
      <c r="M113" s="63"/>
      <c r="N113" s="63"/>
      <c r="O113" s="63"/>
      <c r="P113" s="63"/>
      <c r="Q113" s="63"/>
      <c r="R113" s="63"/>
      <c r="S113" s="63"/>
      <c r="T113" s="63"/>
      <c r="U113" s="63"/>
      <c r="V113" s="63"/>
      <c r="W113" s="63"/>
      <c r="X113" s="63"/>
      <c r="Y113" s="63"/>
      <c r="Z113" s="63"/>
    </row>
    <row r="114" spans="1:26" ht="9.75" customHeight="1" outlineLevel="1">
      <c r="A114" s="63"/>
      <c r="B114" s="64" t="s">
        <v>281</v>
      </c>
      <c r="C114" s="145" t="str">
        <f>VLOOKUP(Input!C48,$H$111:$I$113,2,FALSE)</f>
        <v>goed</v>
      </c>
      <c r="D114" s="79" t="s">
        <v>241</v>
      </c>
      <c r="E114" s="106"/>
      <c r="F114" s="63"/>
      <c r="G114" s="63"/>
      <c r="H114" s="63"/>
      <c r="I114" s="63"/>
      <c r="J114" s="63"/>
      <c r="K114" s="63"/>
      <c r="L114" s="63"/>
      <c r="M114" s="63"/>
      <c r="N114" s="63"/>
      <c r="O114" s="63"/>
      <c r="P114" s="63"/>
      <c r="Q114" s="63"/>
      <c r="R114" s="63"/>
      <c r="S114" s="63"/>
      <c r="T114" s="63"/>
      <c r="U114" s="63"/>
      <c r="V114" s="63"/>
      <c r="W114" s="63"/>
      <c r="X114" s="63"/>
      <c r="Y114" s="63"/>
      <c r="Z114" s="63"/>
    </row>
    <row r="115" spans="1:26" ht="9.75" customHeight="1" outlineLevel="1">
      <c r="A115" s="63"/>
      <c r="B115" s="64" t="s">
        <v>282</v>
      </c>
      <c r="C115" s="147">
        <f>IF(Input!C49&gt;0,Input!C49/3.6,IF(C109&lt;&gt;"Aardgas",CEILING(IF(C109="N.v.t.","",IF(C109="Elektriciteit",DB_Overig!C190*34.8/3.6,DB_Overig!C190)),100000),IF(C109="N.v.t.","",IF(C109="Elektriciteit",DB_Overig!C191/3.6,DB_Overig!C190))))</f>
        <v>400000</v>
      </c>
      <c r="D115" s="79" t="str">
        <f>IF(C109="N.v.t.","",IF(C109="Elektriciteit","kWh / a","m3 / a"))</f>
        <v>kWh / a</v>
      </c>
      <c r="E115" s="148" t="s">
        <v>283</v>
      </c>
      <c r="F115" s="63"/>
      <c r="G115" s="63"/>
      <c r="H115" s="63" t="str">
        <f>Lijsten!A21</f>
        <v>not insulated</v>
      </c>
      <c r="I115" s="63" t="s">
        <v>1311</v>
      </c>
      <c r="J115" s="63"/>
      <c r="K115" s="63"/>
      <c r="L115" s="63"/>
      <c r="M115" s="63"/>
      <c r="N115" s="63"/>
      <c r="O115" s="63"/>
      <c r="P115" s="63"/>
      <c r="Q115" s="63"/>
      <c r="R115" s="63"/>
      <c r="S115" s="63"/>
      <c r="T115" s="63"/>
      <c r="U115" s="63"/>
      <c r="V115" s="63"/>
      <c r="W115" s="63"/>
      <c r="X115" s="63"/>
      <c r="Y115" s="63"/>
      <c r="Z115" s="63"/>
    </row>
    <row r="116" spans="1:26" ht="9.75" customHeight="1" outlineLevel="1">
      <c r="A116" s="63"/>
      <c r="B116" s="64"/>
      <c r="C116" s="92"/>
      <c r="D116" s="79"/>
      <c r="E116" s="68"/>
      <c r="F116" s="63"/>
      <c r="G116" s="63"/>
      <c r="H116" s="63" t="str">
        <f>Lijsten!A22</f>
        <v>insulated</v>
      </c>
      <c r="I116" s="63" t="s">
        <v>1312</v>
      </c>
      <c r="J116" s="63"/>
      <c r="K116" s="63"/>
      <c r="L116" s="63"/>
      <c r="M116" s="63"/>
      <c r="N116" s="63"/>
      <c r="O116" s="63"/>
      <c r="P116" s="63"/>
      <c r="Q116" s="63"/>
      <c r="R116" s="63"/>
      <c r="S116" s="63"/>
      <c r="T116" s="63"/>
      <c r="U116" s="63"/>
      <c r="V116" s="63"/>
      <c r="W116" s="63"/>
      <c r="X116" s="63"/>
      <c r="Y116" s="63"/>
      <c r="Z116" s="63"/>
    </row>
    <row r="117" spans="1:26" ht="9.75" customHeight="1" outlineLevel="1">
      <c r="A117" s="63"/>
      <c r="B117" s="64" t="s">
        <v>108</v>
      </c>
      <c r="C117" s="732" t="str">
        <f>VLOOKUP(Input!C35,$H$115:$I$117,2,FALSE)</f>
        <v>geisoleerd</v>
      </c>
      <c r="D117" s="733"/>
      <c r="E117" s="106"/>
      <c r="F117" s="63"/>
      <c r="G117" s="63"/>
      <c r="H117" s="63" t="str">
        <f>Lijsten!A23</f>
        <v>insulated and encased</v>
      </c>
      <c r="I117" s="63" t="s">
        <v>1313</v>
      </c>
      <c r="J117" s="63"/>
      <c r="K117" s="63"/>
      <c r="L117" s="63"/>
      <c r="M117" s="63"/>
      <c r="N117" s="63"/>
      <c r="O117" s="63"/>
      <c r="P117" s="63"/>
      <c r="Q117" s="63"/>
      <c r="R117" s="63"/>
      <c r="S117" s="63"/>
      <c r="T117" s="63"/>
      <c r="U117" s="63"/>
      <c r="V117" s="63"/>
      <c r="W117" s="63"/>
      <c r="X117" s="63"/>
      <c r="Y117" s="63"/>
      <c r="Z117" s="63"/>
    </row>
    <row r="118" spans="1:26" ht="9.75" customHeight="1" outlineLevel="1">
      <c r="A118" s="63"/>
      <c r="B118" s="64" t="s">
        <v>284</v>
      </c>
      <c r="C118" s="732" t="str">
        <f>VLOOKUP(Input!C36,$H$115:$I$117,2,FALSE)</f>
        <v>geisoleerd</v>
      </c>
      <c r="D118" s="733"/>
      <c r="E118" s="106"/>
      <c r="F118" s="23"/>
      <c r="G118" s="23"/>
      <c r="H118" s="63"/>
      <c r="I118" s="63"/>
      <c r="J118" s="63"/>
      <c r="K118" s="63"/>
      <c r="L118" s="63"/>
      <c r="M118" s="63"/>
      <c r="N118" s="63"/>
      <c r="O118" s="63"/>
      <c r="P118" s="63"/>
      <c r="Q118" s="63"/>
      <c r="R118" s="63"/>
      <c r="S118" s="63"/>
      <c r="T118" s="63"/>
      <c r="U118" s="63"/>
      <c r="V118" s="63"/>
      <c r="W118" s="63"/>
      <c r="X118" s="63"/>
      <c r="Y118" s="63"/>
      <c r="Z118" s="63"/>
    </row>
    <row r="119" spans="1:26" ht="9.75" customHeight="1" outlineLevel="1">
      <c r="A119" s="63"/>
      <c r="B119" s="64"/>
      <c r="C119" s="92"/>
      <c r="D119" s="79"/>
      <c r="E119" s="68"/>
      <c r="F119" s="23"/>
      <c r="G119" s="23"/>
      <c r="H119" s="63"/>
      <c r="I119" s="63"/>
      <c r="J119" s="63"/>
      <c r="K119" s="63"/>
      <c r="L119" s="63"/>
      <c r="M119" s="63"/>
      <c r="N119" s="63"/>
      <c r="O119" s="63"/>
      <c r="P119" s="63"/>
      <c r="Q119" s="63"/>
      <c r="R119" s="63"/>
      <c r="S119" s="63"/>
      <c r="T119" s="63"/>
      <c r="U119" s="63"/>
      <c r="V119" s="63"/>
      <c r="W119" s="63"/>
      <c r="X119" s="63"/>
      <c r="Y119" s="63"/>
      <c r="Z119" s="63"/>
    </row>
    <row r="120" spans="1:26" ht="9.75" customHeight="1" outlineLevel="1">
      <c r="A120" s="63"/>
      <c r="B120" s="64" t="s">
        <v>285</v>
      </c>
      <c r="C120" s="143">
        <f>Input!C40</f>
        <v>400</v>
      </c>
      <c r="D120" s="79" t="s">
        <v>241</v>
      </c>
      <c r="E120" s="148" t="s">
        <v>283</v>
      </c>
      <c r="F120" s="23"/>
      <c r="G120" s="23"/>
      <c r="H120" s="63"/>
      <c r="I120" s="63"/>
      <c r="J120" s="63"/>
      <c r="K120" s="63"/>
      <c r="L120" s="63"/>
      <c r="M120" s="63"/>
      <c r="N120" s="63"/>
      <c r="O120" s="63"/>
      <c r="P120" s="63"/>
      <c r="Q120" s="63"/>
      <c r="R120" s="63"/>
      <c r="S120" s="63"/>
      <c r="T120" s="63"/>
      <c r="U120" s="63"/>
      <c r="V120" s="63"/>
      <c r="W120" s="63"/>
      <c r="X120" s="63"/>
      <c r="Y120" s="63"/>
      <c r="Z120" s="63"/>
    </row>
    <row r="121" spans="1:26" ht="9.75" customHeight="1" outlineLevel="1">
      <c r="A121" s="63"/>
      <c r="B121" s="64" t="s">
        <v>286</v>
      </c>
      <c r="C121" s="143">
        <f>Input!C41</f>
        <v>2000</v>
      </c>
      <c r="D121" s="79" t="s">
        <v>241</v>
      </c>
      <c r="E121" s="148" t="s">
        <v>283</v>
      </c>
      <c r="F121" s="23"/>
      <c r="G121" s="23"/>
      <c r="H121" s="63"/>
      <c r="I121" s="63"/>
      <c r="J121" s="63"/>
      <c r="K121" s="63"/>
      <c r="L121" s="63"/>
      <c r="M121" s="63"/>
      <c r="N121" s="63"/>
      <c r="O121" s="63"/>
      <c r="P121" s="63"/>
      <c r="Q121" s="63"/>
      <c r="R121" s="63"/>
      <c r="S121" s="63"/>
      <c r="T121" s="63"/>
      <c r="U121" s="63"/>
      <c r="V121" s="63"/>
      <c r="W121" s="63"/>
      <c r="X121" s="63"/>
      <c r="Y121" s="63"/>
      <c r="Z121" s="63"/>
    </row>
    <row r="122" spans="1:26" ht="9.75" customHeight="1" outlineLevel="1">
      <c r="A122" s="63"/>
      <c r="B122" s="64" t="s">
        <v>287</v>
      </c>
      <c r="C122" s="143">
        <f>Input!C42</f>
        <v>1500</v>
      </c>
      <c r="D122" s="79" t="s">
        <v>288</v>
      </c>
      <c r="E122" s="148" t="s">
        <v>283</v>
      </c>
      <c r="F122" s="23"/>
      <c r="G122" s="23"/>
      <c r="H122" s="63"/>
      <c r="I122" s="63"/>
      <c r="J122" s="63"/>
      <c r="K122" s="63"/>
      <c r="L122" s="63"/>
      <c r="M122" s="63"/>
      <c r="N122" s="63"/>
      <c r="O122" s="63"/>
      <c r="P122" s="63"/>
      <c r="Q122" s="63"/>
      <c r="R122" s="63"/>
      <c r="S122" s="63"/>
      <c r="T122" s="63"/>
      <c r="U122" s="63"/>
      <c r="V122" s="63"/>
      <c r="W122" s="63"/>
      <c r="X122" s="63"/>
      <c r="Y122" s="63"/>
      <c r="Z122" s="63"/>
    </row>
    <row r="123" spans="1:26" ht="9.75" customHeight="1" outlineLevel="1">
      <c r="A123" s="63"/>
      <c r="B123" s="64"/>
      <c r="C123" s="92"/>
      <c r="D123" s="79"/>
      <c r="E123" s="68"/>
      <c r="F123" s="23"/>
      <c r="G123" s="23"/>
      <c r="H123" s="63"/>
      <c r="I123" s="63"/>
      <c r="J123" s="63"/>
      <c r="K123" s="63"/>
      <c r="L123" s="63"/>
      <c r="M123" s="63"/>
      <c r="N123" s="63"/>
      <c r="O123" s="63"/>
      <c r="P123" s="63"/>
      <c r="Q123" s="63"/>
      <c r="R123" s="63"/>
      <c r="S123" s="63"/>
      <c r="T123" s="63"/>
      <c r="U123" s="63"/>
      <c r="V123" s="63"/>
      <c r="W123" s="63"/>
      <c r="X123" s="63"/>
      <c r="Y123" s="63"/>
      <c r="Z123" s="63"/>
    </row>
    <row r="124" spans="1:26" ht="9.75" customHeight="1" outlineLevel="1">
      <c r="A124" s="63"/>
      <c r="B124" s="64" t="s">
        <v>289</v>
      </c>
      <c r="C124" s="142">
        <v>1.82</v>
      </c>
      <c r="D124" s="79" t="s">
        <v>241</v>
      </c>
      <c r="E124" s="106"/>
      <c r="F124" s="23"/>
      <c r="G124" s="23"/>
      <c r="H124" s="63"/>
      <c r="I124" s="63"/>
      <c r="J124" s="63"/>
      <c r="K124" s="63"/>
      <c r="L124" s="63"/>
      <c r="M124" s="63"/>
      <c r="N124" s="63"/>
      <c r="O124" s="63"/>
      <c r="P124" s="63"/>
      <c r="Q124" s="63"/>
      <c r="R124" s="63"/>
      <c r="S124" s="63"/>
      <c r="T124" s="63"/>
      <c r="U124" s="63"/>
      <c r="V124" s="63"/>
      <c r="W124" s="63"/>
      <c r="X124" s="63"/>
      <c r="Y124" s="63"/>
      <c r="Z124" s="63"/>
    </row>
    <row r="125" spans="1:26" ht="9.75" customHeight="1" outlineLevel="1">
      <c r="A125" s="63"/>
      <c r="B125" s="64" t="s">
        <v>290</v>
      </c>
      <c r="C125" s="142">
        <v>2.25</v>
      </c>
      <c r="D125" s="79" t="s">
        <v>241</v>
      </c>
      <c r="E125" s="106"/>
      <c r="F125" s="23"/>
      <c r="G125" s="23"/>
      <c r="H125" s="63"/>
      <c r="I125" s="63"/>
      <c r="J125" s="63"/>
      <c r="K125" s="63"/>
      <c r="L125" s="63"/>
      <c r="M125" s="63"/>
      <c r="N125" s="63"/>
      <c r="O125" s="63"/>
      <c r="P125" s="63"/>
      <c r="Q125" s="63"/>
      <c r="R125" s="63"/>
      <c r="S125" s="63"/>
      <c r="T125" s="63"/>
      <c r="U125" s="63"/>
      <c r="V125" s="63"/>
      <c r="W125" s="63"/>
      <c r="X125" s="63"/>
      <c r="Y125" s="63"/>
      <c r="Z125" s="63"/>
    </row>
    <row r="126" spans="1:26" ht="9.75" customHeight="1" outlineLevel="1">
      <c r="A126" s="63"/>
      <c r="B126" s="64" t="s">
        <v>291</v>
      </c>
      <c r="C126" s="142">
        <v>1.82</v>
      </c>
      <c r="D126" s="79" t="s">
        <v>241</v>
      </c>
      <c r="E126" s="106"/>
      <c r="F126" s="23"/>
      <c r="G126" s="23"/>
      <c r="H126" s="63"/>
      <c r="I126" s="63"/>
      <c r="J126" s="63"/>
      <c r="K126" s="63"/>
      <c r="L126" s="63"/>
      <c r="M126" s="63"/>
      <c r="N126" s="63"/>
      <c r="O126" s="63"/>
      <c r="P126" s="63"/>
      <c r="Q126" s="63"/>
      <c r="R126" s="63"/>
      <c r="S126" s="63"/>
      <c r="T126" s="63"/>
      <c r="U126" s="63"/>
      <c r="V126" s="63"/>
      <c r="W126" s="63"/>
      <c r="X126" s="63"/>
      <c r="Y126" s="63"/>
      <c r="Z126" s="63"/>
    </row>
    <row r="127" spans="1:26" ht="9.75" customHeight="1" outlineLevel="1">
      <c r="A127" s="63"/>
      <c r="B127" s="64" t="s">
        <v>292</v>
      </c>
      <c r="C127" s="142">
        <v>5</v>
      </c>
      <c r="D127" s="79" t="s">
        <v>241</v>
      </c>
      <c r="E127" s="106"/>
      <c r="F127" s="23"/>
      <c r="G127" s="23"/>
      <c r="H127" s="63"/>
      <c r="I127" s="63"/>
      <c r="J127" s="63"/>
      <c r="K127" s="63"/>
      <c r="L127" s="63"/>
      <c r="M127" s="63"/>
      <c r="N127" s="63"/>
      <c r="O127" s="63"/>
      <c r="P127" s="63"/>
      <c r="Q127" s="63"/>
      <c r="R127" s="63"/>
      <c r="S127" s="63"/>
      <c r="T127" s="63"/>
      <c r="U127" s="63"/>
      <c r="V127" s="63"/>
      <c r="W127" s="63"/>
      <c r="X127" s="63"/>
      <c r="Y127" s="63"/>
      <c r="Z127" s="63"/>
    </row>
    <row r="128" spans="1:26" ht="9.75" customHeight="1" outlineLevel="1">
      <c r="A128" s="63"/>
      <c r="B128" s="64" t="s">
        <v>293</v>
      </c>
      <c r="C128" s="142">
        <v>8.1300000000000008</v>
      </c>
      <c r="D128" s="79" t="s">
        <v>241</v>
      </c>
      <c r="E128" s="106"/>
      <c r="F128" s="23"/>
      <c r="G128" s="23"/>
      <c r="H128" s="63"/>
      <c r="I128" s="63"/>
      <c r="J128" s="63"/>
      <c r="K128" s="63"/>
      <c r="L128" s="63"/>
      <c r="M128" s="63"/>
      <c r="N128" s="63"/>
      <c r="O128" s="63"/>
      <c r="P128" s="63"/>
      <c r="Q128" s="63"/>
      <c r="R128" s="63"/>
      <c r="S128" s="63"/>
      <c r="T128" s="63"/>
      <c r="U128" s="63"/>
      <c r="V128" s="63"/>
      <c r="W128" s="63"/>
      <c r="X128" s="63"/>
      <c r="Y128" s="63"/>
      <c r="Z128" s="63"/>
    </row>
    <row r="129" spans="1:26" ht="9.75" customHeight="1" outlineLevel="1">
      <c r="A129" s="63"/>
      <c r="B129" s="117" t="s">
        <v>294</v>
      </c>
      <c r="C129" s="149">
        <v>1.82</v>
      </c>
      <c r="D129" s="119" t="s">
        <v>241</v>
      </c>
      <c r="E129" s="150"/>
      <c r="F129" s="23"/>
      <c r="G129" s="23"/>
      <c r="H129" s="63"/>
      <c r="I129" s="63"/>
      <c r="J129" s="63"/>
      <c r="K129" s="63"/>
      <c r="L129" s="63"/>
      <c r="M129" s="63"/>
      <c r="N129" s="63"/>
      <c r="O129" s="63"/>
      <c r="P129" s="63"/>
      <c r="Q129" s="63"/>
      <c r="R129" s="63"/>
      <c r="S129" s="63"/>
      <c r="T129" s="63"/>
      <c r="U129" s="63"/>
      <c r="V129" s="63"/>
      <c r="W129" s="63"/>
      <c r="X129" s="63"/>
      <c r="Y129" s="63"/>
      <c r="Z129" s="63"/>
    </row>
    <row r="130" spans="1:26" ht="9.75" customHeight="1">
      <c r="A130" s="63"/>
      <c r="B130" s="63"/>
      <c r="C130" s="63"/>
      <c r="D130" s="63"/>
      <c r="E130" s="63"/>
      <c r="F130" s="23"/>
      <c r="G130" s="23"/>
      <c r="H130" s="63"/>
      <c r="I130" s="63"/>
      <c r="J130" s="63"/>
      <c r="K130" s="63"/>
      <c r="L130" s="63"/>
      <c r="M130" s="63"/>
      <c r="N130" s="63"/>
      <c r="O130" s="63"/>
      <c r="P130" s="63"/>
      <c r="Q130" s="63"/>
      <c r="R130" s="63"/>
      <c r="S130" s="63"/>
      <c r="T130" s="63"/>
      <c r="U130" s="63"/>
      <c r="V130" s="63"/>
      <c r="W130" s="63"/>
      <c r="X130" s="63"/>
      <c r="Y130" s="63"/>
      <c r="Z130" s="63"/>
    </row>
    <row r="131" spans="1:26" ht="9.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9.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9.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9.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9.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9.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9.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9.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9.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9.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9.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9.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9.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9.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9.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9.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9.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9.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9.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9.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9.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9.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9.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9.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9.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9.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9.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9.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9.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9.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9.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9.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9.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9.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9.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9.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9.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9.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9.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9.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9.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9.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9.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9.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9.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9.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9.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9.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9.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9.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9.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9.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9.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9.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9.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9.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9.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9.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9.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9.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9.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9.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9.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9.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9.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9.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9.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9.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9.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9.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9.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9.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9.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9.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9.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9.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9.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9.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9.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9.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9.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9.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9.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9.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9.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9.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9.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9.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9.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9.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9.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9.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9.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9.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9.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9.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9.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9.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9.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9.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9.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9.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9.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9.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9.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9.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9.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9.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9.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9.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9.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9.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9.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9.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9.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9.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9.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9.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9.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9.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9.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9.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9.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9.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9.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9.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9.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9.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9.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9.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9.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9.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9.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9.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9.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9.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9.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9.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9.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9.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9.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9.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9.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9.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9.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9.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9.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9.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9.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9.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9.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9.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9.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9.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9.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9.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9.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9.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9.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9.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9.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9.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9.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9.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9.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9.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9.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9.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9.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9.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9.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9.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9.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9.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9.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9.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9.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9.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9.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9.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9.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9.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9.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9.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9.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9.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9.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9.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9.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9.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9.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9.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9.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9.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9.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9.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9.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9.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9.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9.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9.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9.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9.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9.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9.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9.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9.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9.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9.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9.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9.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9.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9.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9.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9.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9.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9.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9.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9.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9.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9.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9.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9.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9.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9.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9.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9.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9.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9.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9.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9.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9.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9.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9.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9.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9.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9.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9.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9.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9.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9.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9.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9.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9.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9.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9.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9.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9.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9.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9.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9.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9.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9.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9.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9.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9.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9.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9.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9.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9.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9.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9.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9.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9.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9.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9.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9.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9.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9.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9.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9.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9.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9.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9.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9.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9.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9.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9.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9.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9.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9.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9.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9.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9.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9.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9.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9.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9.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9.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9.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9.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9.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9.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9.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9.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9.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9.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9.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9.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9.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9.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9.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9.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9.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9.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9.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9.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9.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9.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9.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9.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9.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9.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9.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9.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9.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9.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9.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9.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9.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9.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9.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9.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9.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9.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9.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9.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9.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9.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9.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9.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9.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9.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9.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9.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9.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9.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9.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9.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9.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9.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9.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9.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9.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9.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9.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9.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9.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9.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9.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9.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9.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9.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9.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9.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9.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9.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9.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9.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9.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9.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9.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9.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9.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9.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9.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9.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9.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9.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9.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9.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9.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9.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9.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9.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9.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9.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9.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9.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9.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9.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9.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9.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9.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9.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9.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9.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9.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9.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9.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9.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9.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9.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9.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9.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9.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9.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9.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9.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9.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9.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9.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9.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9.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9.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9.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9.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9.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9.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9.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9.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9.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9.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9.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9.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9.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9.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9.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9.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9.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9.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9.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9.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9.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9.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9.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9.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9.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9.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9.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9.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9.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9.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9.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9.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9.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9.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9.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9.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9.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9.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9.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9.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9.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9.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9.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9.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9.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9.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9.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9.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9.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9.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9.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9.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9.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9.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9.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9.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9.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9.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9.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9.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9.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9.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9.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9.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9.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9.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9.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9.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9.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9.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9.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9.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9.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9.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9.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9.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9.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9.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9.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9.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9.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9.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9.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9.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9.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9.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9.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9.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9.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9.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9.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9.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9.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9.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9.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9.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9.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9.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9.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9.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9.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9.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9.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9.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9.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9.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9.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9.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9.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9.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9.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9.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9.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9.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9.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9.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9.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9.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9.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9.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9.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9.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9.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9.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9.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9.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9.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9.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9.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9.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9.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9.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9.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9.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9.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9.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9.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9.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9.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9.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9.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9.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9.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9.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9.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9.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9.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9.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9.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9.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9.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9.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9.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9.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9.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9.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9.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9.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9.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9.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9.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9.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9.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9.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9.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9.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9.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9.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9.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9.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9.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9.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9.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9.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9.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9.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9.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9.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9.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9.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9.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9.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9.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9.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9.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9.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9.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9.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9.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9.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9.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9.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9.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9.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9.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9.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9.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9.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9.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9.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9.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9.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9.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9.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9.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9.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9.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9.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9.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9.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9.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9.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9.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9.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9.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9.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9.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9.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9.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9.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9.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9.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9.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9.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9.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9.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9.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9.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9.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9.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9.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9.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9.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9.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9.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9.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9.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9.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9.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9.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9.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9.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9.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9.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9.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9.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9.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9.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9.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9.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9.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9.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9.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9.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9.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9.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9.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9.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9.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9.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9.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9.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9.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9.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9.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9.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9.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9.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9.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9.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9.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9.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9.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9.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9.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9.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9.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9.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9.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9.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9.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9.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9.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9.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9.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9.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9.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9.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9.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9.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9.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9.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9.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9.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9.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9.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9.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9.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9.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9.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9.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9.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9.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9.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9.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9.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9.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9.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9.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9.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9.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9.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9.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9.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9.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9.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9.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9.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9.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9.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9.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9.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9.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9.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9.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9.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9.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9.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9.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9.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9.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9.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9.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9.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9.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9.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9.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9.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9.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9.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9.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9.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9.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9.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9.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9.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9.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9.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9.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9.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9.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9.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9.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9.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9.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9.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9.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9.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9.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9.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9.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9.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9.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9.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9.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9.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9.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9.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9.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9.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9.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9.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9.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9.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9.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9.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9.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9.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9.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9.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9.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9.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9.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9.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9.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9.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9.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9.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9.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9.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9.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9.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9.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9.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9.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9.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9.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9.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9.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9.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9.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9.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9.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9.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9.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9.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9.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9.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9.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9.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9.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9.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9.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9.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9.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9.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9.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9.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9.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9.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9.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9.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9.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9.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9.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9.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9.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9.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9.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9.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9.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9.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9.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9.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9.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9.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9.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9.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9.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9.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9.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9.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9.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9.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9.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9.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9.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9.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9.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9.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9.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9.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9.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9.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9.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9.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9.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9.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9.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9.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9.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9.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9.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9.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9.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9.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9.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1:26" ht="9.75" customHeight="1">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row>
    <row r="1002" spans="1:26" ht="9.75" customHeight="1">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row>
    <row r="1003" spans="1:26" ht="9.75" customHeight="1">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row>
    <row r="1004" spans="1:26" ht="9.75" customHeight="1">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row>
    <row r="1005" spans="1:26" ht="9.75" customHeight="1">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row>
    <row r="1006" spans="1:26" ht="9.75" customHeight="1">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row>
    <row r="1007" spans="1:26" ht="9.75" customHeight="1">
      <c r="A1007" s="63"/>
      <c r="B1007" s="63"/>
      <c r="C1007" s="63"/>
      <c r="D1007" s="63"/>
      <c r="E1007" s="63"/>
      <c r="F1007" s="63"/>
      <c r="G1007" s="63"/>
      <c r="H1007" s="63"/>
      <c r="I1007" s="63"/>
      <c r="J1007" s="63"/>
      <c r="K1007" s="63"/>
      <c r="L1007" s="63"/>
      <c r="M1007" s="63"/>
      <c r="N1007" s="63"/>
      <c r="O1007" s="63"/>
      <c r="P1007" s="63"/>
      <c r="Q1007" s="63"/>
      <c r="R1007" s="63"/>
      <c r="S1007" s="63"/>
      <c r="T1007" s="63"/>
      <c r="U1007" s="63"/>
      <c r="V1007" s="63"/>
      <c r="W1007" s="63"/>
      <c r="X1007" s="63"/>
      <c r="Y1007" s="63"/>
      <c r="Z1007" s="63"/>
    </row>
    <row r="1008" spans="1:26" ht="9.75" customHeight="1">
      <c r="A1008" s="63"/>
      <c r="B1008" s="63"/>
      <c r="C1008" s="63"/>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row>
    <row r="1009" spans="1:26" ht="9.75" customHeight="1">
      <c r="A1009" s="63"/>
      <c r="B1009" s="63"/>
      <c r="C1009" s="63"/>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63"/>
      <c r="Z1009" s="63"/>
    </row>
    <row r="1010" spans="1:26" ht="9.75" customHeight="1">
      <c r="A1010" s="63"/>
      <c r="B1010" s="63"/>
      <c r="C1010" s="63"/>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63"/>
      <c r="Z1010" s="63"/>
    </row>
    <row r="1011" spans="1:26" ht="9.75" customHeight="1">
      <c r="A1011" s="63"/>
      <c r="B1011" s="63"/>
      <c r="C1011" s="63"/>
      <c r="D1011" s="63"/>
      <c r="E1011" s="63"/>
      <c r="F1011" s="63"/>
      <c r="G1011" s="63"/>
      <c r="H1011" s="63"/>
      <c r="I1011" s="63"/>
      <c r="J1011" s="63"/>
      <c r="K1011" s="63"/>
      <c r="L1011" s="63"/>
      <c r="M1011" s="63"/>
      <c r="N1011" s="63"/>
      <c r="O1011" s="63"/>
      <c r="P1011" s="63"/>
      <c r="Q1011" s="63"/>
      <c r="R1011" s="63"/>
      <c r="S1011" s="63"/>
      <c r="T1011" s="63"/>
      <c r="U1011" s="63"/>
      <c r="V1011" s="63"/>
      <c r="W1011" s="63"/>
      <c r="X1011" s="63"/>
      <c r="Y1011" s="63"/>
      <c r="Z1011" s="63"/>
    </row>
    <row r="1012" spans="1:26" ht="9.75" customHeight="1">
      <c r="A1012" s="63"/>
      <c r="B1012" s="63"/>
      <c r="C1012" s="63"/>
      <c r="D1012" s="63"/>
      <c r="E1012" s="63"/>
      <c r="F1012" s="63"/>
      <c r="G1012" s="63"/>
      <c r="H1012" s="63"/>
      <c r="I1012" s="63"/>
      <c r="J1012" s="63"/>
      <c r="K1012" s="63"/>
      <c r="L1012" s="63"/>
      <c r="M1012" s="63"/>
      <c r="N1012" s="63"/>
      <c r="O1012" s="63"/>
      <c r="P1012" s="63"/>
      <c r="Q1012" s="63"/>
      <c r="R1012" s="63"/>
      <c r="S1012" s="63"/>
      <c r="T1012" s="63"/>
      <c r="U1012" s="63"/>
      <c r="V1012" s="63"/>
      <c r="W1012" s="63"/>
      <c r="X1012" s="63"/>
      <c r="Y1012" s="63"/>
      <c r="Z1012" s="63"/>
    </row>
    <row r="1013" spans="1:26" ht="9.75" customHeight="1">
      <c r="A1013" s="63"/>
      <c r="B1013" s="63"/>
      <c r="C1013" s="63"/>
      <c r="D1013" s="63"/>
      <c r="E1013" s="63"/>
      <c r="F1013" s="63"/>
      <c r="G1013" s="63"/>
      <c r="H1013" s="63"/>
      <c r="I1013" s="63"/>
      <c r="J1013" s="63"/>
      <c r="K1013" s="63"/>
      <c r="L1013" s="63"/>
      <c r="M1013" s="63"/>
      <c r="N1013" s="63"/>
      <c r="O1013" s="63"/>
      <c r="P1013" s="63"/>
      <c r="Q1013" s="63"/>
      <c r="R1013" s="63"/>
      <c r="S1013" s="63"/>
      <c r="T1013" s="63"/>
      <c r="U1013" s="63"/>
      <c r="V1013" s="63"/>
      <c r="W1013" s="63"/>
      <c r="X1013" s="63"/>
      <c r="Y1013" s="63"/>
      <c r="Z1013" s="63"/>
    </row>
    <row r="1014" spans="1:26" ht="9.75" customHeight="1">
      <c r="A1014" s="63"/>
      <c r="B1014" s="63"/>
      <c r="C1014" s="63"/>
      <c r="D1014" s="63"/>
      <c r="E1014" s="63"/>
      <c r="F1014" s="63"/>
      <c r="G1014" s="63"/>
      <c r="H1014" s="63"/>
      <c r="I1014" s="63"/>
      <c r="J1014" s="63"/>
      <c r="K1014" s="63"/>
      <c r="L1014" s="63"/>
      <c r="M1014" s="63"/>
      <c r="N1014" s="63"/>
      <c r="O1014" s="63"/>
      <c r="P1014" s="63"/>
      <c r="Q1014" s="63"/>
      <c r="R1014" s="63"/>
      <c r="S1014" s="63"/>
      <c r="T1014" s="63"/>
      <c r="U1014" s="63"/>
      <c r="V1014" s="63"/>
      <c r="W1014" s="63"/>
      <c r="X1014" s="63"/>
      <c r="Y1014" s="63"/>
      <c r="Z1014" s="63"/>
    </row>
  </sheetData>
  <sheetProtection algorithmName="SHA-512" hashValue="8Kza9IjvYAZkSJuVL0dcYxlGL17N+8KhwrjzY1XbqRKToWb5BL9l9+/204uCKjYXZcVT/v7ULQkew5RX+cT4qA==" saltValue="t86kqJ8bKaOKJMvCDyMFMQ==" spinCount="100000" sheet="1" objects="1" scenarios="1"/>
  <mergeCells count="18">
    <mergeCell ref="B2:E2"/>
    <mergeCell ref="C3:E3"/>
    <mergeCell ref="C4:E4"/>
    <mergeCell ref="C6:E6"/>
    <mergeCell ref="C8:E8"/>
    <mergeCell ref="C9:E9"/>
    <mergeCell ref="C10:E10"/>
    <mergeCell ref="C69:D69"/>
    <mergeCell ref="C110:D110"/>
    <mergeCell ref="C117:D117"/>
    <mergeCell ref="C118:D118"/>
    <mergeCell ref="C11:E11"/>
    <mergeCell ref="C12:E12"/>
    <mergeCell ref="C13:E13"/>
    <mergeCell ref="C14:E14"/>
    <mergeCell ref="C66:E66"/>
    <mergeCell ref="C67:D67"/>
    <mergeCell ref="C68:D68"/>
  </mergeCells>
  <dataValidations xWindow="574" yWindow="617" count="13">
    <dataValidation type="decimal" operator="greaterThan" allowBlank="1" showInputMessage="1" showErrorMessage="1" prompt="Voer een waarde groter dan of gelijk aan 0 in." sqref="C18 C33:C34 C36:C48 C70:C71 C51:C56" xr:uid="{00000000-0002-0000-0600-000000000000}">
      <formula1>0</formula1>
    </dataValidation>
    <dataValidation type="list" allowBlank="1" sqref="C67" xr:uid="{00000000-0002-0000-0600-000001000000}">
      <formula1>Type_installatie</formula1>
    </dataValidation>
    <dataValidation type="list" allowBlank="1" showErrorMessage="1" sqref="C110" xr:uid="{00000000-0002-0000-0600-000002000000}">
      <formula1>LOCATIE</formula1>
    </dataValidation>
    <dataValidation type="list" allowBlank="1" sqref="C68" xr:uid="{00000000-0002-0000-0600-000003000000}">
      <formula1>ENERGY_CARRIERS_SELECT</formula1>
    </dataValidation>
    <dataValidation type="list" allowBlank="1" showErrorMessage="1" sqref="C112" xr:uid="{00000000-0002-0000-0600-000004000000}">
      <formula1>AANVOERTEMPERATUUR</formula1>
    </dataValidation>
    <dataValidation type="list" allowBlank="1" showErrorMessage="1" sqref="C113" xr:uid="{00000000-0002-0000-0600-000005000000}">
      <formula1>DOORLOOPTIJD</formula1>
    </dataValidation>
    <dataValidation type="list" allowBlank="1" showErrorMessage="1" sqref="C111" xr:uid="{00000000-0002-0000-0600-000006000000}">
      <formula1>ITEMS</formula1>
    </dataValidation>
    <dataValidation type="list" allowBlank="1" showErrorMessage="1" sqref="C109" xr:uid="{00000000-0002-0000-0600-000007000000}">
      <formula1>Bitumenverwarming</formula1>
    </dataValidation>
    <dataValidation type="decimal" operator="greaterThanOrEqual" allowBlank="1" showInputMessage="1" showErrorMessage="1" prompt="Voer een waarde groter dan of gelijk aan 0 in." sqref="C16 C58:C60" xr:uid="{00000000-0002-0000-0600-000008000000}">
      <formula1>0</formula1>
    </dataValidation>
    <dataValidation type="list" allowBlank="1" showErrorMessage="1" sqref="C114" xr:uid="{00000000-0002-0000-0600-000009000000}">
      <formula1>ISOLATIE</formula1>
    </dataValidation>
    <dataValidation type="list" allowBlank="1" showErrorMessage="1" sqref="C117:C118" xr:uid="{00000000-0002-0000-0600-00000A000000}">
      <formula1>ISOLATIE2</formula1>
    </dataValidation>
    <dataValidation type="list" allowBlank="1" sqref="C69" xr:uid="{00000000-0002-0000-0600-00000B000000}">
      <formula1>Keuze_Ja_Nee_Nvt</formula1>
    </dataValidation>
    <dataValidation type="decimal" operator="greaterThan" allowBlank="1" showInputMessage="1" showErrorMessage="1" prompt="Voer een waarde groter dan of gelijk aan 0 in." sqref="C57" xr:uid="{3FA35C15-394F-4D04-A61E-05063625F15F}">
      <formula1>-1</formula1>
    </dataValidation>
  </dataValidations>
  <hyperlinks>
    <hyperlink ref="B72" location="Projectinformatie!$B$65" display="Details kenmerken centrale" xr:uid="{00000000-0004-0000-0600-000000000000}"/>
  </hyperlinks>
  <printOptions horizontalCentered="1"/>
  <pageMargins left="0.6692913385826772" right="0.78740157480314965" top="0.78740157480314965" bottom="0.78740157480314965" header="0" footer="0"/>
  <pageSetup paperSize="9" orientation="portrait"/>
  <headerFooter>
    <oddHeader>&amp;C&amp;A</oddHeader>
    <oddFooter>&amp;C&amp;P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7CAAC"/>
  </sheetPr>
  <dimension ref="A1:BP1000"/>
  <sheetViews>
    <sheetView showGridLines="0" topLeftCell="B1" zoomScale="90" zoomScaleNormal="90" workbookViewId="0">
      <selection activeCell="B22" sqref="B22:I22"/>
    </sheetView>
  </sheetViews>
  <sheetFormatPr defaultColWidth="16.7109375" defaultRowHeight="15" customHeight="1"/>
  <cols>
    <col min="1" max="1" width="3.7109375" customWidth="1"/>
    <col min="2" max="2" width="58.28515625" customWidth="1"/>
    <col min="3" max="3" width="21.28515625" customWidth="1"/>
    <col min="4" max="4" width="14.28515625" customWidth="1"/>
    <col min="5" max="6" width="15.7109375" customWidth="1"/>
    <col min="7" max="7" width="15.28515625" customWidth="1"/>
    <col min="8" max="8" width="17.42578125" customWidth="1"/>
    <col min="9" max="13" width="13.7109375" customWidth="1"/>
    <col min="14" max="14" width="15.42578125" customWidth="1"/>
    <col min="15" max="15" width="47.42578125" customWidth="1"/>
    <col min="16" max="23" width="13" customWidth="1"/>
    <col min="24" max="24" width="16.7109375" customWidth="1"/>
    <col min="25" max="25" width="15.7109375" customWidth="1"/>
    <col min="26" max="26" width="10.7109375" customWidth="1"/>
    <col min="27" max="27" width="54" customWidth="1"/>
    <col min="28" max="28" width="21.28515625" customWidth="1"/>
    <col min="29" max="38" width="13.7109375" customWidth="1"/>
    <col min="39" max="39" width="16.42578125" customWidth="1"/>
    <col min="40" max="40" width="20.7109375" customWidth="1"/>
    <col min="41" max="41" width="10.7109375" customWidth="1"/>
    <col min="42" max="42" width="7.28515625" customWidth="1"/>
    <col min="43" max="43" width="52.7109375" customWidth="1"/>
    <col min="44" max="55" width="16" customWidth="1"/>
    <col min="56" max="56" width="14.28515625" customWidth="1"/>
    <col min="57" max="57" width="12" customWidth="1"/>
    <col min="58" max="58" width="11" customWidth="1"/>
    <col min="59" max="59" width="14" customWidth="1"/>
    <col min="60" max="60" width="12" customWidth="1"/>
    <col min="61" max="61" width="10.7109375" customWidth="1"/>
    <col min="62" max="62" width="14.28515625" customWidth="1"/>
    <col min="63" max="68" width="10.7109375" customWidth="1"/>
  </cols>
  <sheetData>
    <row r="1" spans="1:68" ht="9.75" customHeight="1" thickBot="1">
      <c r="A1" s="90"/>
      <c r="B1" s="90"/>
      <c r="C1" s="90"/>
      <c r="D1" s="90">
        <v>3</v>
      </c>
      <c r="E1" s="90">
        <v>4</v>
      </c>
      <c r="F1" s="90">
        <v>5</v>
      </c>
      <c r="G1" s="90">
        <v>6</v>
      </c>
      <c r="H1" s="90">
        <v>7</v>
      </c>
      <c r="I1" s="90">
        <v>8</v>
      </c>
      <c r="J1" s="90">
        <v>9</v>
      </c>
      <c r="K1" s="90">
        <v>10</v>
      </c>
      <c r="L1" s="90">
        <v>11</v>
      </c>
      <c r="M1" s="90">
        <v>12</v>
      </c>
      <c r="N1" s="90"/>
      <c r="O1" s="90"/>
      <c r="P1" s="90"/>
      <c r="Q1" s="34"/>
      <c r="R1" s="34"/>
      <c r="S1" s="34"/>
      <c r="T1" s="34"/>
      <c r="U1" s="34"/>
      <c r="V1" s="34"/>
      <c r="W1" s="34"/>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row>
    <row r="2" spans="1:68" ht="17.25" customHeight="1" thickBot="1">
      <c r="A2" s="90"/>
      <c r="B2" s="750" t="s">
        <v>295</v>
      </c>
      <c r="C2" s="751"/>
      <c r="D2" s="751"/>
      <c r="E2" s="751"/>
      <c r="F2" s="751"/>
      <c r="G2" s="751"/>
      <c r="H2" s="751"/>
      <c r="I2" s="751"/>
      <c r="J2" s="751"/>
      <c r="K2" s="751"/>
      <c r="L2" s="751"/>
      <c r="M2" s="751"/>
      <c r="N2" s="751"/>
      <c r="O2" s="752"/>
      <c r="P2" s="151" t="s">
        <v>296</v>
      </c>
      <c r="Q2" s="152"/>
      <c r="R2" s="152"/>
      <c r="S2" s="152"/>
      <c r="T2" s="152"/>
      <c r="U2" s="152"/>
      <c r="V2" s="152"/>
      <c r="W2" s="152"/>
      <c r="X2" s="152"/>
      <c r="Y2" s="153"/>
      <c r="Z2" s="90"/>
      <c r="AA2" s="753" t="s">
        <v>297</v>
      </c>
      <c r="AB2" s="751"/>
      <c r="AC2" s="751"/>
      <c r="AD2" s="751"/>
      <c r="AE2" s="751"/>
      <c r="AF2" s="751"/>
      <c r="AG2" s="751"/>
      <c r="AH2" s="751"/>
      <c r="AI2" s="751"/>
      <c r="AJ2" s="751"/>
      <c r="AK2" s="751"/>
      <c r="AL2" s="751"/>
      <c r="AM2" s="752"/>
      <c r="AN2" s="90"/>
      <c r="AO2" s="90"/>
      <c r="AP2" s="750" t="s">
        <v>298</v>
      </c>
      <c r="AQ2" s="751"/>
      <c r="AR2" s="751"/>
      <c r="AS2" s="751"/>
      <c r="AT2" s="751"/>
      <c r="AU2" s="751"/>
      <c r="AV2" s="751"/>
      <c r="AW2" s="751"/>
      <c r="AX2" s="751"/>
      <c r="AY2" s="751"/>
      <c r="AZ2" s="751"/>
      <c r="BA2" s="751"/>
      <c r="BB2" s="751"/>
      <c r="BC2" s="751"/>
      <c r="BD2" s="752"/>
      <c r="BE2" s="90"/>
      <c r="BF2" s="90"/>
      <c r="BG2" s="90"/>
      <c r="BH2" s="90"/>
      <c r="BI2" s="90"/>
      <c r="BJ2" s="90"/>
      <c r="BK2" s="90"/>
      <c r="BL2" s="90"/>
      <c r="BM2" s="90"/>
      <c r="BN2" s="90"/>
      <c r="BO2" s="90"/>
      <c r="BP2" s="90"/>
    </row>
    <row r="3" spans="1:68" ht="36" customHeight="1" thickBot="1">
      <c r="A3" s="90"/>
      <c r="B3" s="154" t="s">
        <v>299</v>
      </c>
      <c r="C3" s="155" t="s">
        <v>200</v>
      </c>
      <c r="D3" s="547" t="s">
        <v>1384</v>
      </c>
      <c r="E3" s="156" t="s">
        <v>1385</v>
      </c>
      <c r="F3" s="156" t="s">
        <v>1386</v>
      </c>
      <c r="G3" s="156" t="s">
        <v>1387</v>
      </c>
      <c r="H3" s="156" t="s">
        <v>1388</v>
      </c>
      <c r="I3" s="521" t="s">
        <v>1389</v>
      </c>
      <c r="J3" s="573" t="s">
        <v>1390</v>
      </c>
      <c r="K3" s="573" t="s">
        <v>1391</v>
      </c>
      <c r="L3" s="544" t="s">
        <v>1392</v>
      </c>
      <c r="M3" s="538" t="s">
        <v>1393</v>
      </c>
      <c r="N3" s="159" t="s">
        <v>306</v>
      </c>
      <c r="O3" s="160" t="s">
        <v>307</v>
      </c>
      <c r="P3" s="161" t="s">
        <v>1423</v>
      </c>
      <c r="Q3" s="161" t="s">
        <v>1424</v>
      </c>
      <c r="R3" s="161" t="s">
        <v>1425</v>
      </c>
      <c r="S3" s="161" t="s">
        <v>1426</v>
      </c>
      <c r="T3" s="161" t="s">
        <v>1427</v>
      </c>
      <c r="U3" s="161" t="s">
        <v>1428</v>
      </c>
      <c r="V3" s="161" t="s">
        <v>1429</v>
      </c>
      <c r="W3" s="161" t="s">
        <v>1430</v>
      </c>
      <c r="X3" s="161" t="s">
        <v>313</v>
      </c>
      <c r="Y3" s="162" t="s">
        <v>314</v>
      </c>
      <c r="Z3" s="161"/>
      <c r="AA3" s="154" t="s">
        <v>299</v>
      </c>
      <c r="AB3" s="155" t="s">
        <v>200</v>
      </c>
      <c r="AC3" s="547" t="s">
        <v>1384</v>
      </c>
      <c r="AD3" s="547" t="s">
        <v>1385</v>
      </c>
      <c r="AE3" s="547" t="s">
        <v>1386</v>
      </c>
      <c r="AF3" s="592" t="s">
        <v>1387</v>
      </c>
      <c r="AG3" s="592" t="s">
        <v>1388</v>
      </c>
      <c r="AH3" s="593" t="s">
        <v>1389</v>
      </c>
      <c r="AI3" s="594" t="s">
        <v>1390</v>
      </c>
      <c r="AJ3" s="593" t="s">
        <v>1391</v>
      </c>
      <c r="AK3" s="595" t="s">
        <v>1392</v>
      </c>
      <c r="AL3" s="596" t="s">
        <v>1393</v>
      </c>
      <c r="AM3" s="159" t="s">
        <v>315</v>
      </c>
      <c r="AN3" s="160" t="s">
        <v>307</v>
      </c>
      <c r="AO3" s="161"/>
      <c r="AP3" s="163"/>
      <c r="AQ3" s="164" t="s">
        <v>316</v>
      </c>
      <c r="AR3" s="165"/>
      <c r="AS3" s="165"/>
      <c r="AT3" s="165"/>
      <c r="AU3" s="165"/>
      <c r="AV3" s="165"/>
      <c r="AW3" s="165"/>
      <c r="AX3" s="165"/>
      <c r="AY3" s="165"/>
      <c r="AZ3" s="165"/>
      <c r="BA3" s="165"/>
      <c r="BB3" s="165"/>
      <c r="BC3" s="165"/>
      <c r="BD3" s="166"/>
      <c r="BE3" s="90"/>
      <c r="BF3" s="90"/>
      <c r="BG3" s="90"/>
      <c r="BH3" s="90"/>
      <c r="BI3" s="90"/>
      <c r="BJ3" s="90"/>
      <c r="BK3" s="90"/>
      <c r="BL3" s="90"/>
      <c r="BM3" s="90"/>
      <c r="BN3" s="90"/>
      <c r="BO3" s="90"/>
      <c r="BP3" s="90"/>
    </row>
    <row r="4" spans="1:68" ht="15.75" customHeight="1" thickBot="1">
      <c r="A4" s="90"/>
      <c r="B4" s="167" t="s">
        <v>317</v>
      </c>
      <c r="C4" s="168" t="s">
        <v>318</v>
      </c>
      <c r="D4" s="169">
        <f t="shared" ref="D4:M4" si="0">SUM(D5:D15)</f>
        <v>297.49137439954671</v>
      </c>
      <c r="E4" s="169">
        <f t="shared" si="0"/>
        <v>318.16369501236994</v>
      </c>
      <c r="F4" s="169">
        <f t="shared" si="0"/>
        <v>296.42899642708659</v>
      </c>
      <c r="G4" s="169">
        <f t="shared" si="0"/>
        <v>297.40907005521956</v>
      </c>
      <c r="H4" s="169">
        <f t="shared" si="0"/>
        <v>283.78012865960505</v>
      </c>
      <c r="I4" s="170">
        <f t="shared" si="0"/>
        <v>311.52885132767051</v>
      </c>
      <c r="J4" s="170">
        <f t="shared" si="0"/>
        <v>273.77464423322562</v>
      </c>
      <c r="K4" s="170">
        <f t="shared" si="0"/>
        <v>272.93758567454876</v>
      </c>
      <c r="L4" s="170">
        <f t="shared" si="0"/>
        <v>269.60821976882755</v>
      </c>
      <c r="M4" s="170">
        <f t="shared" si="0"/>
        <v>249.85605262019902</v>
      </c>
      <c r="N4" s="171">
        <f>SUM(N5:N15)</f>
        <v>305.95403749638893</v>
      </c>
      <c r="O4" s="172">
        <f>N4/(($N$4*$N$25/1000)/Projectinformatie!$C$20)</f>
        <v>0.33826930406890343</v>
      </c>
      <c r="P4" s="173"/>
      <c r="Q4" s="173"/>
      <c r="R4" s="173"/>
      <c r="S4" s="173"/>
      <c r="T4" s="173"/>
      <c r="U4" s="173"/>
      <c r="V4" s="173"/>
      <c r="W4" s="173"/>
      <c r="X4" s="173"/>
      <c r="Y4" s="174"/>
      <c r="Z4" s="90"/>
      <c r="AA4" s="167" t="s">
        <v>317</v>
      </c>
      <c r="AB4" s="168" t="s">
        <v>318</v>
      </c>
      <c r="AC4" s="169">
        <f>SUM(AC5:AC16)</f>
        <v>297.49137439954671</v>
      </c>
      <c r="AD4" s="169">
        <f t="shared" ref="AD4:AE4" si="1">SUM(AD5:AD16)</f>
        <v>318.16369501236994</v>
      </c>
      <c r="AE4" s="169">
        <f t="shared" si="1"/>
        <v>296.42899642708659</v>
      </c>
      <c r="AF4" s="169">
        <f>SUM(AF5:AF15)</f>
        <v>297.40907005521956</v>
      </c>
      <c r="AG4" s="169">
        <f t="shared" ref="AG4:AM4" si="2">SUM(AG5:AG16)</f>
        <v>283.78012865960505</v>
      </c>
      <c r="AH4" s="170">
        <f t="shared" si="2"/>
        <v>311.52885132767051</v>
      </c>
      <c r="AI4" s="170">
        <f t="shared" ref="AI4:AL4" si="3">SUM(AI5:AI16)</f>
        <v>273.77464423322562</v>
      </c>
      <c r="AJ4" s="170">
        <f t="shared" si="3"/>
        <v>272.93758567454876</v>
      </c>
      <c r="AK4" s="170">
        <f t="shared" si="3"/>
        <v>269.60821976882755</v>
      </c>
      <c r="AL4" s="169">
        <f t="shared" si="3"/>
        <v>249.85605262019902</v>
      </c>
      <c r="AM4" s="171">
        <f t="shared" si="2"/>
        <v>305.95403749638893</v>
      </c>
      <c r="AN4" s="172">
        <f>AM4/(($AM$4*$N$25/1000)/Projectinformatie!$C$20)</f>
        <v>0.33826930406890343</v>
      </c>
      <c r="AO4" s="90"/>
      <c r="AP4" s="175"/>
      <c r="AQ4" s="91" t="s">
        <v>319</v>
      </c>
      <c r="AR4" s="90"/>
      <c r="AS4" s="90"/>
      <c r="AT4" s="90"/>
      <c r="AU4" s="90"/>
      <c r="AV4" s="90"/>
      <c r="AW4" s="90"/>
      <c r="AX4" s="90"/>
      <c r="AY4" s="90"/>
      <c r="AZ4" s="90"/>
      <c r="BA4" s="90"/>
      <c r="BB4" s="90"/>
      <c r="BC4" s="90"/>
      <c r="BD4" s="176"/>
      <c r="BE4" s="90"/>
      <c r="BF4" s="90"/>
      <c r="BG4" s="90"/>
      <c r="BH4" s="90"/>
      <c r="BI4" s="90"/>
      <c r="BJ4" s="90"/>
      <c r="BK4" s="90"/>
      <c r="BL4" s="90"/>
      <c r="BM4" s="90"/>
      <c r="BN4" s="90"/>
      <c r="BO4" s="90"/>
      <c r="BP4" s="90"/>
    </row>
    <row r="5" spans="1:68" ht="9.75" customHeight="1">
      <c r="A5" s="90"/>
      <c r="B5" s="177" t="s">
        <v>320</v>
      </c>
      <c r="C5" s="178" t="s">
        <v>318</v>
      </c>
      <c r="D5" s="179">
        <f t="shared" ref="D5:L5" si="4">(((D42+D41)*$D92+D40*$D91)*(D55-$N60))</f>
        <v>123.01270799999999</v>
      </c>
      <c r="E5" s="180">
        <f t="shared" si="4"/>
        <v>0</v>
      </c>
      <c r="F5" s="180">
        <f>(((F42+F41)*$D92+F40*$D91)*(F55-$N60))</f>
        <v>121.90323599999998</v>
      </c>
      <c r="G5" s="180">
        <f t="shared" si="4"/>
        <v>125.59503599999998</v>
      </c>
      <c r="H5" s="180">
        <f t="shared" si="4"/>
        <v>120.36318</v>
      </c>
      <c r="I5" s="542">
        <f t="shared" si="4"/>
        <v>117.604032</v>
      </c>
      <c r="J5" s="545">
        <f t="shared" si="4"/>
        <v>104.38570799999999</v>
      </c>
      <c r="K5" s="545">
        <f t="shared" si="4"/>
        <v>103.44423599999999</v>
      </c>
      <c r="L5" s="545">
        <f t="shared" si="4"/>
        <v>103.44423599999999</v>
      </c>
      <c r="M5" s="545">
        <v>0</v>
      </c>
      <c r="N5" s="181">
        <f t="shared" ref="N5:N10" si="5">SUMPRODUCT(D5:M5,$D$25:$M$25)/$N$25</f>
        <v>80.012055253104023</v>
      </c>
      <c r="O5" s="182">
        <f t="shared" ref="O5:O11" si="6">N5/($N$17/$O$17)</f>
        <v>89.037075116236196</v>
      </c>
      <c r="P5" s="183">
        <f>(((D42+D41)*$D92+D40*$D91)*(D28+D54-$N60))</f>
        <v>123.01270799999999</v>
      </c>
      <c r="Q5" s="183">
        <f t="shared" ref="Q5:W5" si="7">(((F42+F41)*$D92+F40*$D91)*(F28+F54-$N60))</f>
        <v>121.90323599999998</v>
      </c>
      <c r="R5" s="183">
        <f t="shared" si="7"/>
        <v>125.59503599999998</v>
      </c>
      <c r="S5" s="183">
        <f t="shared" si="7"/>
        <v>120.36318</v>
      </c>
      <c r="T5" s="183">
        <f t="shared" si="7"/>
        <v>117.604032</v>
      </c>
      <c r="U5" s="183">
        <f t="shared" si="7"/>
        <v>104.38570799999999</v>
      </c>
      <c r="V5" s="183">
        <f t="shared" si="7"/>
        <v>103.44423599999999</v>
      </c>
      <c r="W5" s="183">
        <f t="shared" si="7"/>
        <v>103.44423599999999</v>
      </c>
      <c r="X5" s="183">
        <f>(P5*$D$25+E5*$E$25+Q5*$F$25+R5*$G$25+S5*$H$25+T5*$I$25+U5*$J$25+V5*$K$25+W5*$L$25)/(N$25)</f>
        <v>80.012055253104023</v>
      </c>
      <c r="Y5" s="184">
        <f>X5/N5</f>
        <v>1</v>
      </c>
      <c r="Z5" s="185"/>
      <c r="AA5" s="177" t="s">
        <v>320</v>
      </c>
      <c r="AB5" s="178" t="s">
        <v>318</v>
      </c>
      <c r="AC5" s="186">
        <f>P5</f>
        <v>123.01270799999999</v>
      </c>
      <c r="AD5" s="186">
        <f t="shared" ref="AD5:AD15" si="8">E5</f>
        <v>0</v>
      </c>
      <c r="AE5" s="186">
        <f t="shared" ref="AE5:AK5" si="9">Q5</f>
        <v>121.90323599999998</v>
      </c>
      <c r="AF5" s="186">
        <f t="shared" si="9"/>
        <v>125.59503599999998</v>
      </c>
      <c r="AG5" s="186">
        <f t="shared" si="9"/>
        <v>120.36318</v>
      </c>
      <c r="AH5" s="590">
        <f t="shared" si="9"/>
        <v>117.604032</v>
      </c>
      <c r="AI5" s="590">
        <f t="shared" si="9"/>
        <v>104.38570799999999</v>
      </c>
      <c r="AJ5" s="590">
        <f t="shared" si="9"/>
        <v>103.44423599999999</v>
      </c>
      <c r="AK5" s="590">
        <f t="shared" si="9"/>
        <v>103.44423599999999</v>
      </c>
      <c r="AL5" s="186">
        <f t="shared" ref="AL5:AL15" si="10">M5</f>
        <v>0</v>
      </c>
      <c r="AM5" s="181">
        <f t="shared" ref="AM5:AM18" si="11">SUMPRODUCT(AC5:AL5,D$25:M$25)/N$25</f>
        <v>80.012055253104023</v>
      </c>
      <c r="AN5" s="187">
        <f>AM5/($AM$17/$AN$17)</f>
        <v>89.037075116236196</v>
      </c>
      <c r="AO5" s="185"/>
      <c r="AP5" s="188"/>
      <c r="AQ5" s="189" t="s">
        <v>321</v>
      </c>
      <c r="AR5" s="189" t="s">
        <v>322</v>
      </c>
      <c r="AS5" s="189" t="s">
        <v>323</v>
      </c>
      <c r="AT5" s="90"/>
      <c r="AU5" s="90"/>
      <c r="AV5" s="90"/>
      <c r="AW5" s="90"/>
      <c r="AX5" s="90"/>
      <c r="AY5" s="90"/>
      <c r="AZ5" s="90"/>
      <c r="BA5" s="90"/>
      <c r="BB5" s="90"/>
      <c r="BC5" s="90"/>
      <c r="BD5" s="176"/>
      <c r="BE5" s="90"/>
      <c r="BF5" s="90"/>
      <c r="BG5" s="90"/>
      <c r="BH5" s="90"/>
      <c r="BI5" s="90"/>
      <c r="BJ5" s="90"/>
      <c r="BK5" s="90"/>
      <c r="BL5" s="90"/>
      <c r="BM5" s="90"/>
      <c r="BN5" s="90"/>
      <c r="BO5" s="90"/>
      <c r="BP5" s="90"/>
    </row>
    <row r="6" spans="1:68" ht="9.75" customHeight="1">
      <c r="A6" s="90"/>
      <c r="B6" s="190" t="s">
        <v>324</v>
      </c>
      <c r="C6" s="191" t="s">
        <v>318</v>
      </c>
      <c r="D6" s="192">
        <v>0</v>
      </c>
      <c r="E6" s="524">
        <f>IF(Projectinformatie!C69="Nee",(E43)*$D93*(E57-$N60),(E43)*$D93*(E56-$N60))</f>
        <v>146.93899999999999</v>
      </c>
      <c r="F6" s="192">
        <f>(F43)*$D93*(F56-$N60)</f>
        <v>0</v>
      </c>
      <c r="G6" s="192">
        <v>0</v>
      </c>
      <c r="H6" s="192">
        <v>0</v>
      </c>
      <c r="I6" s="193">
        <f>D6</f>
        <v>0</v>
      </c>
      <c r="J6" s="546">
        <v>0</v>
      </c>
      <c r="K6" s="546">
        <v>0</v>
      </c>
      <c r="L6" s="546">
        <v>0</v>
      </c>
      <c r="M6" s="587">
        <f>IF(Projectinformatie!C69="Nee",(M43)*$D93*(M57-$N60),(M43)*$D93*(M56-$N60))</f>
        <v>124.68899999999999</v>
      </c>
      <c r="N6" s="181">
        <f t="shared" si="5"/>
        <v>50.131828294461542</v>
      </c>
      <c r="O6" s="182">
        <f t="shared" si="6"/>
        <v>55.786485517069195</v>
      </c>
      <c r="P6" s="183"/>
      <c r="Q6" s="183"/>
      <c r="R6" s="183"/>
      <c r="S6" s="183"/>
      <c r="T6" s="183"/>
      <c r="U6" s="183"/>
      <c r="V6" s="183"/>
      <c r="W6" s="183"/>
      <c r="X6" s="183"/>
      <c r="Y6" s="184"/>
      <c r="Z6" s="185"/>
      <c r="AA6" s="190" t="s">
        <v>324</v>
      </c>
      <c r="AB6" s="191" t="s">
        <v>318</v>
      </c>
      <c r="AC6" s="195">
        <f>D6</f>
        <v>0</v>
      </c>
      <c r="AD6" s="186">
        <f t="shared" si="8"/>
        <v>146.93899999999999</v>
      </c>
      <c r="AE6" s="195">
        <f t="shared" ref="AE6:AK6" si="12">F6</f>
        <v>0</v>
      </c>
      <c r="AF6" s="195">
        <f t="shared" si="12"/>
        <v>0</v>
      </c>
      <c r="AG6" s="195">
        <f t="shared" si="12"/>
        <v>0</v>
      </c>
      <c r="AH6" s="196">
        <f t="shared" si="12"/>
        <v>0</v>
      </c>
      <c r="AI6" s="196">
        <f t="shared" si="12"/>
        <v>0</v>
      </c>
      <c r="AJ6" s="196">
        <f t="shared" si="12"/>
        <v>0</v>
      </c>
      <c r="AK6" s="196">
        <f t="shared" si="12"/>
        <v>0</v>
      </c>
      <c r="AL6" s="186">
        <f t="shared" si="10"/>
        <v>124.68899999999999</v>
      </c>
      <c r="AM6" s="181">
        <f t="shared" si="11"/>
        <v>50.131828294461542</v>
      </c>
      <c r="AN6" s="187">
        <f>AM6/($AM$17/$AN$17)</f>
        <v>55.786485517069195</v>
      </c>
      <c r="AO6" s="185"/>
      <c r="AP6" s="188"/>
      <c r="AQ6" s="197" t="str">
        <f>Energiebalans!D13</f>
        <v>Opwarmen mineralen witte trommel</v>
      </c>
      <c r="AR6" s="197">
        <f>Energiebalans!E13</f>
        <v>17262748.523638688</v>
      </c>
      <c r="AS6" s="197">
        <f>Energiebalans!F13</f>
        <v>0</v>
      </c>
      <c r="AT6" s="90"/>
      <c r="AU6" s="90"/>
      <c r="AV6" s="90"/>
      <c r="AW6" s="90"/>
      <c r="AX6" s="90"/>
      <c r="AY6" s="90"/>
      <c r="AZ6" s="90"/>
      <c r="BA6" s="90"/>
      <c r="BB6" s="90"/>
      <c r="BC6" s="90"/>
      <c r="BD6" s="176"/>
      <c r="BE6" s="90"/>
      <c r="BF6" s="90"/>
      <c r="BG6" s="90"/>
      <c r="BH6" s="90"/>
      <c r="BI6" s="90"/>
      <c r="BJ6" s="90"/>
      <c r="BK6" s="90"/>
      <c r="BL6" s="90"/>
      <c r="BM6" s="90"/>
      <c r="BN6" s="90"/>
      <c r="BO6" s="90"/>
      <c r="BP6" s="90"/>
    </row>
    <row r="7" spans="1:68" ht="9.75" customHeight="1">
      <c r="A7" s="90"/>
      <c r="B7" s="190" t="s">
        <v>325</v>
      </c>
      <c r="C7" s="191" t="s">
        <v>318</v>
      </c>
      <c r="D7" s="198">
        <f>(D49*($D95+$D96*($D110-$N60)+$D97*(D58-$D110)))/1000</f>
        <v>91.871662619999995</v>
      </c>
      <c r="E7" s="192">
        <v>0</v>
      </c>
      <c r="F7" s="198">
        <f t="shared" ref="F7:L7" si="13">(F49*($D95+$D96*($D110-$N60)+$D97*(F58-$D110)))/1000</f>
        <v>90.048970267499982</v>
      </c>
      <c r="G7" s="198">
        <f t="shared" si="13"/>
        <v>87.190430894999992</v>
      </c>
      <c r="H7" s="198">
        <f t="shared" si="13"/>
        <v>80.158623239999997</v>
      </c>
      <c r="I7" s="198">
        <f t="shared" si="13"/>
        <v>104.31178692749999</v>
      </c>
      <c r="J7" s="198">
        <f t="shared" si="13"/>
        <v>91.536139619999986</v>
      </c>
      <c r="K7" s="198">
        <f t="shared" si="13"/>
        <v>89.720103892499978</v>
      </c>
      <c r="L7" s="198">
        <f t="shared" si="13"/>
        <v>86.872004145000005</v>
      </c>
      <c r="M7" s="192">
        <v>0</v>
      </c>
      <c r="N7" s="181">
        <f t="shared" si="5"/>
        <v>61.344680043818123</v>
      </c>
      <c r="O7" s="182">
        <f t="shared" si="6"/>
        <v>68.264099300599042</v>
      </c>
      <c r="P7" s="478">
        <f>(D49*($D95+$D96*($D110-$N60)+$D97*(Projectinformatie!C103-$D110)))/1000</f>
        <v>91.871662619999995</v>
      </c>
      <c r="Q7" s="183">
        <f>(F49*($D95+$D96*($D110-$N60)+$D97*(F58-$D110)))/1000</f>
        <v>90.048970267499982</v>
      </c>
      <c r="R7" s="183">
        <f>(G49*($D95+$D96*($D110-$N60)+$D97*(Projectinformatie!C103-$D110)))/1000</f>
        <v>87.190430894999992</v>
      </c>
      <c r="S7" s="183">
        <f>(H49*($D95+$D96*($D110-$N60)+$D97*(Projectinformatie!C103-$D110)))/1000</f>
        <v>80.158623239999997</v>
      </c>
      <c r="T7" s="183">
        <f>(I49*($D95+$D96*($D110-$N60)+$D97*(Projectinformatie!C103-$D110)))/1000</f>
        <v>104.31178692749999</v>
      </c>
      <c r="U7" s="478">
        <f>(J49*($D95+$D96*($D110-$N60)+$D97*(Projectinformatie!C104-$D110)))/1000</f>
        <v>91.536139619999986</v>
      </c>
      <c r="V7" s="183">
        <f>(K49*($D95+$D96*($D110-$N60)+$D97*(Projectinformatie!C104-$D110)))/1000</f>
        <v>89.720103892499978</v>
      </c>
      <c r="W7" s="183">
        <f>(L49*($D95+$D96*($D110-$N60)+$D97*(Projectinformatie!C104-$D110)))/1000</f>
        <v>86.872004145000005</v>
      </c>
      <c r="X7" s="183">
        <f>(P7*$D$25+E7*$E$25+Q7*$F$25+R7*$G$25+S7*$H$25+T7*$I$25+U7*$J$25+V7*$K$25+W7*$L$25+M7*$M$25)/(N$25)</f>
        <v>61.344680043818123</v>
      </c>
      <c r="Y7" s="184">
        <f>X7/N7</f>
        <v>1</v>
      </c>
      <c r="Z7" s="90"/>
      <c r="AA7" s="190" t="s">
        <v>325</v>
      </c>
      <c r="AB7" s="191" t="s">
        <v>318</v>
      </c>
      <c r="AC7" s="195">
        <f>P7</f>
        <v>91.871662619999995</v>
      </c>
      <c r="AD7" s="186">
        <f t="shared" si="8"/>
        <v>0</v>
      </c>
      <c r="AE7" s="195">
        <f t="shared" ref="AE7:AK7" si="14">Q7</f>
        <v>90.048970267499982</v>
      </c>
      <c r="AF7" s="195">
        <f t="shared" si="14"/>
        <v>87.190430894999992</v>
      </c>
      <c r="AG7" s="195">
        <f t="shared" si="14"/>
        <v>80.158623239999997</v>
      </c>
      <c r="AH7" s="196">
        <f t="shared" si="14"/>
        <v>104.31178692749999</v>
      </c>
      <c r="AI7" s="196">
        <f t="shared" si="14"/>
        <v>91.536139619999986</v>
      </c>
      <c r="AJ7" s="196">
        <f t="shared" si="14"/>
        <v>89.720103892499978</v>
      </c>
      <c r="AK7" s="196">
        <f t="shared" si="14"/>
        <v>86.872004145000005</v>
      </c>
      <c r="AL7" s="186">
        <f t="shared" si="10"/>
        <v>0</v>
      </c>
      <c r="AM7" s="181">
        <f t="shared" si="11"/>
        <v>61.344680043818123</v>
      </c>
      <c r="AN7" s="187">
        <f>AM7/($AM$17/$AN$17)</f>
        <v>68.264099300599042</v>
      </c>
      <c r="AO7" s="185"/>
      <c r="AP7" s="188"/>
      <c r="AQ7" s="197" t="str">
        <f>Energiebalans!D14</f>
        <v>Opwarmen AG paralleltrommel</v>
      </c>
      <c r="AR7" s="197">
        <f>Energiebalans!E14</f>
        <v>10816034.435560273</v>
      </c>
      <c r="AS7" s="197">
        <f>Energiebalans!F14</f>
        <v>0</v>
      </c>
      <c r="AT7" s="90"/>
      <c r="AU7" s="90"/>
      <c r="AV7" s="90"/>
      <c r="AW7" s="90"/>
      <c r="AX7" s="90"/>
      <c r="AY7" s="90"/>
      <c r="AZ7" s="90"/>
      <c r="BA7" s="90"/>
      <c r="BB7" s="90"/>
      <c r="BC7" s="90"/>
      <c r="BD7" s="176"/>
      <c r="BE7" s="90"/>
      <c r="BF7" s="90"/>
      <c r="BG7" s="90"/>
      <c r="BH7" s="90"/>
      <c r="BI7" s="90"/>
      <c r="BJ7" s="90"/>
      <c r="BK7" s="90"/>
      <c r="BL7" s="90"/>
      <c r="BM7" s="90"/>
      <c r="BN7" s="90"/>
      <c r="BO7" s="90"/>
      <c r="BP7" s="90"/>
    </row>
    <row r="8" spans="1:68" ht="9.75" customHeight="1">
      <c r="A8" s="90"/>
      <c r="B8" s="190" t="s">
        <v>326</v>
      </c>
      <c r="C8" s="191" t="s">
        <v>318</v>
      </c>
      <c r="D8" s="192">
        <v>0</v>
      </c>
      <c r="E8" s="524">
        <f>(E50*($D95+$D96*($D110-$N60)+$D97*(E58-$D110)))/1000</f>
        <v>92.960591475912494</v>
      </c>
      <c r="F8" s="192">
        <v>0</v>
      </c>
      <c r="G8" s="192">
        <v>0</v>
      </c>
      <c r="H8" s="192">
        <v>0</v>
      </c>
      <c r="I8" s="193">
        <f>D8</f>
        <v>0</v>
      </c>
      <c r="J8" s="546">
        <v>0</v>
      </c>
      <c r="K8" s="546">
        <v>0</v>
      </c>
      <c r="L8" s="585">
        <v>0</v>
      </c>
      <c r="M8" s="587">
        <f>(M50*($D95+$D96*($D110-$N60)+$D97*(M58-$D110)))/1000</f>
        <v>85.491630000000001</v>
      </c>
      <c r="N8" s="181">
        <f t="shared" si="5"/>
        <v>31.715810082039731</v>
      </c>
      <c r="O8" s="182">
        <f t="shared" si="6"/>
        <v>35.293218699532183</v>
      </c>
      <c r="P8" s="183"/>
      <c r="Q8" s="183"/>
      <c r="R8" s="183"/>
      <c r="S8" s="183"/>
      <c r="T8" s="183"/>
      <c r="U8" s="183"/>
      <c r="V8" s="183"/>
      <c r="W8" s="183"/>
      <c r="X8" s="183"/>
      <c r="Y8" s="184"/>
      <c r="Z8" s="185"/>
      <c r="AA8" s="190" t="s">
        <v>326</v>
      </c>
      <c r="AB8" s="191" t="s">
        <v>318</v>
      </c>
      <c r="AC8" s="195">
        <f>D8</f>
        <v>0</v>
      </c>
      <c r="AD8" s="186">
        <f t="shared" si="8"/>
        <v>92.960591475912494</v>
      </c>
      <c r="AE8" s="195">
        <f t="shared" ref="AE8:AK8" si="15">F8</f>
        <v>0</v>
      </c>
      <c r="AF8" s="195">
        <f t="shared" si="15"/>
        <v>0</v>
      </c>
      <c r="AG8" s="195">
        <f t="shared" si="15"/>
        <v>0</v>
      </c>
      <c r="AH8" s="196">
        <f t="shared" si="15"/>
        <v>0</v>
      </c>
      <c r="AI8" s="196">
        <f t="shared" si="15"/>
        <v>0</v>
      </c>
      <c r="AJ8" s="196">
        <f t="shared" si="15"/>
        <v>0</v>
      </c>
      <c r="AK8" s="196">
        <f t="shared" si="15"/>
        <v>0</v>
      </c>
      <c r="AL8" s="186">
        <f t="shared" si="10"/>
        <v>85.491630000000001</v>
      </c>
      <c r="AM8" s="181">
        <f t="shared" si="11"/>
        <v>31.715810082039731</v>
      </c>
      <c r="AN8" s="187">
        <f>AM8/($AM$17/$AN$17)</f>
        <v>35.293218699532183</v>
      </c>
      <c r="AO8" s="185"/>
      <c r="AP8" s="188"/>
      <c r="AQ8" s="197" t="str">
        <f>Energiebalans!D15</f>
        <v>Verdampen vocht mineralen witte trommel</v>
      </c>
      <c r="AR8" s="197">
        <f>Energiebalans!E15</f>
        <v>13235227.885468254</v>
      </c>
      <c r="AS8" s="197">
        <f>Energiebalans!F15</f>
        <v>0</v>
      </c>
      <c r="AT8" s="90"/>
      <c r="AU8" s="90"/>
      <c r="AV8" s="90"/>
      <c r="AW8" s="90"/>
      <c r="AX8" s="90"/>
      <c r="AY8" s="90"/>
      <c r="AZ8" s="90"/>
      <c r="BA8" s="90"/>
      <c r="BB8" s="90"/>
      <c r="BC8" s="90"/>
      <c r="BD8" s="176"/>
      <c r="BE8" s="90"/>
      <c r="BF8" s="90"/>
      <c r="BG8" s="90"/>
      <c r="BH8" s="90"/>
      <c r="BI8" s="90"/>
      <c r="BJ8" s="90"/>
      <c r="BK8" s="90"/>
      <c r="BL8" s="90"/>
      <c r="BM8" s="90"/>
      <c r="BN8" s="90"/>
      <c r="BO8" s="90"/>
      <c r="BP8" s="90"/>
    </row>
    <row r="9" spans="1:68" ht="9.75" customHeight="1">
      <c r="A9" s="90"/>
      <c r="B9" s="190" t="s">
        <v>327</v>
      </c>
      <c r="C9" s="191" t="s">
        <v>318</v>
      </c>
      <c r="D9" s="192">
        <f t="shared" ref="D9:M9" si="16">((SUM(D5:D8))/$D105)*$D104*(D63/($D111-D63))*(($D94*(D58-$N60)+$D103*($D95+$D96*($D110-$N60)+$D97*(D58-$D110)))*$D101)/1000</f>
        <v>35.358260012784626</v>
      </c>
      <c r="E9" s="524">
        <f t="shared" si="16"/>
        <v>39.47420807052255</v>
      </c>
      <c r="F9" s="192">
        <f t="shared" si="16"/>
        <v>34.875785511373564</v>
      </c>
      <c r="G9" s="192">
        <f t="shared" si="16"/>
        <v>35.012894812718066</v>
      </c>
      <c r="H9" s="192">
        <f t="shared" si="16"/>
        <v>32.994963927508927</v>
      </c>
      <c r="I9" s="193">
        <f t="shared" si="16"/>
        <v>36.515253314836819</v>
      </c>
      <c r="J9" s="193">
        <f t="shared" si="16"/>
        <v>30.838871957021247</v>
      </c>
      <c r="K9" s="193">
        <f t="shared" si="16"/>
        <v>30.404829359108401</v>
      </c>
      <c r="L9" s="586">
        <f t="shared" si="16"/>
        <v>29.956527219755714</v>
      </c>
      <c r="M9" s="587">
        <f t="shared" si="16"/>
        <v>1.5618404452757322</v>
      </c>
      <c r="N9" s="181">
        <f t="shared" si="5"/>
        <v>36.72702123241411</v>
      </c>
      <c r="O9" s="182">
        <f t="shared" si="6"/>
        <v>40.86967317514565</v>
      </c>
      <c r="P9" s="183">
        <f>((P5+SUM(D6:D8))/$D105)*$D104*(D63/($D111-D63))*(($D94*(Projectinformatie!C103-$N60)+$D103*($D95+$D96*($D110-$N60)+$D97*(Projectinformatie!C103-$D110)))*$D101)/1000</f>
        <v>35.358260012784626</v>
      </c>
      <c r="Q9" s="588">
        <f>((Q5+SUM(F6:F8))/$D105)*$D104*(F63/($D111-F63))*(($D94*(F58-$N60)+$D103*($D95+$D96*($D110-$N60)+$D97*(F58-$D110)))*$D101)/1000</f>
        <v>34.875785511373564</v>
      </c>
      <c r="R9" s="588">
        <f>((R5+SUM(G6:G8))/$D105)*$D104*(G63/($D111-G63))*(($D94*(Projectinformatie!C103-$N60)+$D103*($D95+$D96*($D110-$N60)+$D97*(Projectinformatie!C103-$D110)))*$D101)/1000</f>
        <v>35.012894812718066</v>
      </c>
      <c r="S9" s="183">
        <f>((S5+SUM(H6:H8))/$D105)*$D104*(H63/($D111-H63))*(($D94*(Projectinformatie!C103-$N60)+$D103*($D95+$D96*($D110-$N60)+$D97*(Projectinformatie!C103-$D110)))*$D101)/1000</f>
        <v>32.994963927508927</v>
      </c>
      <c r="T9" s="183">
        <f>((T5+SUM(I6:I8))/$D105)*$D104*(I63/($D111-I63))*(($D94*(Projectinformatie!C103-$N60)+$D103*($D95+$D96*($D110-$N60)+$D97*(Projectinformatie!C103-$D110)))*$D101)/1000</f>
        <v>36.515253314836819</v>
      </c>
      <c r="U9" s="183">
        <f>((U5+SUM(J6:J8))/$D105)*$D104*(J63/($D111-J63))*(($D94*(Projectinformatie!C104-$N60)+$D103*($D95+$D96*($D110-$N60)+$D97*(Projectinformatie!C104-$D110)))*$D101)/1000</f>
        <v>30.838871957021247</v>
      </c>
      <c r="V9" s="588">
        <f>((V5+SUM(K6:K8))/$D105)*$D104*(K63/($D111-K63))*(($D94*(Projectinformatie!C104-$N60)+$D103*($D95+$D96*($D110-$N60)+$D97*(Projectinformatie!C104-$D110)))*$D101)/1000</f>
        <v>30.404829359108401</v>
      </c>
      <c r="W9" s="588">
        <f>((W5+SUM(L6:L8))/$D105)*$D104*(L63/($D111-L63))*(($D94*(Projectinformatie!C104-$N60)+$D103*($D95+$D96*($D110-$N60)+$D97*(Projectinformatie!C104-$D110)))*$D101)/1000</f>
        <v>29.956527219755714</v>
      </c>
      <c r="X9" s="183">
        <f>(P9*$D$25+E9*$E$25+Q9*$F$25+R9*$G$25+S9*$H$25+T9*$I$25+U9*$J$25+V9*$K$25+W9*$L$25+M9*$M$25)/(N$25)</f>
        <v>36.72702123241411</v>
      </c>
      <c r="Y9" s="184">
        <f t="shared" ref="Y9:Y10" si="17">X9/N9</f>
        <v>1</v>
      </c>
      <c r="Z9" s="185"/>
      <c r="AA9" s="190" t="s">
        <v>327</v>
      </c>
      <c r="AB9" s="191" t="s">
        <v>318</v>
      </c>
      <c r="AC9" s="195">
        <f>P9</f>
        <v>35.358260012784626</v>
      </c>
      <c r="AD9" s="186">
        <f t="shared" si="8"/>
        <v>39.47420807052255</v>
      </c>
      <c r="AE9" s="195">
        <f t="shared" ref="AE9:AK10" si="18">Q9</f>
        <v>34.875785511373564</v>
      </c>
      <c r="AF9" s="195">
        <f t="shared" si="18"/>
        <v>35.012894812718066</v>
      </c>
      <c r="AG9" s="195">
        <f t="shared" si="18"/>
        <v>32.994963927508927</v>
      </c>
      <c r="AH9" s="196">
        <f t="shared" si="18"/>
        <v>36.515253314836819</v>
      </c>
      <c r="AI9" s="196">
        <f t="shared" si="18"/>
        <v>30.838871957021247</v>
      </c>
      <c r="AJ9" s="196">
        <f t="shared" si="18"/>
        <v>30.404829359108401</v>
      </c>
      <c r="AK9" s="196">
        <f t="shared" si="18"/>
        <v>29.956527219755714</v>
      </c>
      <c r="AL9" s="186">
        <f t="shared" si="10"/>
        <v>1.5618404452757322</v>
      </c>
      <c r="AM9" s="181">
        <f t="shared" si="11"/>
        <v>36.72702123241411</v>
      </c>
      <c r="AN9" s="187">
        <f>AM9/($AM$17/$AN$17)</f>
        <v>40.86967317514565</v>
      </c>
      <c r="AO9" s="185"/>
      <c r="AP9" s="188"/>
      <c r="AQ9" s="197" t="str">
        <f>Energiebalans!D16</f>
        <v>Verdampen vocht AG paralleltrommel</v>
      </c>
      <c r="AR9" s="197">
        <f>Energiebalans!E16</f>
        <v>6842744.5331557887</v>
      </c>
      <c r="AS9" s="197">
        <f>Energiebalans!F16</f>
        <v>0</v>
      </c>
      <c r="AT9" s="90"/>
      <c r="AU9" s="90"/>
      <c r="AV9" s="90"/>
      <c r="AW9" s="90"/>
      <c r="AX9" s="90"/>
      <c r="AY9" s="90"/>
      <c r="AZ9" s="90"/>
      <c r="BA9" s="90"/>
      <c r="BB9" s="90"/>
      <c r="BC9" s="90"/>
      <c r="BD9" s="176"/>
      <c r="BE9" s="90"/>
      <c r="BF9" s="90"/>
      <c r="BG9" s="90"/>
      <c r="BH9" s="90"/>
      <c r="BI9" s="90"/>
      <c r="BJ9" s="90"/>
      <c r="BK9" s="90"/>
      <c r="BL9" s="90"/>
      <c r="BM9" s="90"/>
      <c r="BN9" s="90"/>
      <c r="BO9" s="90"/>
      <c r="BP9" s="90"/>
    </row>
    <row r="10" spans="1:68" ht="9.75" customHeight="1">
      <c r="A10" s="90"/>
      <c r="B10" s="190" t="s">
        <v>328</v>
      </c>
      <c r="C10" s="191" t="s">
        <v>318</v>
      </c>
      <c r="D10" s="192">
        <f>($N74*SUM(D5:D9,D13:D14,D11))</f>
        <v>2.7396831631799534</v>
      </c>
      <c r="E10" s="525">
        <f>($N75*SUM(E5:E9,E13:E14,E11))</f>
        <v>3.0309948523164576</v>
      </c>
      <c r="F10" s="192">
        <f t="shared" ref="F10:M10" si="19">($N74*SUM(F5:F9,F13:F14,F11))</f>
        <v>2.705536774640843</v>
      </c>
      <c r="G10" s="192">
        <f t="shared" si="19"/>
        <v>2.7152404739292879</v>
      </c>
      <c r="H10" s="192">
        <f t="shared" si="19"/>
        <v>2.5724245285271965</v>
      </c>
      <c r="I10" s="245">
        <f t="shared" si="19"/>
        <v>2.821567579275476</v>
      </c>
      <c r="J10" s="245">
        <f t="shared" si="19"/>
        <v>2.5048640526223194</v>
      </c>
      <c r="K10" s="245">
        <f t="shared" si="19"/>
        <v>2.4729485493681906</v>
      </c>
      <c r="L10" s="193">
        <f t="shared" si="19"/>
        <v>2.4399845304996641</v>
      </c>
      <c r="M10" s="245">
        <f t="shared" si="19"/>
        <v>2.3546815613048642</v>
      </c>
      <c r="N10" s="181">
        <f t="shared" si="5"/>
        <v>2.8365708059104828</v>
      </c>
      <c r="O10" s="182">
        <f t="shared" si="6"/>
        <v>3.156523940291815</v>
      </c>
      <c r="P10" s="199">
        <f>($N74*SUM(P5:P9,D13:D14,D11))</f>
        <v>2.7396831631799534</v>
      </c>
      <c r="Q10" s="199">
        <f t="shared" ref="Q10:W10" si="20">($N74*SUM(Q5:Q9,F13:F14,F11))</f>
        <v>2.705536774640843</v>
      </c>
      <c r="R10" s="199">
        <f t="shared" si="20"/>
        <v>2.7152404739292879</v>
      </c>
      <c r="S10" s="199">
        <f t="shared" si="20"/>
        <v>2.5724245285271965</v>
      </c>
      <c r="T10" s="199">
        <f t="shared" si="20"/>
        <v>2.821567579275476</v>
      </c>
      <c r="U10" s="199">
        <f t="shared" si="20"/>
        <v>2.5048640526223194</v>
      </c>
      <c r="V10" s="199">
        <f t="shared" si="20"/>
        <v>2.4729485493681906</v>
      </c>
      <c r="W10" s="199">
        <f t="shared" si="20"/>
        <v>2.4399845304996641</v>
      </c>
      <c r="X10" s="199">
        <f>(P10*$D$25+E10*$E$25+Q10*$F$25+R10*$G$25+S10*$H$25+T10*$I$25+U10*$J$25+V10*$K$25+W10*$L$25+M10*$M$25)/(N$25)</f>
        <v>2.8365708059104828</v>
      </c>
      <c r="Y10" s="200">
        <f t="shared" si="17"/>
        <v>1</v>
      </c>
      <c r="Z10" s="90"/>
      <c r="AA10" s="190" t="s">
        <v>328</v>
      </c>
      <c r="AB10" s="191" t="s">
        <v>318</v>
      </c>
      <c r="AC10" s="195">
        <f>P10</f>
        <v>2.7396831631799534</v>
      </c>
      <c r="AD10" s="186">
        <f t="shared" si="8"/>
        <v>3.0309948523164576</v>
      </c>
      <c r="AE10" s="195">
        <f t="shared" si="18"/>
        <v>2.705536774640843</v>
      </c>
      <c r="AF10" s="195">
        <f t="shared" si="18"/>
        <v>2.7152404739292879</v>
      </c>
      <c r="AG10" s="195">
        <f t="shared" si="18"/>
        <v>2.5724245285271965</v>
      </c>
      <c r="AH10" s="196">
        <f t="shared" si="18"/>
        <v>2.821567579275476</v>
      </c>
      <c r="AI10" s="196">
        <f t="shared" si="18"/>
        <v>2.5048640526223194</v>
      </c>
      <c r="AJ10" s="196">
        <f t="shared" si="18"/>
        <v>2.4729485493681906</v>
      </c>
      <c r="AK10" s="196">
        <f t="shared" si="18"/>
        <v>2.4399845304996641</v>
      </c>
      <c r="AL10" s="186">
        <f t="shared" si="10"/>
        <v>2.3546815613048642</v>
      </c>
      <c r="AM10" s="181">
        <f t="shared" si="11"/>
        <v>2.8365708059104828</v>
      </c>
      <c r="AN10" s="187">
        <f t="shared" ref="AN10:AN11" si="21">AM10/($AM$17/$AN$17)</f>
        <v>3.156523940291815</v>
      </c>
      <c r="AO10" s="90"/>
      <c r="AP10" s="175"/>
      <c r="AQ10" s="197" t="str">
        <f>Energiebalans!D17</f>
        <v xml:space="preserve">Opwarmen verbrandingslucht, overmaat en leklucht </v>
      </c>
      <c r="AR10" s="197">
        <f>Energiebalans!E17</f>
        <v>7923922.5833148118</v>
      </c>
      <c r="AS10" s="197">
        <f>Energiebalans!F17</f>
        <v>0</v>
      </c>
      <c r="AT10" s="90"/>
      <c r="AU10" s="90"/>
      <c r="AV10" s="90"/>
      <c r="AW10" s="90"/>
      <c r="AX10" s="90"/>
      <c r="AY10" s="90"/>
      <c r="AZ10" s="90"/>
      <c r="BA10" s="90"/>
      <c r="BB10" s="90"/>
      <c r="BC10" s="90"/>
      <c r="BD10" s="176"/>
      <c r="BE10" s="90"/>
      <c r="BF10" s="90"/>
      <c r="BG10" s="90"/>
      <c r="BH10" s="90"/>
      <c r="BI10" s="90"/>
      <c r="BJ10" s="90"/>
      <c r="BK10" s="90"/>
      <c r="BL10" s="90"/>
      <c r="BM10" s="90"/>
      <c r="BN10" s="90"/>
      <c r="BO10" s="90"/>
      <c r="BP10" s="90"/>
    </row>
    <row r="11" spans="1:68" ht="9.75" customHeight="1">
      <c r="A11" s="90"/>
      <c r="B11" s="201" t="s">
        <v>329</v>
      </c>
      <c r="C11" s="202" t="s">
        <v>318</v>
      </c>
      <c r="D11" s="203">
        <v>0</v>
      </c>
      <c r="E11" s="203">
        <v>0</v>
      </c>
      <c r="F11" s="203">
        <v>0</v>
      </c>
      <c r="G11" s="203">
        <v>0</v>
      </c>
      <c r="H11" s="203">
        <v>0</v>
      </c>
      <c r="I11" s="543">
        <v>0</v>
      </c>
      <c r="J11" s="543">
        <v>0</v>
      </c>
      <c r="K11" s="543">
        <v>0</v>
      </c>
      <c r="L11" s="543">
        <v>0</v>
      </c>
      <c r="M11" s="543">
        <v>0</v>
      </c>
      <c r="N11" s="543">
        <v>0</v>
      </c>
      <c r="O11" s="205">
        <f t="shared" si="6"/>
        <v>0</v>
      </c>
      <c r="P11" s="90"/>
      <c r="Q11" s="90"/>
      <c r="R11" s="90"/>
      <c r="S11" s="90"/>
      <c r="T11" s="90"/>
      <c r="U11" s="90"/>
      <c r="V11" s="90"/>
      <c r="W11" s="90"/>
      <c r="X11" s="90"/>
      <c r="Y11" s="90"/>
      <c r="Z11" s="90"/>
      <c r="AA11" s="201" t="s">
        <v>329</v>
      </c>
      <c r="AB11" s="202" t="s">
        <v>318</v>
      </c>
      <c r="AC11" s="206">
        <f>D11</f>
        <v>0</v>
      </c>
      <c r="AD11" s="186">
        <f t="shared" si="8"/>
        <v>0</v>
      </c>
      <c r="AE11" s="206">
        <f t="shared" ref="AE11:AK15" si="22">F11</f>
        <v>0</v>
      </c>
      <c r="AF11" s="206">
        <f t="shared" si="22"/>
        <v>0</v>
      </c>
      <c r="AG11" s="206">
        <f t="shared" si="22"/>
        <v>0</v>
      </c>
      <c r="AH11" s="591">
        <f t="shared" si="22"/>
        <v>0</v>
      </c>
      <c r="AI11" s="591">
        <f t="shared" si="22"/>
        <v>0</v>
      </c>
      <c r="AJ11" s="591">
        <f t="shared" si="22"/>
        <v>0</v>
      </c>
      <c r="AK11" s="591">
        <f t="shared" si="22"/>
        <v>0</v>
      </c>
      <c r="AL11" s="186">
        <f t="shared" si="10"/>
        <v>0</v>
      </c>
      <c r="AM11" s="181">
        <f t="shared" si="11"/>
        <v>0</v>
      </c>
      <c r="AN11" s="187">
        <f t="shared" si="21"/>
        <v>0</v>
      </c>
      <c r="AO11" s="90"/>
      <c r="AP11" s="175"/>
      <c r="AQ11" s="197" t="str">
        <f>Energiebalans!D18</f>
        <v>Straling witte trommel en paralleltrommel</v>
      </c>
      <c r="AR11" s="197">
        <f>Energiebalans!E18</f>
        <v>611995.38415841595</v>
      </c>
      <c r="AS11" s="197">
        <f>Energiebalans!F18</f>
        <v>0</v>
      </c>
      <c r="AT11" s="90"/>
      <c r="AU11" s="90"/>
      <c r="AV11" s="90"/>
      <c r="AW11" s="90"/>
      <c r="AX11" s="90"/>
      <c r="AY11" s="90"/>
      <c r="AZ11" s="90"/>
      <c r="BA11" s="90"/>
      <c r="BB11" s="90"/>
      <c r="BC11" s="90"/>
      <c r="BD11" s="176"/>
      <c r="BE11" s="90"/>
      <c r="BF11" s="90"/>
      <c r="BG11" s="90"/>
      <c r="BH11" s="90"/>
      <c r="BI11" s="90"/>
      <c r="BJ11" s="90"/>
      <c r="BK11" s="90"/>
      <c r="BL11" s="90"/>
      <c r="BM11" s="90"/>
      <c r="BN11" s="90"/>
      <c r="BO11" s="90"/>
      <c r="BP11" s="90"/>
    </row>
    <row r="12" spans="1:68" ht="9.75" customHeight="1">
      <c r="A12" s="90"/>
      <c r="B12" s="190" t="s">
        <v>330</v>
      </c>
      <c r="C12" s="191" t="s">
        <v>318</v>
      </c>
      <c r="D12" s="192">
        <f>IF(Projectinformatie!$C$109="Elektriciteit",D80*Energiedragers!$D$17,D80*Energiedragers!$D$3)</f>
        <v>8.7501599899636471</v>
      </c>
      <c r="E12" s="192">
        <f>IF(Projectinformatie!$C$109="Elektriciteit",E80*Energiedragers!$D$17,E80*Energiedragers!$D$3)</f>
        <v>0</v>
      </c>
      <c r="F12" s="192">
        <f>IF(Projectinformatie!$C$109="Elektriciteit",F80*Energiedragers!$D$17,F80*Energiedragers!$D$3)</f>
        <v>11.136567259953729</v>
      </c>
      <c r="G12" s="192">
        <f>IF(Projectinformatie!$C$109="Elektriciteit",G80*Energiedragers!$D$17,G80*Energiedragers!$D$3)</f>
        <v>11.136567259953729</v>
      </c>
      <c r="H12" s="192">
        <f>IF(Projectinformatie!$C$109="Elektriciteit",H80*Energiedragers!$D$17,H80*Energiedragers!$D$3)</f>
        <v>11.932036349950426</v>
      </c>
      <c r="I12" s="193">
        <f>IF(Projectinformatie!$C$109="Elektriciteit",I80*Energiedragers!$D$17,I80*Energiedragers!$D$3)</f>
        <v>14.517310892439683</v>
      </c>
      <c r="J12" s="193">
        <f>IF(Projectinformatie!$C$109="Elektriciteit",J80*Energiedragers!$D$17,J80*Energiedragers!$D$3)</f>
        <v>8.7501599899636471</v>
      </c>
      <c r="K12" s="193">
        <f>IF(Projectinformatie!$C$109="Elektriciteit",K80*Energiedragers!$D$17,K80*Energiedragers!$D$3)</f>
        <v>11.136567259953729</v>
      </c>
      <c r="L12" s="245">
        <f>IF(Projectinformatie!$C$109="Elektriciteit",L80*Energiedragers!$D$17,L80*Energiedragers!$D$3)</f>
        <v>11.136567259953729</v>
      </c>
      <c r="M12" s="193">
        <v>0</v>
      </c>
      <c r="N12" s="181">
        <f>SUMPRODUCT(D12:M12,$D$25:$M$25)/$N$25</f>
        <v>7.4271711710224784</v>
      </c>
      <c r="O12" s="182">
        <f>IF(Projectinformatie!$C$109="Elektriciteit",N12,N12/($N$17/$O$17))</f>
        <v>7.4271711710224784</v>
      </c>
      <c r="P12" s="90"/>
      <c r="Q12" s="90"/>
      <c r="R12" s="90"/>
      <c r="S12" s="90"/>
      <c r="T12" s="90"/>
      <c r="U12" s="90"/>
      <c r="V12" s="90"/>
      <c r="W12" s="90"/>
      <c r="X12" s="90"/>
      <c r="Y12" s="90"/>
      <c r="Z12" s="90"/>
      <c r="AA12" s="190" t="s">
        <v>330</v>
      </c>
      <c r="AB12" s="191" t="s">
        <v>318</v>
      </c>
      <c r="AC12" s="195">
        <f>D12</f>
        <v>8.7501599899636471</v>
      </c>
      <c r="AD12" s="186">
        <f t="shared" si="8"/>
        <v>0</v>
      </c>
      <c r="AE12" s="195">
        <f t="shared" si="22"/>
        <v>11.136567259953729</v>
      </c>
      <c r="AF12" s="195">
        <f t="shared" si="22"/>
        <v>11.136567259953729</v>
      </c>
      <c r="AG12" s="195">
        <f t="shared" si="22"/>
        <v>11.932036349950426</v>
      </c>
      <c r="AH12" s="196">
        <f t="shared" si="22"/>
        <v>14.517310892439683</v>
      </c>
      <c r="AI12" s="196">
        <f t="shared" si="22"/>
        <v>8.7501599899636471</v>
      </c>
      <c r="AJ12" s="196">
        <f t="shared" si="22"/>
        <v>11.136567259953729</v>
      </c>
      <c r="AK12" s="196">
        <f t="shared" si="22"/>
        <v>11.136567259953729</v>
      </c>
      <c r="AL12" s="186">
        <f t="shared" si="10"/>
        <v>0</v>
      </c>
      <c r="AM12" s="181">
        <f t="shared" si="11"/>
        <v>7.4271711710224784</v>
      </c>
      <c r="AN12" s="187">
        <f>IF(Projectinformatie!$C$109="Elektriciteit",AM12,AM12/($AM$17/$AN$17))</f>
        <v>7.4271711710224784</v>
      </c>
      <c r="AO12" s="90"/>
      <c r="AP12" s="175"/>
      <c r="AQ12" s="207" t="str">
        <f>Energiebalans!D19</f>
        <v>Afgas parallel trommel (overdracht op witte trommel)</v>
      </c>
      <c r="AR12" s="207">
        <f>Energiebalans!E19</f>
        <v>0</v>
      </c>
      <c r="AS12" s="207">
        <f>Energiebalans!F19</f>
        <v>0</v>
      </c>
      <c r="AT12" s="90"/>
      <c r="AU12" s="90"/>
      <c r="AV12" s="90"/>
      <c r="AW12" s="90"/>
      <c r="AX12" s="90"/>
      <c r="AY12" s="90"/>
      <c r="AZ12" s="90"/>
      <c r="BA12" s="90"/>
      <c r="BB12" s="90"/>
      <c r="BC12" s="90"/>
      <c r="BD12" s="176"/>
      <c r="BE12" s="90"/>
      <c r="BF12" s="90"/>
      <c r="BG12" s="90"/>
      <c r="BH12" s="90"/>
      <c r="BI12" s="90"/>
      <c r="BJ12" s="90"/>
      <c r="BK12" s="90"/>
      <c r="BL12" s="90"/>
      <c r="BM12" s="90"/>
      <c r="BN12" s="90"/>
      <c r="BO12" s="90"/>
      <c r="BP12" s="90"/>
    </row>
    <row r="13" spans="1:68" ht="9.75" customHeight="1">
      <c r="A13" s="90"/>
      <c r="B13" s="190" t="s">
        <v>331</v>
      </c>
      <c r="C13" s="191" t="s">
        <v>318</v>
      </c>
      <c r="D13" s="192">
        <f t="shared" ref="D13:H13" si="23">D83</f>
        <v>15.473273272963498</v>
      </c>
      <c r="E13" s="192">
        <f>E83</f>
        <v>15.473273272963498</v>
      </c>
      <c r="F13" s="192">
        <f t="shared" si="23"/>
        <v>15.473273272963498</v>
      </c>
      <c r="G13" s="192">
        <f t="shared" si="23"/>
        <v>15.473273272963498</v>
      </c>
      <c r="H13" s="192">
        <f t="shared" si="23"/>
        <v>15.473273272963498</v>
      </c>
      <c r="I13" s="193">
        <f>I83</f>
        <v>15.473273272963498</v>
      </c>
      <c r="J13" s="193">
        <f t="shared" ref="J13:M13" si="24">J83</f>
        <v>15.473273272963498</v>
      </c>
      <c r="K13" s="193">
        <f t="shared" si="24"/>
        <v>15.473273272963498</v>
      </c>
      <c r="L13" s="193">
        <f t="shared" si="24"/>
        <v>15.473273272963498</v>
      </c>
      <c r="M13" s="193">
        <f t="shared" si="24"/>
        <v>15.473273272963498</v>
      </c>
      <c r="N13" s="181">
        <f>SUMPRODUCT(D13:M13,$D$25:$M$25)/$N$25</f>
        <v>15.473273272963501</v>
      </c>
      <c r="O13" s="182">
        <f>N13/($N$17/$O$17)</f>
        <v>17.218592752564675</v>
      </c>
      <c r="P13" s="90"/>
      <c r="Q13" s="90"/>
      <c r="R13" s="90"/>
      <c r="S13" s="90"/>
      <c r="T13" s="90"/>
      <c r="U13" s="90"/>
      <c r="V13" s="90"/>
      <c r="W13" s="90"/>
      <c r="X13" s="90"/>
      <c r="Y13" s="589"/>
      <c r="Z13" s="90"/>
      <c r="AA13" s="190" t="s">
        <v>331</v>
      </c>
      <c r="AB13" s="191" t="s">
        <v>318</v>
      </c>
      <c r="AC13" s="195">
        <f>D13</f>
        <v>15.473273272963498</v>
      </c>
      <c r="AD13" s="186">
        <f t="shared" si="8"/>
        <v>15.473273272963498</v>
      </c>
      <c r="AE13" s="195">
        <f t="shared" si="22"/>
        <v>15.473273272963498</v>
      </c>
      <c r="AF13" s="195">
        <f t="shared" si="22"/>
        <v>15.473273272963498</v>
      </c>
      <c r="AG13" s="195">
        <f t="shared" si="22"/>
        <v>15.473273272963498</v>
      </c>
      <c r="AH13" s="196">
        <f t="shared" si="22"/>
        <v>15.473273272963498</v>
      </c>
      <c r="AI13" s="196">
        <f t="shared" si="22"/>
        <v>15.473273272963498</v>
      </c>
      <c r="AJ13" s="196">
        <f t="shared" si="22"/>
        <v>15.473273272963498</v>
      </c>
      <c r="AK13" s="196">
        <f t="shared" si="22"/>
        <v>15.473273272963498</v>
      </c>
      <c r="AL13" s="186">
        <f t="shared" si="10"/>
        <v>15.473273272963498</v>
      </c>
      <c r="AM13" s="181">
        <f t="shared" si="11"/>
        <v>15.473273272963501</v>
      </c>
      <c r="AN13" s="187">
        <f t="shared" ref="AN13:AN14" si="25">AM13/($AM$17/$AN$17)</f>
        <v>17.218592752564675</v>
      </c>
      <c r="AO13" s="90"/>
      <c r="AP13" s="175"/>
      <c r="AQ13" s="197" t="str">
        <f>Energiebalans!D20</f>
        <v>Bitumenverwarming</v>
      </c>
      <c r="AR13" s="195">
        <f>IF(Energiebalans!E20="",0,Energiebalans!E20)</f>
        <v>0</v>
      </c>
      <c r="AS13" s="197">
        <f>IF(Energiebalans!F20="",0,Energiebalans!F20)</f>
        <v>400000</v>
      </c>
      <c r="AT13" s="90"/>
      <c r="AU13" s="90"/>
      <c r="AV13" s="90"/>
      <c r="AW13" s="90"/>
      <c r="AX13" s="90"/>
      <c r="AY13" s="90"/>
      <c r="AZ13" s="90"/>
      <c r="BA13" s="90"/>
      <c r="BB13" s="90"/>
      <c r="BC13" s="90"/>
      <c r="BD13" s="176"/>
      <c r="BE13" s="90"/>
      <c r="BF13" s="90"/>
      <c r="BG13" s="90"/>
      <c r="BH13" s="90"/>
      <c r="BI13" s="90"/>
      <c r="BJ13" s="90"/>
      <c r="BK13" s="90"/>
      <c r="BL13" s="90"/>
      <c r="BM13" s="90"/>
      <c r="BN13" s="90"/>
      <c r="BO13" s="90"/>
      <c r="BP13" s="90"/>
    </row>
    <row r="14" spans="1:68" ht="9.75" customHeight="1">
      <c r="A14" s="90"/>
      <c r="B14" s="190" t="s">
        <v>332</v>
      </c>
      <c r="C14" s="191" t="s">
        <v>318</v>
      </c>
      <c r="D14" s="192">
        <f>$D112*Projectinformatie!C120/$N25</f>
        <v>8.2524124122471978</v>
      </c>
      <c r="E14" s="192">
        <f>D14</f>
        <v>8.2524124122471978</v>
      </c>
      <c r="F14" s="192">
        <f>D14</f>
        <v>8.2524124122471978</v>
      </c>
      <c r="G14" s="192">
        <f>D14</f>
        <v>8.2524124122471978</v>
      </c>
      <c r="H14" s="192">
        <f>D14</f>
        <v>8.2524124122471978</v>
      </c>
      <c r="I14" s="193">
        <f>D14</f>
        <v>8.2524124122471978</v>
      </c>
      <c r="J14" s="546">
        <f>D14</f>
        <v>8.2524124122471978</v>
      </c>
      <c r="K14" s="546">
        <f>D14</f>
        <v>8.2524124122471978</v>
      </c>
      <c r="L14" s="546">
        <f>D14</f>
        <v>8.2524124122471978</v>
      </c>
      <c r="M14" s="539">
        <f>D14</f>
        <v>8.2524124122471978</v>
      </c>
      <c r="N14" s="181">
        <f>SUMPRODUCT(D14:M14,$D$25:$M$25)/$N$25</f>
        <v>8.2524124122471996</v>
      </c>
      <c r="O14" s="182">
        <f>N14/($N$17/$O$17)</f>
        <v>9.1832494680344912</v>
      </c>
      <c r="P14" s="90"/>
      <c r="Q14" s="90"/>
      <c r="R14" s="90"/>
      <c r="S14" s="90"/>
      <c r="T14" s="90"/>
      <c r="U14" s="90"/>
      <c r="V14" s="90"/>
      <c r="W14" s="90"/>
      <c r="X14" s="90"/>
      <c r="Y14" s="589"/>
      <c r="Z14" s="90"/>
      <c r="AA14" s="190" t="s">
        <v>332</v>
      </c>
      <c r="AB14" s="191" t="s">
        <v>318</v>
      </c>
      <c r="AC14" s="195">
        <f>D14</f>
        <v>8.2524124122471978</v>
      </c>
      <c r="AD14" s="186">
        <f t="shared" si="8"/>
        <v>8.2524124122471978</v>
      </c>
      <c r="AE14" s="195">
        <f t="shared" si="22"/>
        <v>8.2524124122471978</v>
      </c>
      <c r="AF14" s="195">
        <f t="shared" si="22"/>
        <v>8.2524124122471978</v>
      </c>
      <c r="AG14" s="195">
        <f t="shared" si="22"/>
        <v>8.2524124122471978</v>
      </c>
      <c r="AH14" s="196">
        <f t="shared" si="22"/>
        <v>8.2524124122471978</v>
      </c>
      <c r="AI14" s="196">
        <f t="shared" si="22"/>
        <v>8.2524124122471978</v>
      </c>
      <c r="AJ14" s="196">
        <f t="shared" si="22"/>
        <v>8.2524124122471978</v>
      </c>
      <c r="AK14" s="196">
        <f t="shared" si="22"/>
        <v>8.2524124122471978</v>
      </c>
      <c r="AL14" s="186">
        <f t="shared" si="10"/>
        <v>8.2524124122471978</v>
      </c>
      <c r="AM14" s="181">
        <f t="shared" si="11"/>
        <v>8.2524124122471996</v>
      </c>
      <c r="AN14" s="187">
        <f t="shared" si="25"/>
        <v>9.1832494680344912</v>
      </c>
      <c r="AO14" s="90"/>
      <c r="AP14" s="175"/>
      <c r="AQ14" s="197" t="str">
        <f>Energiebalans!D21</f>
        <v>Receptwisselingen</v>
      </c>
      <c r="AR14" s="197">
        <f>Energiebalans!E21</f>
        <v>3338387.2530676713</v>
      </c>
      <c r="AS14" s="197">
        <f>Energiebalans!F21</f>
        <v>0</v>
      </c>
      <c r="AT14" s="90"/>
      <c r="AU14" s="90"/>
      <c r="AV14" s="90"/>
      <c r="AW14" s="90"/>
      <c r="AX14" s="90"/>
      <c r="AY14" s="90"/>
      <c r="AZ14" s="90"/>
      <c r="BA14" s="90"/>
      <c r="BB14" s="90"/>
      <c r="BC14" s="90"/>
      <c r="BD14" s="176"/>
      <c r="BE14" s="90"/>
      <c r="BF14" s="90"/>
      <c r="BG14" s="90"/>
      <c r="BH14" s="90"/>
      <c r="BI14" s="90"/>
      <c r="BJ14" s="90"/>
      <c r="BK14" s="90"/>
      <c r="BL14" s="90"/>
      <c r="BM14" s="90"/>
      <c r="BN14" s="90"/>
      <c r="BO14" s="90"/>
      <c r="BP14" s="90"/>
    </row>
    <row r="15" spans="1:68" ht="9.75" customHeight="1">
      <c r="A15" s="90"/>
      <c r="B15" s="190" t="s">
        <v>333</v>
      </c>
      <c r="C15" s="191" t="s">
        <v>318</v>
      </c>
      <c r="D15" s="192">
        <f>D87*Energiedragers!$D$17</f>
        <v>12.033214928407743</v>
      </c>
      <c r="E15" s="192">
        <f>E87*Energiedragers!$D$17</f>
        <v>12.033214928407743</v>
      </c>
      <c r="F15" s="192">
        <f>F87*Energiedragers!$D$17</f>
        <v>12.033214928407743</v>
      </c>
      <c r="G15" s="192">
        <f>G87*Energiedragers!$D$17</f>
        <v>12.033214928407743</v>
      </c>
      <c r="H15" s="192">
        <f>H87*Energiedragers!$D$17</f>
        <v>12.033214928407743</v>
      </c>
      <c r="I15" s="193">
        <f>I87*Energiedragers!$D$17</f>
        <v>12.033214928407743</v>
      </c>
      <c r="J15" s="546">
        <f>I87*Energiedragers!$D$17</f>
        <v>12.033214928407743</v>
      </c>
      <c r="K15" s="546">
        <f>J87*Energiedragers!$D$17</f>
        <v>12.033214928407743</v>
      </c>
      <c r="L15" s="546">
        <f>K87*Energiedragers!$D$17</f>
        <v>12.033214928407743</v>
      </c>
      <c r="M15" s="546">
        <f>L87*Energiedragers!$D$17</f>
        <v>12.033214928407743</v>
      </c>
      <c r="N15" s="181">
        <f>SUMPRODUCT(D15:M15,$D$25:$M$25)/$N$25</f>
        <v>12.033214928407746</v>
      </c>
      <c r="O15" s="208">
        <f>N15</f>
        <v>12.033214928407746</v>
      </c>
      <c r="P15" s="90"/>
      <c r="Q15" s="90"/>
      <c r="R15" s="90"/>
      <c r="S15" s="90"/>
      <c r="T15" s="90"/>
      <c r="U15" s="90"/>
      <c r="V15" s="90"/>
      <c r="W15" s="90"/>
      <c r="X15" s="90"/>
      <c r="Y15" s="589"/>
      <c r="Z15" s="90"/>
      <c r="AA15" s="190" t="s">
        <v>333</v>
      </c>
      <c r="AB15" s="191" t="s">
        <v>318</v>
      </c>
      <c r="AC15" s="195">
        <f>D15</f>
        <v>12.033214928407743</v>
      </c>
      <c r="AD15" s="186">
        <f t="shared" si="8"/>
        <v>12.033214928407743</v>
      </c>
      <c r="AE15" s="195">
        <f t="shared" si="22"/>
        <v>12.033214928407743</v>
      </c>
      <c r="AF15" s="195">
        <f t="shared" si="22"/>
        <v>12.033214928407743</v>
      </c>
      <c r="AG15" s="195">
        <f t="shared" si="22"/>
        <v>12.033214928407743</v>
      </c>
      <c r="AH15" s="196">
        <f t="shared" si="22"/>
        <v>12.033214928407743</v>
      </c>
      <c r="AI15" s="196">
        <f t="shared" si="22"/>
        <v>12.033214928407743</v>
      </c>
      <c r="AJ15" s="196">
        <f t="shared" si="22"/>
        <v>12.033214928407743</v>
      </c>
      <c r="AK15" s="196">
        <f t="shared" si="22"/>
        <v>12.033214928407743</v>
      </c>
      <c r="AL15" s="186">
        <f t="shared" si="10"/>
        <v>12.033214928407743</v>
      </c>
      <c r="AM15" s="181">
        <f t="shared" si="11"/>
        <v>12.033214928407746</v>
      </c>
      <c r="AN15" s="209">
        <f>AM15</f>
        <v>12.033214928407746</v>
      </c>
      <c r="AO15" s="90"/>
      <c r="AP15" s="175"/>
      <c r="AQ15" s="197" t="str">
        <f>Energiebalans!D22</f>
        <v>Starts en stops</v>
      </c>
      <c r="AR15" s="197">
        <f>Energiebalans!E22</f>
        <v>1780473.2016360909</v>
      </c>
      <c r="AS15" s="197">
        <f>Energiebalans!F22</f>
        <v>0</v>
      </c>
      <c r="AT15" s="90"/>
      <c r="AU15" s="90"/>
      <c r="AV15" s="90"/>
      <c r="AW15" s="90"/>
      <c r="AX15" s="90"/>
      <c r="AY15" s="90"/>
      <c r="AZ15" s="90"/>
      <c r="BA15" s="90"/>
      <c r="BB15" s="90"/>
      <c r="BC15" s="90"/>
      <c r="BD15" s="176"/>
      <c r="BE15" s="90"/>
      <c r="BF15" s="90"/>
      <c r="BG15" s="90"/>
      <c r="BH15" s="90"/>
      <c r="BI15" s="90"/>
      <c r="BJ15" s="90"/>
      <c r="BK15" s="90"/>
      <c r="BL15" s="90"/>
      <c r="BM15" s="90"/>
      <c r="BN15" s="90"/>
      <c r="BO15" s="90"/>
      <c r="BP15" s="90"/>
    </row>
    <row r="16" spans="1:68" ht="9.75" customHeight="1">
      <c r="A16" s="90"/>
      <c r="B16" s="190"/>
      <c r="C16" s="191"/>
      <c r="D16" s="192"/>
      <c r="E16" s="192"/>
      <c r="F16" s="192"/>
      <c r="G16" s="192"/>
      <c r="H16" s="192"/>
      <c r="I16" s="193"/>
      <c r="J16" s="546"/>
      <c r="K16" s="546"/>
      <c r="L16" s="546"/>
      <c r="M16" s="539"/>
      <c r="N16" s="194"/>
      <c r="O16" s="208"/>
      <c r="P16" s="90"/>
      <c r="Q16" s="90"/>
      <c r="R16" s="90"/>
      <c r="S16" s="90"/>
      <c r="T16" s="90"/>
      <c r="U16" s="90"/>
      <c r="V16" s="90"/>
      <c r="W16" s="90"/>
      <c r="X16" s="90"/>
      <c r="Y16" s="589"/>
      <c r="Z16" s="90"/>
      <c r="AA16" s="190" t="s">
        <v>334</v>
      </c>
      <c r="AB16" s="191" t="s">
        <v>318</v>
      </c>
      <c r="AC16" s="195">
        <f>D5-P5+D7-P7+D9-P9+D10-P10</f>
        <v>0</v>
      </c>
      <c r="AD16" s="195">
        <v>0</v>
      </c>
      <c r="AE16" s="195">
        <f t="shared" ref="AE16:AK16" si="26">F5-Q5+F7-Q7+F9-Q9+F10-Q10</f>
        <v>0</v>
      </c>
      <c r="AF16" s="195">
        <f t="shared" si="26"/>
        <v>0</v>
      </c>
      <c r="AG16" s="195">
        <f t="shared" si="26"/>
        <v>0</v>
      </c>
      <c r="AH16" s="196">
        <f t="shared" si="26"/>
        <v>0</v>
      </c>
      <c r="AI16" s="196">
        <f t="shared" si="26"/>
        <v>0</v>
      </c>
      <c r="AJ16" s="196">
        <f t="shared" si="26"/>
        <v>0</v>
      </c>
      <c r="AK16" s="196">
        <f t="shared" si="26"/>
        <v>0</v>
      </c>
      <c r="AL16" s="195">
        <v>0</v>
      </c>
      <c r="AM16" s="181">
        <f t="shared" si="11"/>
        <v>0</v>
      </c>
      <c r="AN16" s="209">
        <f>AM16/($AM$17/$AN$17)</f>
        <v>0</v>
      </c>
      <c r="AO16" s="90"/>
      <c r="AP16" s="175"/>
      <c r="AQ16" s="197" t="str">
        <f>Energiebalans!D23</f>
        <v>Elektriciteit (overig)</v>
      </c>
      <c r="AR16" s="197">
        <f>Energiebalans!E23</f>
        <v>0</v>
      </c>
      <c r="AS16" s="197">
        <f>Energiebalans!F23</f>
        <v>648064.50000000012</v>
      </c>
      <c r="AT16" s="90"/>
      <c r="AU16" s="90"/>
      <c r="AV16" s="90"/>
      <c r="AW16" s="90"/>
      <c r="AX16" s="90"/>
      <c r="AY16" s="90"/>
      <c r="AZ16" s="90"/>
      <c r="BA16" s="90"/>
      <c r="BB16" s="90"/>
      <c r="BC16" s="90"/>
      <c r="BD16" s="176"/>
      <c r="BE16" s="90"/>
      <c r="BF16" s="90"/>
      <c r="BG16" s="90"/>
      <c r="BH16" s="90"/>
      <c r="BI16" s="90"/>
      <c r="BJ16" s="90"/>
      <c r="BK16" s="90"/>
      <c r="BL16" s="90"/>
      <c r="BM16" s="90"/>
      <c r="BN16" s="90"/>
      <c r="BO16" s="90"/>
      <c r="BP16" s="90"/>
    </row>
    <row r="17" spans="1:68" ht="9.75" customHeight="1">
      <c r="A17" s="90"/>
      <c r="B17" s="210" t="s">
        <v>335</v>
      </c>
      <c r="C17" s="211" t="s">
        <v>1435</v>
      </c>
      <c r="D17" s="212">
        <f>(D4-D15-IF(Projectinformatie!$C$109="Elektriciteit",D12,0))/Energiedragers!$D$3</f>
        <v>276.70799948117531</v>
      </c>
      <c r="E17" s="212">
        <f>(E4-E15-IF(Projectinformatie!$C$109="Elektriciteit",E12,0))/Energiedragers!$D$3</f>
        <v>306.1304800839622</v>
      </c>
      <c r="F17" s="212">
        <f>(F4-F15-IF(Projectinformatie!$C$109="Elektriciteit",F12,0))/Energiedragers!$D$3</f>
        <v>273.25921423872512</v>
      </c>
      <c r="G17" s="212">
        <f>(G4-G15-IF(Projectinformatie!$C$109="Elektriciteit",G12,0))/Energiedragers!$D$3</f>
        <v>274.23928786685809</v>
      </c>
      <c r="H17" s="212">
        <f>(H4-H15-IF(Projectinformatie!$C$109="Elektriciteit",H12,0))/Energiedragers!$D$3</f>
        <v>259.8148773812469</v>
      </c>
      <c r="I17" s="213">
        <f>(I4-I15-IF(Projectinformatie!$C$109="Elektriciteit",I12,0))/Energiedragers!$D$3</f>
        <v>284.97832550682307</v>
      </c>
      <c r="J17" s="213">
        <f>(J4-J15-IF(Projectinformatie!$C$109="Elektriciteit",J12,0))/Energiedragers!$D$3</f>
        <v>252.99126931485424</v>
      </c>
      <c r="K17" s="213">
        <f>(K4-K15-IF(Projectinformatie!$C$109="Elektriciteit",K12,0))/Energiedragers!$D$3</f>
        <v>249.76780348618729</v>
      </c>
      <c r="L17" s="213">
        <f>(L4-L15-IF(Projectinformatie!$C$109="Elektriciteit",L12,0))/Energiedragers!$D$3</f>
        <v>246.43843758046609</v>
      </c>
      <c r="M17" s="213">
        <f>(M4-M15-IF(Projectinformatie!$C$109="Elektriciteit",M12,0))/Energiedragers!$D$3</f>
        <v>237.82283769179128</v>
      </c>
      <c r="N17" s="214">
        <f>SUMPRODUCT(D17:M17,D25:M25)/N25</f>
        <v>286.49365139695874</v>
      </c>
      <c r="O17" s="209">
        <f>O19/N25</f>
        <v>318.80891796947327</v>
      </c>
      <c r="P17" s="90"/>
      <c r="Q17" s="90"/>
      <c r="R17" s="90"/>
      <c r="S17" s="90"/>
      <c r="T17" s="90"/>
      <c r="U17" s="90"/>
      <c r="V17" s="90"/>
      <c r="W17" s="90"/>
      <c r="X17" s="90"/>
      <c r="Y17" s="90"/>
      <c r="Z17" s="90"/>
      <c r="AA17" s="210" t="s">
        <v>335</v>
      </c>
      <c r="AB17" s="211" t="str">
        <f>C17</f>
        <v>MJ / ton asfalt</v>
      </c>
      <c r="AC17" s="212">
        <f>(AC4-AC15-IF(Projectinformatie!$C$109="Elektriciteit",AC12,0))/Energiedragers!$D$3</f>
        <v>276.70799948117531</v>
      </c>
      <c r="AD17" s="212">
        <f>(AD4-AD15-IF(Projectinformatie!$C$109="Elektriciteit",AD12,0))/Energiedragers!$D$3</f>
        <v>306.1304800839622</v>
      </c>
      <c r="AE17" s="212">
        <f>(AE4-AE15-IF(Projectinformatie!$C$109="Elektriciteit",AE12,0))/Energiedragers!$D$3</f>
        <v>273.25921423872512</v>
      </c>
      <c r="AF17" s="212">
        <f>(AF4-AF15-IF(Projectinformatie!$C$109="Elektriciteit",AF12,0))/Energiedragers!$D$3</f>
        <v>274.23928786685809</v>
      </c>
      <c r="AG17" s="212">
        <f>(AG4-AG15-IF(Projectinformatie!$C$109="Elektriciteit",AG12,0))/Energiedragers!$D$3</f>
        <v>259.8148773812469</v>
      </c>
      <c r="AH17" s="213">
        <f>(AH4-AH15-IF(Projectinformatie!$C$109="Elektriciteit",AH12,0))/Energiedragers!$D$3</f>
        <v>284.97832550682307</v>
      </c>
      <c r="AI17" s="213">
        <f>(AI4-AI15-IF(Projectinformatie!$C$109="Elektriciteit",AI12,0))/Energiedragers!$D$3</f>
        <v>252.99126931485424</v>
      </c>
      <c r="AJ17" s="213">
        <f>(AJ4-AJ15-IF(Projectinformatie!$C$109="Elektriciteit",AJ12,0))/Energiedragers!$D$3</f>
        <v>249.76780348618729</v>
      </c>
      <c r="AK17" s="213">
        <f>(AK4-AK15-IF(Projectinformatie!$C$109="Elektriciteit",AK12,0))/Energiedragers!$D$3</f>
        <v>246.43843758046609</v>
      </c>
      <c r="AL17" s="212">
        <f>(AL4-AL15-IF(Projectinformatie!$C$109="Elektriciteit",AL12,0))/Energiedragers!$D$3</f>
        <v>237.82283769179128</v>
      </c>
      <c r="AM17" s="215">
        <f t="shared" si="11"/>
        <v>286.49365139695874</v>
      </c>
      <c r="AN17" s="209">
        <f>O19/N25</f>
        <v>318.80891796947327</v>
      </c>
      <c r="AO17" s="90"/>
      <c r="AP17" s="175"/>
      <c r="AQ17" s="197" t="s">
        <v>336</v>
      </c>
      <c r="AR17" s="191">
        <v>0</v>
      </c>
      <c r="AS17" s="191">
        <v>0</v>
      </c>
      <c r="AT17" s="90"/>
      <c r="AU17" s="90"/>
      <c r="AV17" s="90"/>
      <c r="AW17" s="90"/>
      <c r="AX17" s="90"/>
      <c r="AY17" s="90"/>
      <c r="AZ17" s="90"/>
      <c r="BA17" s="90"/>
      <c r="BB17" s="90"/>
      <c r="BC17" s="90"/>
      <c r="BD17" s="176"/>
      <c r="BE17" s="90"/>
      <c r="BF17" s="90"/>
      <c r="BG17" s="90"/>
      <c r="BH17" s="90"/>
      <c r="BI17" s="90"/>
      <c r="BJ17" s="90"/>
      <c r="BK17" s="530"/>
      <c r="BL17" s="530"/>
      <c r="BM17" s="90"/>
      <c r="BN17" s="90"/>
      <c r="BO17" s="90"/>
      <c r="BP17" s="90"/>
    </row>
    <row r="18" spans="1:68" ht="9.75" customHeight="1">
      <c r="A18" s="90"/>
      <c r="B18" s="210" t="s">
        <v>337</v>
      </c>
      <c r="C18" s="211" t="s">
        <v>338</v>
      </c>
      <c r="D18" s="212">
        <f>(D15/Energiedragers!$D$17)+IF(Projectinformatie!$C$109="Elektriciteit",(D12/Energiedragers!$D$17),0)</f>
        <v>5.773159699547608</v>
      </c>
      <c r="E18" s="212">
        <f>(E15/Energiedragers!$D$17)+IF(Projectinformatie!$C$109="Elektriciteit",(E12/Energiedragers!$D$17),0)</f>
        <v>3.3425597023354841</v>
      </c>
      <c r="F18" s="212">
        <f>(F15/Energiedragers!$D$17)+IF(Projectinformatie!$C$109="Elektriciteit",(F12/Energiedragers!$D$17),0)</f>
        <v>6.4360506078781867</v>
      </c>
      <c r="G18" s="212">
        <f>(G15/Energiedragers!$D$17)+IF(Projectinformatie!$C$109="Elektriciteit",(G12/Energiedragers!$D$17),0)</f>
        <v>6.4360506078781867</v>
      </c>
      <c r="H18" s="212">
        <f>(H15/Energiedragers!$D$17)+IF(Projectinformatie!$C$109="Elektriciteit",(H12/Energiedragers!$D$17),0)</f>
        <v>6.6570142439883799</v>
      </c>
      <c r="I18" s="213">
        <f>(I15/Energiedragers!$D$17)+IF(Projectinformatie!$C$109="Elektriciteit",(I12/Energiedragers!$D$17),0)</f>
        <v>7.3751460613465074</v>
      </c>
      <c r="J18" s="213">
        <f>(J15/Energiedragers!$D$17)+IF(Projectinformatie!$C$109="Elektriciteit",(J12/Energiedragers!$D$17),0)</f>
        <v>5.773159699547608</v>
      </c>
      <c r="K18" s="213">
        <f>(K15/Energiedragers!$D$17)+IF(Projectinformatie!$C$109="Elektriciteit",(K12/Energiedragers!$D$17),0)</f>
        <v>6.4360506078781867</v>
      </c>
      <c r="L18" s="213">
        <f>(L15/Energiedragers!$D$17)+IF(Projectinformatie!$C$109="Elektriciteit",(L12/Energiedragers!$D$17),0)</f>
        <v>6.4360506078781867</v>
      </c>
      <c r="M18" s="213">
        <f>(M15/Energiedragers!$D$17)+IF(Projectinformatie!$C$109="Elektriciteit",(M12/Energiedragers!$D$17),0)</f>
        <v>3.3425597023354841</v>
      </c>
      <c r="N18" s="214">
        <f>SUMPRODUCT(D18:M18,D25:M25)/N25</f>
        <v>5.4056628053972835</v>
      </c>
      <c r="O18" s="209">
        <f>O20/N25</f>
        <v>5.4056628053972835</v>
      </c>
      <c r="P18" s="90"/>
      <c r="Q18" s="90"/>
      <c r="R18" s="90"/>
      <c r="S18" s="90"/>
      <c r="T18" s="90"/>
      <c r="U18" s="90"/>
      <c r="V18" s="90"/>
      <c r="W18" s="90"/>
      <c r="X18" s="90"/>
      <c r="Y18" s="90"/>
      <c r="Z18" s="90"/>
      <c r="AA18" s="210" t="s">
        <v>337</v>
      </c>
      <c r="AB18" s="211" t="str">
        <f>C18</f>
        <v>kWh_e / ton asfalt</v>
      </c>
      <c r="AC18" s="212">
        <f>(AC15/Energiedragers!$D$17)+IF(Projectinformatie!$C$109="Elektriciteit",(AC12/Energiedragers!$D$17),0)</f>
        <v>5.773159699547608</v>
      </c>
      <c r="AD18" s="212">
        <f>(AD15/Energiedragers!$D$17)+IF(Projectinformatie!$C$109="Elektriciteit",(AD12/Energiedragers!$D$17),0)</f>
        <v>3.3425597023354841</v>
      </c>
      <c r="AE18" s="212">
        <f>(AE15/Energiedragers!$D$17)+IF(Projectinformatie!$C$109="Elektriciteit",(AE12/Energiedragers!$D$17),0)</f>
        <v>6.4360506078781867</v>
      </c>
      <c r="AF18" s="212">
        <f>(AF15/Energiedragers!$D$17)+IF(Projectinformatie!$C$109="Elektriciteit",(AF12/Energiedragers!$D$17),0)</f>
        <v>6.4360506078781867</v>
      </c>
      <c r="AG18" s="212">
        <f>(AG15/Energiedragers!$D$17)+IF(Projectinformatie!$C$109="Elektriciteit",(AG12/Energiedragers!$D$17),0)</f>
        <v>6.6570142439883799</v>
      </c>
      <c r="AH18" s="213">
        <f>(AH15/Energiedragers!$D$17)+IF(Projectinformatie!$C$109="Elektriciteit",(AH12/Energiedragers!$D$17),0)</f>
        <v>7.3751460613465074</v>
      </c>
      <c r="AI18" s="213">
        <f>(AI15/Energiedragers!$D$17)+IF(Projectinformatie!$C$109="Elektriciteit",(AI12/Energiedragers!$D$17),0)</f>
        <v>5.773159699547608</v>
      </c>
      <c r="AJ18" s="213">
        <f>(AJ15/Energiedragers!$D$17)+IF(Projectinformatie!$C$109="Elektriciteit",(AJ12/Energiedragers!$D$17),0)</f>
        <v>6.4360506078781867</v>
      </c>
      <c r="AK18" s="213">
        <f>(AK15/Energiedragers!$D$17)+IF(Projectinformatie!$C$109="Elektriciteit",(AK12/Energiedragers!$D$17),0)</f>
        <v>6.4360506078781867</v>
      </c>
      <c r="AL18" s="212">
        <f>(AL15/Energiedragers!$D$17)+IF(Projectinformatie!$C$109="Elektriciteit",(AL12/Energiedragers!$D$17),0)</f>
        <v>3.3425597023354841</v>
      </c>
      <c r="AM18" s="215">
        <f t="shared" si="11"/>
        <v>5.4056628053972835</v>
      </c>
      <c r="AN18" s="209">
        <f>O20/N25</f>
        <v>5.4056628053972835</v>
      </c>
      <c r="AO18" s="90"/>
      <c r="AP18" s="175"/>
      <c r="AQ18" s="211" t="s">
        <v>339</v>
      </c>
      <c r="AR18" s="216">
        <f t="shared" ref="AR18:AS18" si="27">SUM(AR6:AR16)</f>
        <v>61811533.799999997</v>
      </c>
      <c r="AS18" s="216">
        <f t="shared" si="27"/>
        <v>1048064.5000000001</v>
      </c>
      <c r="AT18" s="90"/>
      <c r="AU18" s="90"/>
      <c r="AV18" s="90"/>
      <c r="AW18" s="90"/>
      <c r="AX18" s="90"/>
      <c r="AY18" s="90"/>
      <c r="AZ18" s="90"/>
      <c r="BA18" s="90"/>
      <c r="BB18" s="90"/>
      <c r="BC18" s="90"/>
      <c r="BD18" s="176"/>
      <c r="BE18" s="90"/>
      <c r="BF18" s="34" t="s">
        <v>1371</v>
      </c>
      <c r="BG18" s="90"/>
      <c r="BH18" s="90"/>
      <c r="BI18" s="90"/>
      <c r="BJ18" s="90"/>
      <c r="BK18" s="530"/>
      <c r="BL18" s="530"/>
      <c r="BM18" s="90"/>
      <c r="BN18" s="90"/>
      <c r="BO18" s="90"/>
      <c r="BP18" s="90"/>
    </row>
    <row r="19" spans="1:68" ht="9.75" customHeight="1">
      <c r="A19" s="90"/>
      <c r="B19" s="210" t="s">
        <v>340</v>
      </c>
      <c r="C19" s="211" t="s">
        <v>1436</v>
      </c>
      <c r="D19" s="216">
        <f t="shared" ref="D19:I19" si="28">D17*D25</f>
        <v>7707197.6063058833</v>
      </c>
      <c r="E19" s="216">
        <f t="shared" si="28"/>
        <v>20249603.498521157</v>
      </c>
      <c r="F19" s="216">
        <f t="shared" si="28"/>
        <v>19206201.764517266</v>
      </c>
      <c r="G19" s="216">
        <f t="shared" si="28"/>
        <v>1305872.6409644049</v>
      </c>
      <c r="H19" s="216">
        <f t="shared" si="28"/>
        <v>259.8148773812469</v>
      </c>
      <c r="I19" s="217">
        <f t="shared" si="28"/>
        <v>7076040.3201669669</v>
      </c>
      <c r="J19" s="217">
        <f t="shared" ref="J19:M19" si="29">J17*J25</f>
        <v>252.99126931485424</v>
      </c>
      <c r="K19" s="217">
        <f t="shared" si="29"/>
        <v>249.76780348618729</v>
      </c>
      <c r="L19" s="217">
        <f t="shared" si="29"/>
        <v>246.43843758046609</v>
      </c>
      <c r="M19" s="217">
        <f t="shared" si="29"/>
        <v>237.82283769179128</v>
      </c>
      <c r="N19" s="218">
        <f>N17*N25</f>
        <v>55546162.665701136</v>
      </c>
      <c r="O19" s="208">
        <f>Projectinformatie!C16</f>
        <v>61811533.799999997</v>
      </c>
      <c r="P19" s="219"/>
      <c r="Q19" s="219"/>
      <c r="R19" s="219"/>
      <c r="S19" s="219"/>
      <c r="T19" s="219"/>
      <c r="U19" s="219"/>
      <c r="V19" s="219"/>
      <c r="W19" s="219"/>
      <c r="X19" s="90"/>
      <c r="Y19" s="90"/>
      <c r="Z19" s="90"/>
      <c r="AA19" s="210" t="s">
        <v>340</v>
      </c>
      <c r="AB19" s="211" t="s">
        <v>341</v>
      </c>
      <c r="AC19" s="216">
        <f t="shared" ref="AC19:AM19" si="30">AC17*D25</f>
        <v>7707197.6063058833</v>
      </c>
      <c r="AD19" s="216">
        <f t="shared" si="30"/>
        <v>20249603.498521157</v>
      </c>
      <c r="AE19" s="216">
        <f t="shared" si="30"/>
        <v>19206201.764517266</v>
      </c>
      <c r="AF19" s="216">
        <f t="shared" si="30"/>
        <v>1305872.6409644049</v>
      </c>
      <c r="AG19" s="216">
        <f t="shared" si="30"/>
        <v>259.8148773812469</v>
      </c>
      <c r="AH19" s="217">
        <f t="shared" si="30"/>
        <v>7076040.3201669669</v>
      </c>
      <c r="AI19" s="217">
        <f t="shared" si="30"/>
        <v>252.99126931485424</v>
      </c>
      <c r="AJ19" s="217">
        <f t="shared" si="30"/>
        <v>249.76780348618729</v>
      </c>
      <c r="AK19" s="217">
        <f t="shared" si="30"/>
        <v>246.43843758046609</v>
      </c>
      <c r="AL19" s="216">
        <f t="shared" si="30"/>
        <v>237.82283769179128</v>
      </c>
      <c r="AM19" s="218">
        <f t="shared" si="30"/>
        <v>55546162.665701136</v>
      </c>
      <c r="AN19" s="208">
        <f>Projectinformatie!C16</f>
        <v>61811533.799999997</v>
      </c>
      <c r="AO19" s="90"/>
      <c r="AP19" s="175"/>
      <c r="AQ19" s="90"/>
      <c r="AR19" s="90"/>
      <c r="AS19" s="90"/>
      <c r="AT19" s="90"/>
      <c r="BD19" s="176"/>
      <c r="BE19" s="90"/>
      <c r="BF19" s="183">
        <f>BG24+BG26+BG34</f>
        <v>558717.26345244294</v>
      </c>
      <c r="BH19" s="183"/>
      <c r="BJ19" s="90"/>
      <c r="BK19" s="183">
        <f>BK24+BK26+BK34</f>
        <v>494647.50449244381</v>
      </c>
      <c r="BL19" s="530"/>
      <c r="BM19" s="90"/>
      <c r="BN19" s="90"/>
      <c r="BO19" s="90"/>
      <c r="BP19" s="90"/>
    </row>
    <row r="20" spans="1:68" ht="9.75" customHeight="1" thickBot="1">
      <c r="A20" s="90"/>
      <c r="B20" s="220" t="s">
        <v>342</v>
      </c>
      <c r="C20" s="221" t="s">
        <v>343</v>
      </c>
      <c r="D20" s="222">
        <f t="shared" ref="D20:I20" si="31">D18*D25</f>
        <v>160800.85397098158</v>
      </c>
      <c r="E20" s="222">
        <f t="shared" si="31"/>
        <v>221100.19434805837</v>
      </c>
      <c r="F20" s="222">
        <f t="shared" si="31"/>
        <v>452362.00684366416</v>
      </c>
      <c r="G20" s="222">
        <f t="shared" si="31"/>
        <v>30647.185784594352</v>
      </c>
      <c r="H20" s="222">
        <f t="shared" si="31"/>
        <v>6.6570142439883799</v>
      </c>
      <c r="I20" s="223">
        <f t="shared" si="31"/>
        <v>183125.6142178399</v>
      </c>
      <c r="J20" s="223">
        <f t="shared" ref="J20:M20" si="32">J18*J25</f>
        <v>5.773159699547608</v>
      </c>
      <c r="K20" s="223">
        <f t="shared" si="32"/>
        <v>6.4360506078781867</v>
      </c>
      <c r="L20" s="223">
        <f t="shared" si="32"/>
        <v>6.4360506078781867</v>
      </c>
      <c r="M20" s="223">
        <f t="shared" si="32"/>
        <v>3.3425597023354841</v>
      </c>
      <c r="N20" s="224">
        <f>N18*N25</f>
        <v>1048064.5</v>
      </c>
      <c r="O20" s="225">
        <f>Projectinformatie!C18</f>
        <v>1048064.5</v>
      </c>
      <c r="P20" s="219"/>
      <c r="Q20" s="219"/>
      <c r="R20" s="219"/>
      <c r="S20" s="219"/>
      <c r="T20" s="219"/>
      <c r="U20" s="219"/>
      <c r="V20" s="219"/>
      <c r="W20" s="219"/>
      <c r="X20" s="90"/>
      <c r="Y20" s="90"/>
      <c r="Z20" s="90"/>
      <c r="AA20" s="220" t="s">
        <v>342</v>
      </c>
      <c r="AB20" s="221" t="s">
        <v>343</v>
      </c>
      <c r="AC20" s="222">
        <f t="shared" ref="AC20:AM20" si="33">AC18*D25</f>
        <v>160800.85397098158</v>
      </c>
      <c r="AD20" s="222">
        <f t="shared" si="33"/>
        <v>221100.19434805837</v>
      </c>
      <c r="AE20" s="222">
        <f t="shared" si="33"/>
        <v>452362.00684366416</v>
      </c>
      <c r="AF20" s="222">
        <f t="shared" si="33"/>
        <v>30647.185784594352</v>
      </c>
      <c r="AG20" s="222">
        <f t="shared" si="33"/>
        <v>6.6570142439883799</v>
      </c>
      <c r="AH20" s="223">
        <f t="shared" si="33"/>
        <v>183125.6142178399</v>
      </c>
      <c r="AI20" s="223">
        <f t="shared" si="33"/>
        <v>5.773159699547608</v>
      </c>
      <c r="AJ20" s="223">
        <f t="shared" si="33"/>
        <v>6.4360506078781867</v>
      </c>
      <c r="AK20" s="223">
        <f t="shared" si="33"/>
        <v>6.4360506078781867</v>
      </c>
      <c r="AL20" s="222">
        <f t="shared" si="33"/>
        <v>3.3425597023354841</v>
      </c>
      <c r="AM20" s="224">
        <f t="shared" si="33"/>
        <v>1048064.5</v>
      </c>
      <c r="AN20" s="225">
        <f>Projectinformatie!C18</f>
        <v>1048064.5</v>
      </c>
      <c r="AO20" s="90"/>
      <c r="AP20" s="175"/>
      <c r="AQ20" s="173"/>
      <c r="AR20" s="161"/>
      <c r="AS20" s="90"/>
      <c r="AT20" s="90"/>
      <c r="BD20" s="176"/>
      <c r="BE20" s="90"/>
      <c r="BF20" s="183"/>
      <c r="BG20" s="90"/>
      <c r="BH20" s="90"/>
      <c r="BJ20" s="90"/>
      <c r="BK20" s="90"/>
      <c r="BL20" s="530"/>
      <c r="BM20" s="90"/>
      <c r="BN20" s="90"/>
      <c r="BO20" s="90"/>
      <c r="BP20" s="90"/>
    </row>
    <row r="21" spans="1:68" ht="9.75" customHeight="1" thickBot="1">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175"/>
      <c r="AQ21" s="91" t="s">
        <v>344</v>
      </c>
      <c r="AR21" s="90"/>
      <c r="AS21" s="161"/>
      <c r="AT21" s="90"/>
      <c r="BD21" s="176"/>
      <c r="BE21" s="90"/>
      <c r="BF21" s="183"/>
      <c r="BG21" s="90"/>
      <c r="BH21" s="90"/>
      <c r="BJ21" s="90"/>
      <c r="BK21" s="90"/>
      <c r="BL21" s="530"/>
      <c r="BM21" s="90"/>
      <c r="BN21" s="90"/>
      <c r="BO21" s="90"/>
      <c r="BP21" s="90"/>
    </row>
    <row r="22" spans="1:68" ht="9.75" customHeight="1" thickBot="1">
      <c r="A22" s="90"/>
      <c r="B22" s="754" t="s">
        <v>345</v>
      </c>
      <c r="C22" s="755"/>
      <c r="D22" s="755"/>
      <c r="E22" s="755"/>
      <c r="F22" s="755"/>
      <c r="G22" s="755"/>
      <c r="H22" s="755"/>
      <c r="I22" s="755"/>
      <c r="J22" s="550"/>
      <c r="K22" s="550"/>
      <c r="L22" s="550"/>
      <c r="M22" s="551"/>
      <c r="N22" s="549" t="s">
        <v>315</v>
      </c>
      <c r="O22" s="227"/>
      <c r="P22" s="528"/>
      <c r="Q22" s="528"/>
      <c r="R22" s="227" t="s">
        <v>303</v>
      </c>
      <c r="S22" s="227" t="s">
        <v>304</v>
      </c>
      <c r="T22" s="227" t="s">
        <v>305</v>
      </c>
      <c r="U22" s="227"/>
      <c r="V22" s="227"/>
      <c r="W22" s="227"/>
      <c r="X22" s="90"/>
      <c r="Y22" s="90"/>
      <c r="Z22" s="90"/>
      <c r="AA22" s="90"/>
      <c r="AB22" s="90"/>
      <c r="AC22" s="90"/>
      <c r="AD22" s="90"/>
      <c r="AE22" s="90"/>
      <c r="AF22" s="90"/>
      <c r="AG22" s="90"/>
      <c r="AH22" s="90"/>
      <c r="AI22" s="90"/>
      <c r="AJ22" s="90"/>
      <c r="AK22" s="90"/>
      <c r="AL22" s="90"/>
      <c r="AM22" s="90"/>
      <c r="AN22" s="90"/>
      <c r="AO22" s="90"/>
      <c r="AP22" s="175"/>
      <c r="AQ22" s="189" t="s">
        <v>321</v>
      </c>
      <c r="AR22" s="189" t="s">
        <v>1462</v>
      </c>
      <c r="AS22" s="189" t="s">
        <v>1463</v>
      </c>
      <c r="AT22" s="161"/>
      <c r="BD22" s="176"/>
      <c r="BE22" s="90"/>
      <c r="BF22" s="228" t="s">
        <v>1369</v>
      </c>
      <c r="BG22" s="90"/>
      <c r="BH22" s="90"/>
      <c r="BJ22" s="90" t="s">
        <v>1370</v>
      </c>
      <c r="BK22" s="90"/>
      <c r="BL22" s="530"/>
      <c r="BM22" s="90"/>
      <c r="BN22" s="90"/>
      <c r="BO22" s="90"/>
      <c r="BP22" s="90"/>
    </row>
    <row r="23" spans="1:68" ht="9.75" customHeight="1">
      <c r="A23" s="90"/>
      <c r="B23" s="229"/>
      <c r="C23" s="178"/>
      <c r="D23" s="178"/>
      <c r="E23" s="178"/>
      <c r="F23" s="178"/>
      <c r="G23" s="178"/>
      <c r="H23" s="230"/>
      <c r="I23" s="231"/>
      <c r="J23" s="552"/>
      <c r="K23" s="540"/>
      <c r="L23" s="552"/>
      <c r="M23" s="540"/>
      <c r="N23" s="232"/>
      <c r="O23" s="233" t="s">
        <v>347</v>
      </c>
      <c r="P23" s="528"/>
      <c r="Q23" s="528"/>
      <c r="R23" s="234">
        <f>IFERROR(Projectinformatie!C85,0)</f>
        <v>170</v>
      </c>
      <c r="S23" s="234">
        <f>IFERROR(Projectinformatie!C86,0)</f>
        <v>160</v>
      </c>
      <c r="T23" s="234">
        <f>IFERROR(AVERAGE(Projectinformatie!C43*Projectinformatie!C87+Projectinformatie!C45*Projectinformatie!C89)/(Projectinformatie!C43+Projectinformatie!C45),0)</f>
        <v>165</v>
      </c>
      <c r="U23" s="234"/>
      <c r="V23" s="234"/>
      <c r="W23" s="234"/>
      <c r="X23" s="90"/>
      <c r="Y23" s="90"/>
      <c r="Z23" s="90"/>
      <c r="AA23" s="90"/>
      <c r="AB23" s="90"/>
      <c r="AC23" s="90"/>
      <c r="AD23" s="90"/>
      <c r="AE23" s="90"/>
      <c r="AF23" s="90"/>
      <c r="AG23" s="90"/>
      <c r="AH23" s="90"/>
      <c r="AI23" s="90"/>
      <c r="AJ23" s="90"/>
      <c r="AK23" s="90"/>
      <c r="AL23" s="90"/>
      <c r="AM23" s="90"/>
      <c r="AN23" s="90"/>
      <c r="AO23" s="90"/>
      <c r="AP23" s="175"/>
      <c r="AQ23" s="235" t="s">
        <v>320</v>
      </c>
      <c r="AR23" s="236">
        <f>AR6*Y5</f>
        <v>17262748.523638688</v>
      </c>
      <c r="AS23" s="236">
        <f>AS6</f>
        <v>0</v>
      </c>
      <c r="AT23" s="90"/>
      <c r="BD23" s="176"/>
      <c r="BE23" s="90"/>
      <c r="BF23" s="90" t="s">
        <v>320</v>
      </c>
      <c r="BG23" s="183">
        <v>464107.34584028972</v>
      </c>
      <c r="BH23" s="90">
        <v>0</v>
      </c>
      <c r="BJ23" s="90" t="s">
        <v>320</v>
      </c>
      <c r="BK23" s="183">
        <v>498039.85776097223</v>
      </c>
      <c r="BL23" s="530">
        <v>0</v>
      </c>
      <c r="BM23" s="90"/>
      <c r="BN23" s="90"/>
      <c r="BO23" s="90"/>
      <c r="BP23" s="90"/>
    </row>
    <row r="24" spans="1:68" ht="9.75" customHeight="1">
      <c r="A24" s="90"/>
      <c r="B24" s="237" t="s">
        <v>348</v>
      </c>
      <c r="C24" s="191"/>
      <c r="D24" s="191"/>
      <c r="E24" s="191"/>
      <c r="F24" s="191"/>
      <c r="G24" s="191"/>
      <c r="H24" s="191"/>
      <c r="I24" s="238"/>
      <c r="J24" s="553"/>
      <c r="K24" s="541"/>
      <c r="L24" s="553"/>
      <c r="M24" s="541"/>
      <c r="N24" s="239"/>
      <c r="O24" s="621"/>
      <c r="P24" s="528"/>
      <c r="Q24" s="528"/>
      <c r="R24" s="528"/>
      <c r="S24" s="528"/>
      <c r="T24" s="528"/>
      <c r="U24" s="528"/>
      <c r="V24" s="528"/>
      <c r="W24" s="528"/>
      <c r="X24" s="622"/>
      <c r="Y24" s="622"/>
      <c r="Z24" s="90"/>
      <c r="AA24" s="90"/>
      <c r="AB24" s="90"/>
      <c r="AC24" s="90"/>
      <c r="AD24" s="90"/>
      <c r="AE24" s="90"/>
      <c r="AF24" s="90"/>
      <c r="AG24" s="90"/>
      <c r="AH24" s="90"/>
      <c r="AI24" s="90"/>
      <c r="AJ24" s="90"/>
      <c r="AK24" s="90"/>
      <c r="AL24" s="90"/>
      <c r="AM24" s="90"/>
      <c r="AN24" s="90"/>
      <c r="AO24" s="90"/>
      <c r="AP24" s="175"/>
      <c r="AQ24" s="235" t="s">
        <v>324</v>
      </c>
      <c r="AR24" s="236">
        <f>IF(Projectinformatie!C69="Nee",0,AR7)</f>
        <v>0</v>
      </c>
      <c r="AS24" s="236">
        <f t="shared" ref="AS24" si="34">AS7</f>
        <v>0</v>
      </c>
      <c r="AT24" s="90"/>
      <c r="BD24" s="176"/>
      <c r="BE24" s="90"/>
      <c r="BF24" s="90" t="s">
        <v>324</v>
      </c>
      <c r="BG24" s="183">
        <v>290790.15756337397</v>
      </c>
      <c r="BH24" s="90">
        <v>0</v>
      </c>
      <c r="BJ24" s="90" t="s">
        <v>324</v>
      </c>
      <c r="BK24" s="183">
        <v>208096.8980106347</v>
      </c>
      <c r="BL24" s="530">
        <v>0</v>
      </c>
      <c r="BM24" s="90"/>
      <c r="BN24" s="90"/>
      <c r="BO24" s="90"/>
      <c r="BP24" s="90"/>
    </row>
    <row r="25" spans="1:68" ht="9.75" customHeight="1">
      <c r="A25" s="90"/>
      <c r="B25" s="190" t="s">
        <v>350</v>
      </c>
      <c r="C25" s="191" t="s">
        <v>224</v>
      </c>
      <c r="D25" s="197">
        <f>IF(Projectinformatie!C51=0,1,Projectinformatie!C51)</f>
        <v>27853.179600000003</v>
      </c>
      <c r="E25" s="197">
        <f>IF(Projectinformatie!C52=0,1,Projectinformatie!C52)</f>
        <v>66146.969400000002</v>
      </c>
      <c r="F25" s="197">
        <f>IF(Projectinformatie!C55=0,1,Projectinformatie!C55)</f>
        <v>70285.651000000013</v>
      </c>
      <c r="G25" s="197">
        <f>IF(Projectinformatie!C54=0,1,Projectinformatie!C54)</f>
        <v>4761.8</v>
      </c>
      <c r="H25" s="197">
        <f>IF(Projectinformatie!C53=0,1,Projectinformatie!C53)</f>
        <v>1</v>
      </c>
      <c r="I25" s="240">
        <f>IF(Projectinformatie!C56=0,1,Projectinformatie!C56)</f>
        <v>24830.1</v>
      </c>
      <c r="J25" s="240">
        <f>IF(Projectinformatie!C57=0,1,Projectinformatie!C57)</f>
        <v>1</v>
      </c>
      <c r="K25" s="240">
        <f>IF(Projectinformatie!C58=0,1,Projectinformatie!C58)</f>
        <v>1</v>
      </c>
      <c r="L25" s="240">
        <f>IF(Projectinformatie!C59=0,1,Projectinformatie!C59)</f>
        <v>1</v>
      </c>
      <c r="M25" s="240">
        <f>IF(Projectinformatie!C60=0,1,Projectinformatie!C60)</f>
        <v>1</v>
      </c>
      <c r="N25" s="241">
        <f>SUM(D25:M25)</f>
        <v>193882.7</v>
      </c>
      <c r="O25" s="623"/>
      <c r="P25" s="528"/>
      <c r="Q25" s="528"/>
      <c r="R25" s="528"/>
      <c r="S25" s="528"/>
      <c r="T25" s="528"/>
      <c r="U25" s="528"/>
      <c r="V25" s="528"/>
      <c r="W25" s="528"/>
      <c r="X25" s="623"/>
      <c r="Y25" s="528"/>
      <c r="Z25" s="90"/>
      <c r="AA25" s="90"/>
      <c r="AB25" s="90"/>
      <c r="AC25" s="90"/>
      <c r="AD25" s="90"/>
      <c r="AE25" s="90"/>
      <c r="AF25" s="90"/>
      <c r="AG25" s="90"/>
      <c r="AH25" s="90"/>
      <c r="AI25" s="90"/>
      <c r="AJ25" s="90"/>
      <c r="AK25" s="90"/>
      <c r="AL25" s="90"/>
      <c r="AM25" s="90"/>
      <c r="AN25" s="90"/>
      <c r="AO25" s="90"/>
      <c r="AP25" s="175"/>
      <c r="AQ25" s="235" t="s">
        <v>325</v>
      </c>
      <c r="AR25" s="236">
        <f>AR8*Y7</f>
        <v>13235227.885468254</v>
      </c>
      <c r="AS25" s="236">
        <f>AS8</f>
        <v>0</v>
      </c>
      <c r="AT25" s="90"/>
      <c r="BD25" s="176"/>
      <c r="BE25" s="90"/>
      <c r="BF25" s="90" t="s">
        <v>325</v>
      </c>
      <c r="BG25" s="183">
        <v>358981.4736847938</v>
      </c>
      <c r="BH25" s="90">
        <v>0</v>
      </c>
      <c r="BJ25" s="90" t="s">
        <v>325</v>
      </c>
      <c r="BK25" s="183">
        <v>385227.86526702333</v>
      </c>
      <c r="BL25" s="530">
        <v>0</v>
      </c>
      <c r="BM25" s="90"/>
      <c r="BN25" s="90"/>
      <c r="BO25" s="90"/>
      <c r="BP25" s="90"/>
    </row>
    <row r="26" spans="1:68" ht="9.75" customHeight="1">
      <c r="A26" s="90"/>
      <c r="B26" s="190"/>
      <c r="C26" s="191"/>
      <c r="D26" s="197"/>
      <c r="E26" s="197"/>
      <c r="F26" s="197"/>
      <c r="G26" s="197"/>
      <c r="H26" s="197"/>
      <c r="I26" s="240"/>
      <c r="J26" s="240"/>
      <c r="K26" s="240"/>
      <c r="L26" s="240"/>
      <c r="M26" s="240"/>
      <c r="N26" s="241"/>
      <c r="O26" s="622"/>
      <c r="P26" s="683"/>
      <c r="Q26" s="683"/>
      <c r="R26" s="683"/>
      <c r="S26" s="528"/>
      <c r="T26" s="528"/>
      <c r="U26" s="528"/>
      <c r="V26" s="528"/>
      <c r="W26" s="528"/>
      <c r="X26" s="623"/>
      <c r="Y26" s="528"/>
      <c r="Z26" s="90"/>
      <c r="AA26" s="90"/>
      <c r="AB26" s="90"/>
      <c r="AC26" s="90"/>
      <c r="AD26" s="90"/>
      <c r="AE26" s="90"/>
      <c r="AF26" s="90"/>
      <c r="AG26" s="90"/>
      <c r="AH26" s="90"/>
      <c r="AI26" s="90"/>
      <c r="AJ26" s="90"/>
      <c r="AK26" s="90"/>
      <c r="AL26" s="90"/>
      <c r="AM26" s="90"/>
      <c r="AN26" s="90"/>
      <c r="AO26" s="90"/>
      <c r="AP26" s="175"/>
      <c r="AQ26" s="235" t="s">
        <v>326</v>
      </c>
      <c r="AR26" s="236">
        <f>IF(Projectinformatie!C69="Nee",0,AR9)</f>
        <v>0</v>
      </c>
      <c r="AS26" s="236">
        <f t="shared" ref="AS26" si="35">AS9</f>
        <v>0</v>
      </c>
      <c r="AT26" s="90"/>
      <c r="BD26" s="176"/>
      <c r="BE26" s="90"/>
      <c r="BF26" s="90" t="s">
        <v>326</v>
      </c>
      <c r="BG26" s="183">
        <v>186211.27461057459</v>
      </c>
      <c r="BH26" s="90">
        <v>0</v>
      </c>
      <c r="BJ26" s="90" t="s">
        <v>326</v>
      </c>
      <c r="BK26" s="183">
        <v>198860.24486282715</v>
      </c>
      <c r="BL26" s="530">
        <v>0</v>
      </c>
      <c r="BM26" s="90"/>
      <c r="BN26" s="90"/>
      <c r="BO26" s="90"/>
      <c r="BP26" s="90"/>
    </row>
    <row r="27" spans="1:68" ht="9.75" customHeight="1">
      <c r="A27" s="90"/>
      <c r="B27" s="237" t="s">
        <v>351</v>
      </c>
      <c r="C27" s="191"/>
      <c r="D27" s="197"/>
      <c r="E27" s="197"/>
      <c r="F27" s="197"/>
      <c r="G27" s="197"/>
      <c r="H27" s="197"/>
      <c r="I27" s="240"/>
      <c r="J27" s="240"/>
      <c r="K27" s="240"/>
      <c r="L27" s="240"/>
      <c r="M27" s="240"/>
      <c r="N27" s="241"/>
      <c r="O27" s="622"/>
      <c r="P27" s="683"/>
      <c r="Q27" s="683"/>
      <c r="R27" s="683"/>
      <c r="S27" s="528"/>
      <c r="T27" s="528"/>
      <c r="U27" s="528"/>
      <c r="V27" s="528"/>
      <c r="W27" s="528"/>
      <c r="X27" s="623"/>
      <c r="Y27" s="528"/>
      <c r="Z27" s="90"/>
      <c r="AA27" s="90"/>
      <c r="AB27" s="90"/>
      <c r="AC27" s="90"/>
      <c r="AD27" s="90"/>
      <c r="AE27" s="90"/>
      <c r="AF27" s="90"/>
      <c r="AG27" s="90"/>
      <c r="AH27" s="90"/>
      <c r="AI27" s="90"/>
      <c r="AJ27" s="90"/>
      <c r="AK27" s="90"/>
      <c r="AL27" s="90"/>
      <c r="AM27" s="90"/>
      <c r="AN27" s="90"/>
      <c r="AO27" s="90"/>
      <c r="AP27" s="175"/>
      <c r="AQ27" s="235" t="s">
        <v>327</v>
      </c>
      <c r="AR27" s="236">
        <f>AR10*Y9</f>
        <v>7923922.5833148118</v>
      </c>
      <c r="AS27" s="236">
        <f t="shared" ref="AS27:AS28" si="36">AS10</f>
        <v>0</v>
      </c>
      <c r="AT27" s="90"/>
      <c r="BD27" s="176"/>
      <c r="BE27" s="90"/>
      <c r="BF27" s="90" t="s">
        <v>327</v>
      </c>
      <c r="BG27" s="183">
        <v>239987.57435452641</v>
      </c>
      <c r="BH27" s="90">
        <v>0</v>
      </c>
      <c r="BJ27" s="90" t="s">
        <v>327</v>
      </c>
      <c r="BK27" s="183">
        <v>233875.49650509976</v>
      </c>
      <c r="BL27" s="530">
        <v>0</v>
      </c>
      <c r="BM27" s="90"/>
      <c r="BN27" s="90"/>
      <c r="BO27" s="90"/>
      <c r="BP27" s="90"/>
    </row>
    <row r="28" spans="1:68" ht="9.75" customHeight="1">
      <c r="A28" s="90"/>
      <c r="B28" s="190" t="s">
        <v>347</v>
      </c>
      <c r="C28" s="191"/>
      <c r="D28" s="197">
        <f>IFERROR(Projectinformatie!C84,0)</f>
        <v>165</v>
      </c>
      <c r="E28" s="191"/>
      <c r="F28" s="197">
        <f>IFERROR(Projectinformatie!C88,0)</f>
        <v>165</v>
      </c>
      <c r="G28" s="197">
        <f>IFERROR(Projectinformatie!C85,0)</f>
        <v>170</v>
      </c>
      <c r="H28" s="197">
        <f>IFERROR(Projectinformatie!C86,0)</f>
        <v>160</v>
      </c>
      <c r="I28" s="240">
        <f>IFERROR(AVERAGE(Projectinformatie!C43*Projectinformatie!C87+Projectinformatie!C45*Projectinformatie!C89)/(Projectinformatie!C43+Projectinformatie!C45),AVERAGE(Projectinformatie!C87,Projectinformatie!C89))</f>
        <v>165</v>
      </c>
      <c r="J28" s="240">
        <f>IFERROR(Projectinformatie!C90,0)</f>
        <v>145</v>
      </c>
      <c r="K28" s="240">
        <f>IFERROR(Projectinformatie!C91,0)</f>
        <v>145</v>
      </c>
      <c r="L28" s="240">
        <f>IFERROR(Projectinformatie!C92,0)</f>
        <v>145</v>
      </c>
      <c r="M28" s="240"/>
      <c r="N28" s="241"/>
      <c r="O28" s="622"/>
      <c r="P28" s="683"/>
      <c r="Q28" s="683"/>
      <c r="R28" s="683"/>
      <c r="S28" s="528"/>
      <c r="T28" s="528"/>
      <c r="U28" s="528"/>
      <c r="V28" s="528"/>
      <c r="W28" s="528"/>
      <c r="X28" s="623"/>
      <c r="Y28" s="528"/>
      <c r="Z28" s="90"/>
      <c r="AA28" s="90"/>
      <c r="AB28" s="90"/>
      <c r="AC28" s="90"/>
      <c r="AD28" s="90"/>
      <c r="AE28" s="90"/>
      <c r="AF28" s="90"/>
      <c r="AG28" s="90"/>
      <c r="AH28" s="90"/>
      <c r="AI28" s="90"/>
      <c r="AJ28" s="90"/>
      <c r="AK28" s="90"/>
      <c r="AL28" s="90"/>
      <c r="AM28" s="90"/>
      <c r="AN28" s="90"/>
      <c r="AO28" s="90"/>
      <c r="AP28" s="175"/>
      <c r="AQ28" s="235" t="s">
        <v>328</v>
      </c>
      <c r="AR28" s="236">
        <f>AR11*Y10</f>
        <v>611995.38415841595</v>
      </c>
      <c r="AS28" s="236">
        <f t="shared" si="36"/>
        <v>0</v>
      </c>
      <c r="AT28" s="90"/>
      <c r="BD28" s="176"/>
      <c r="BE28" s="90"/>
      <c r="BF28" s="90" t="s">
        <v>328</v>
      </c>
      <c r="BG28" s="183">
        <v>16777.006621005006</v>
      </c>
      <c r="BH28" s="90">
        <v>0</v>
      </c>
      <c r="BJ28" s="90" t="s">
        <v>328</v>
      </c>
      <c r="BK28" s="183">
        <v>16717.852855257603</v>
      </c>
      <c r="BL28" s="530">
        <v>0</v>
      </c>
      <c r="BM28" s="90"/>
      <c r="BN28" s="90"/>
      <c r="BO28" s="90"/>
      <c r="BP28" s="90"/>
    </row>
    <row r="29" spans="1:68" ht="9.75" customHeight="1">
      <c r="A29" s="90"/>
      <c r="B29" s="190" t="s">
        <v>349</v>
      </c>
      <c r="C29" s="191"/>
      <c r="D29" s="197">
        <f>IFERROR(Projectinformatie!C93,0)</f>
        <v>120</v>
      </c>
      <c r="E29" s="191"/>
      <c r="F29" s="197">
        <f>IFERROR(Projectinformatie!C97,0)</f>
        <v>120</v>
      </c>
      <c r="G29" s="197">
        <f>IFERROR(Projectinformatie!C94,0)</f>
        <v>120</v>
      </c>
      <c r="H29" s="197">
        <f>IFERROR(Projectinformatie!C98,0)</f>
        <v>120</v>
      </c>
      <c r="I29" s="240">
        <f>IFERROR(Projectinformatie!C98,0)</f>
        <v>120</v>
      </c>
      <c r="J29" s="240">
        <f>IFERROR(Projectinformatie!C99,0)</f>
        <v>120</v>
      </c>
      <c r="K29" s="240">
        <f>IFERROR(Projectinformatie!C100,0)</f>
        <v>120</v>
      </c>
      <c r="L29" s="240">
        <f>IFERROR(Projectinformatie!C101,0)</f>
        <v>120</v>
      </c>
      <c r="M29" s="240"/>
      <c r="N29" s="241"/>
      <c r="O29" s="622"/>
      <c r="P29" s="684"/>
      <c r="Q29" s="683"/>
      <c r="R29" s="683"/>
      <c r="S29" s="528"/>
      <c r="T29" s="528"/>
      <c r="U29" s="528"/>
      <c r="V29" s="528"/>
      <c r="W29" s="528"/>
      <c r="X29" s="623"/>
      <c r="Y29" s="528"/>
      <c r="Z29" s="90"/>
      <c r="AA29" s="90"/>
      <c r="AB29" s="90"/>
      <c r="AC29" s="90"/>
      <c r="AD29" s="90"/>
      <c r="AE29" s="90"/>
      <c r="AF29" s="90"/>
      <c r="AG29" s="90"/>
      <c r="AH29" s="90"/>
      <c r="AI29" s="90"/>
      <c r="AJ29" s="90"/>
      <c r="AK29" s="90"/>
      <c r="AL29" s="90"/>
      <c r="AM29" s="90"/>
      <c r="AN29" s="90"/>
      <c r="AO29" s="90"/>
      <c r="AP29" s="175"/>
      <c r="AQ29" s="242" t="s">
        <v>329</v>
      </c>
      <c r="AR29" s="243">
        <f t="shared" ref="AR29:AS29" si="37">AR12</f>
        <v>0</v>
      </c>
      <c r="AS29" s="243">
        <f t="shared" si="37"/>
        <v>0</v>
      </c>
      <c r="AT29" s="90"/>
      <c r="BD29" s="176"/>
      <c r="BE29" s="90"/>
      <c r="BF29" s="90" t="s">
        <v>329</v>
      </c>
      <c r="BG29" s="183">
        <v>0</v>
      </c>
      <c r="BH29" s="90">
        <v>0</v>
      </c>
      <c r="BJ29" s="90" t="s">
        <v>329</v>
      </c>
      <c r="BK29" s="183">
        <v>0</v>
      </c>
      <c r="BL29" s="530">
        <v>0</v>
      </c>
      <c r="BM29" s="90"/>
      <c r="BN29" s="90"/>
      <c r="BO29" s="90"/>
      <c r="BP29" s="90"/>
    </row>
    <row r="30" spans="1:68" ht="9.75" customHeight="1">
      <c r="A30" s="90"/>
      <c r="B30" s="210"/>
      <c r="C30" s="191"/>
      <c r="D30" s="191"/>
      <c r="E30" s="191"/>
      <c r="F30" s="191"/>
      <c r="G30" s="191"/>
      <c r="H30" s="191"/>
      <c r="I30" s="238"/>
      <c r="J30" s="238"/>
      <c r="K30" s="238"/>
      <c r="L30" s="238"/>
      <c r="M30" s="238"/>
      <c r="N30" s="244"/>
      <c r="O30" s="622"/>
      <c r="P30" s="685"/>
      <c r="Q30" s="683"/>
      <c r="R30" s="683"/>
      <c r="S30" s="528"/>
      <c r="T30" s="528"/>
      <c r="U30" s="528"/>
      <c r="V30" s="528"/>
      <c r="W30" s="528"/>
      <c r="X30" s="528"/>
      <c r="Y30" s="528"/>
      <c r="Z30" s="90"/>
      <c r="AA30" s="90"/>
      <c r="AB30" s="90"/>
      <c r="AC30" s="90"/>
      <c r="AD30" s="90"/>
      <c r="AE30" s="90"/>
      <c r="AF30" s="90"/>
      <c r="AG30" s="90"/>
      <c r="AH30" s="90"/>
      <c r="AI30" s="90"/>
      <c r="AJ30" s="90"/>
      <c r="AK30" s="90"/>
      <c r="AL30" s="90"/>
      <c r="AM30" s="90"/>
      <c r="AN30" s="90"/>
      <c r="AO30" s="90"/>
      <c r="AP30" s="175"/>
      <c r="AQ30" s="235" t="s">
        <v>330</v>
      </c>
      <c r="AR30" s="236">
        <f t="shared" ref="AR30" si="38">AR13</f>
        <v>0</v>
      </c>
      <c r="AS30" s="236">
        <f>AS13*3.6</f>
        <v>1440000</v>
      </c>
      <c r="AT30" s="90"/>
      <c r="BD30" s="176"/>
      <c r="BE30" s="90"/>
      <c r="BF30" s="90" t="s">
        <v>330</v>
      </c>
      <c r="BG30" s="183">
        <v>0</v>
      </c>
      <c r="BH30" s="90">
        <v>400000.00000000006</v>
      </c>
      <c r="BJ30" s="90" t="s">
        <v>330</v>
      </c>
      <c r="BK30" s="183">
        <v>0</v>
      </c>
      <c r="BL30" s="530">
        <v>400000.00000000006</v>
      </c>
      <c r="BM30" s="90"/>
      <c r="BN30" s="90"/>
      <c r="BO30" s="90"/>
      <c r="BP30" s="90"/>
    </row>
    <row r="31" spans="1:68" ht="9.75" customHeight="1">
      <c r="A31" s="90"/>
      <c r="B31" s="237" t="s">
        <v>352</v>
      </c>
      <c r="C31" s="191"/>
      <c r="D31" s="198"/>
      <c r="E31" s="198"/>
      <c r="F31" s="198"/>
      <c r="G31" s="198"/>
      <c r="H31" s="198"/>
      <c r="I31" s="245"/>
      <c r="J31" s="245"/>
      <c r="K31" s="245"/>
      <c r="L31" s="245"/>
      <c r="M31" s="245"/>
      <c r="N31" s="244"/>
      <c r="O31" s="622"/>
      <c r="P31" s="686"/>
      <c r="Q31" s="683"/>
      <c r="R31" s="687"/>
      <c r="S31" s="622"/>
      <c r="T31" s="622"/>
      <c r="U31" s="622"/>
      <c r="V31" s="622"/>
      <c r="W31" s="622"/>
      <c r="X31" s="622"/>
      <c r="Y31" s="528"/>
      <c r="Z31" s="90"/>
      <c r="AA31" s="90"/>
      <c r="AB31" s="90"/>
      <c r="AC31" s="90"/>
      <c r="AD31" s="90"/>
      <c r="AE31" s="90"/>
      <c r="AF31" s="90"/>
      <c r="AG31" s="90"/>
      <c r="AH31" s="90"/>
      <c r="AI31" s="90"/>
      <c r="AJ31" s="90"/>
      <c r="AK31" s="90"/>
      <c r="AL31" s="90"/>
      <c r="AM31" s="90"/>
      <c r="AN31" s="90"/>
      <c r="AO31" s="90"/>
      <c r="AP31" s="175"/>
      <c r="AQ31" s="235" t="s">
        <v>331</v>
      </c>
      <c r="AR31" s="236">
        <f t="shared" ref="AR31:AS31" si="39">AR14</f>
        <v>3338387.2530676713</v>
      </c>
      <c r="AS31" s="236">
        <f t="shared" si="39"/>
        <v>0</v>
      </c>
      <c r="AT31" s="90"/>
      <c r="BD31" s="176"/>
      <c r="BE31" s="90"/>
      <c r="BF31" s="90" t="s">
        <v>331</v>
      </c>
      <c r="BG31" s="183">
        <v>89754.023508875252</v>
      </c>
      <c r="BH31" s="90">
        <v>0</v>
      </c>
      <c r="BJ31" s="90" t="s">
        <v>331</v>
      </c>
      <c r="BK31" s="183">
        <v>96316.254208176004</v>
      </c>
      <c r="BL31" s="530">
        <v>0</v>
      </c>
      <c r="BM31" s="90"/>
      <c r="BN31" s="90"/>
      <c r="BO31" s="90"/>
      <c r="BP31" s="90"/>
    </row>
    <row r="32" spans="1:68" ht="9.75" customHeight="1">
      <c r="A32" s="90"/>
      <c r="B32" s="190" t="s">
        <v>353</v>
      </c>
      <c r="C32" s="191" t="s">
        <v>354</v>
      </c>
      <c r="D32" s="192">
        <v>583</v>
      </c>
      <c r="E32" s="192">
        <v>0</v>
      </c>
      <c r="F32" s="192">
        <v>592</v>
      </c>
      <c r="G32" s="192">
        <v>592</v>
      </c>
      <c r="H32" s="192">
        <v>784</v>
      </c>
      <c r="I32" s="193">
        <v>321</v>
      </c>
      <c r="J32" s="193">
        <f>D32</f>
        <v>583</v>
      </c>
      <c r="K32" s="193">
        <f>F32</f>
        <v>592</v>
      </c>
      <c r="L32" s="193">
        <f>G32</f>
        <v>592</v>
      </c>
      <c r="M32" s="193">
        <f>E32</f>
        <v>0</v>
      </c>
      <c r="N32" s="244"/>
      <c r="O32" s="622"/>
      <c r="P32" s="684"/>
      <c r="Q32" s="683"/>
      <c r="R32" s="684"/>
      <c r="S32" s="621"/>
      <c r="T32" s="621"/>
      <c r="U32" s="621"/>
      <c r="V32" s="621"/>
      <c r="W32" s="621"/>
      <c r="X32" s="528"/>
      <c r="Y32" s="528"/>
      <c r="Z32" s="90"/>
      <c r="AA32" s="90"/>
      <c r="AB32" s="90"/>
      <c r="AC32" s="90"/>
      <c r="AD32" s="90"/>
      <c r="AE32" s="90"/>
      <c r="AF32" s="90"/>
      <c r="AG32" s="90"/>
      <c r="AH32" s="90"/>
      <c r="AI32" s="90"/>
      <c r="AJ32" s="90"/>
      <c r="AK32" s="90"/>
      <c r="AL32" s="90"/>
      <c r="AM32" s="90"/>
      <c r="AN32" s="90"/>
      <c r="AO32" s="90"/>
      <c r="AP32" s="175"/>
      <c r="AQ32" s="235" t="s">
        <v>332</v>
      </c>
      <c r="AR32" s="236">
        <f t="shared" ref="AR32:AS32" si="40">AR15</f>
        <v>1780473.2016360909</v>
      </c>
      <c r="AS32" s="236">
        <f t="shared" si="40"/>
        <v>0</v>
      </c>
      <c r="AT32" s="90"/>
      <c r="BD32" s="176"/>
      <c r="BE32" s="90"/>
      <c r="BF32" s="90" t="s">
        <v>332</v>
      </c>
      <c r="BG32" s="183">
        <v>47868.812538066806</v>
      </c>
      <c r="BH32" s="90">
        <v>0</v>
      </c>
      <c r="BJ32" s="90" t="s">
        <v>332</v>
      </c>
      <c r="BK32" s="183">
        <v>51368.668911027198</v>
      </c>
      <c r="BL32" s="530">
        <v>0</v>
      </c>
      <c r="BM32" s="90"/>
      <c r="BN32" s="90"/>
      <c r="BO32" s="90"/>
      <c r="BP32" s="90"/>
    </row>
    <row r="33" spans="1:68" ht="9.75" customHeight="1">
      <c r="A33" s="90"/>
      <c r="B33" s="190" t="s">
        <v>355</v>
      </c>
      <c r="C33" s="191" t="s">
        <v>354</v>
      </c>
      <c r="D33" s="192">
        <f>304*DB_Overig!C4</f>
        <v>228</v>
      </c>
      <c r="E33" s="192">
        <v>0</v>
      </c>
      <c r="F33" s="192">
        <f>287*DB_Overig!C6</f>
        <v>215.25</v>
      </c>
      <c r="G33" s="192">
        <f>287*DB_Overig!C7</f>
        <v>143.5</v>
      </c>
      <c r="H33" s="192">
        <f>111*DB_Overig!C8</f>
        <v>111</v>
      </c>
      <c r="I33" s="193">
        <f>527*DB_Overig!C9</f>
        <v>395.25</v>
      </c>
      <c r="J33" s="193">
        <f t="shared" ref="J33:J38" si="41">D33</f>
        <v>228</v>
      </c>
      <c r="K33" s="193">
        <f t="shared" ref="K33:K38" si="42">F33</f>
        <v>215.25</v>
      </c>
      <c r="L33" s="193">
        <f t="shared" ref="L33:L38" si="43">G33</f>
        <v>143.5</v>
      </c>
      <c r="M33" s="193">
        <f t="shared" ref="M33:M38" si="44">E33</f>
        <v>0</v>
      </c>
      <c r="N33" s="244"/>
      <c r="O33" s="622"/>
      <c r="P33" s="687"/>
      <c r="Q33" s="683"/>
      <c r="R33" s="687"/>
      <c r="S33" s="622"/>
      <c r="T33" s="622"/>
      <c r="U33" s="622"/>
      <c r="V33" s="622"/>
      <c r="W33" s="622"/>
      <c r="X33" s="622"/>
      <c r="Y33" s="528"/>
      <c r="Z33" s="90"/>
      <c r="AA33" s="90"/>
      <c r="AB33" s="90"/>
      <c r="AC33" s="90"/>
      <c r="AD33" s="90"/>
      <c r="AE33" s="90"/>
      <c r="AF33" s="90"/>
      <c r="AG33" s="90"/>
      <c r="AH33" s="90"/>
      <c r="AI33" s="90"/>
      <c r="AJ33" s="90"/>
      <c r="AK33" s="90"/>
      <c r="AL33" s="90"/>
      <c r="AM33" s="90"/>
      <c r="AN33" s="90"/>
      <c r="AO33" s="90"/>
      <c r="AP33" s="175"/>
      <c r="AQ33" s="235" t="s">
        <v>356</v>
      </c>
      <c r="AR33" s="236">
        <f t="shared" ref="AR33" si="45">AR16</f>
        <v>0</v>
      </c>
      <c r="AS33" s="236">
        <f>AS16*3.6</f>
        <v>2333032.2000000007</v>
      </c>
      <c r="AT33" s="90"/>
      <c r="BD33" s="176"/>
      <c r="BE33" s="90"/>
      <c r="BF33" s="90" t="s">
        <v>356</v>
      </c>
      <c r="BG33" s="183">
        <v>0</v>
      </c>
      <c r="BH33" s="90">
        <v>648064.5</v>
      </c>
      <c r="BJ33" s="90" t="s">
        <v>356</v>
      </c>
      <c r="BK33" s="183">
        <v>0</v>
      </c>
      <c r="BL33" s="530">
        <v>648064.5</v>
      </c>
      <c r="BM33" s="90"/>
      <c r="BN33" s="90"/>
      <c r="BO33" s="90"/>
      <c r="BP33" s="90"/>
    </row>
    <row r="34" spans="1:68" ht="9.75" customHeight="1">
      <c r="A34" s="90"/>
      <c r="B34" s="190" t="s">
        <v>357</v>
      </c>
      <c r="C34" s="191" t="s">
        <v>354</v>
      </c>
      <c r="D34" s="192">
        <f>304*DB_Overig!D4</f>
        <v>76</v>
      </c>
      <c r="E34" s="192">
        <v>0</v>
      </c>
      <c r="F34" s="192">
        <f>287*DB_Overig!D6</f>
        <v>71.75</v>
      </c>
      <c r="G34" s="192">
        <f>287*DB_Overig!D7</f>
        <v>143.5</v>
      </c>
      <c r="H34" s="192">
        <f>111*DB_Overig!D8</f>
        <v>0</v>
      </c>
      <c r="I34" s="193">
        <f>527*DB_Overig!D9</f>
        <v>131.75</v>
      </c>
      <c r="J34" s="193">
        <f t="shared" si="41"/>
        <v>76</v>
      </c>
      <c r="K34" s="193">
        <f t="shared" si="42"/>
        <v>71.75</v>
      </c>
      <c r="L34" s="193">
        <f t="shared" si="43"/>
        <v>143.5</v>
      </c>
      <c r="M34" s="193">
        <f t="shared" si="44"/>
        <v>0</v>
      </c>
      <c r="N34" s="244"/>
      <c r="O34" s="622"/>
      <c r="P34" s="683"/>
      <c r="Q34" s="683"/>
      <c r="R34" s="683"/>
      <c r="S34" s="528"/>
      <c r="T34" s="528"/>
      <c r="U34" s="528"/>
      <c r="V34" s="528"/>
      <c r="W34" s="528"/>
      <c r="X34" s="528"/>
      <c r="Y34" s="528"/>
      <c r="Z34" s="90"/>
      <c r="AA34" s="90"/>
      <c r="AB34" s="90"/>
      <c r="AC34" s="90"/>
      <c r="AD34" s="90"/>
      <c r="AE34" s="90"/>
      <c r="AF34" s="90"/>
      <c r="AG34" s="90"/>
      <c r="AH34" s="90"/>
      <c r="AI34" s="90"/>
      <c r="AJ34" s="90"/>
      <c r="AK34" s="90"/>
      <c r="AL34" s="90"/>
      <c r="AM34" s="90"/>
      <c r="AN34" s="90"/>
      <c r="AO34" s="90"/>
      <c r="AP34" s="175"/>
      <c r="AQ34" s="236" t="s">
        <v>336</v>
      </c>
      <c r="AR34" s="236">
        <f>IF(Projectinformatie!C69="Nee",AR7+AR9,AR6-AR23+AR8-AR25+AR10-AR27+AR11-AR28)</f>
        <v>17658778.968716063</v>
      </c>
      <c r="AS34" s="235">
        <f>AS17</f>
        <v>0</v>
      </c>
      <c r="AT34" s="90"/>
      <c r="AU34" s="597"/>
      <c r="BD34" s="176"/>
      <c r="BE34" s="90"/>
      <c r="BF34" s="90" t="s">
        <v>336</v>
      </c>
      <c r="BG34" s="183">
        <v>81715.831278494356</v>
      </c>
      <c r="BH34" s="90">
        <v>0</v>
      </c>
      <c r="BJ34" s="90" t="s">
        <v>336</v>
      </c>
      <c r="BK34" s="183">
        <v>87690.361618981973</v>
      </c>
      <c r="BL34" s="530">
        <v>0</v>
      </c>
      <c r="BM34" s="90"/>
      <c r="BN34" s="90"/>
      <c r="BO34" s="90"/>
      <c r="BP34" s="90"/>
    </row>
    <row r="35" spans="1:68" ht="9.75" customHeight="1">
      <c r="A35" s="90"/>
      <c r="B35" s="190" t="s">
        <v>358</v>
      </c>
      <c r="C35" s="191" t="s">
        <v>354</v>
      </c>
      <c r="D35" s="192">
        <v>0</v>
      </c>
      <c r="E35" s="192">
        <v>1000</v>
      </c>
      <c r="F35" s="192">
        <v>0</v>
      </c>
      <c r="G35" s="192">
        <v>0</v>
      </c>
      <c r="H35" s="192">
        <v>0</v>
      </c>
      <c r="I35" s="193">
        <v>0</v>
      </c>
      <c r="J35" s="193">
        <f t="shared" si="41"/>
        <v>0</v>
      </c>
      <c r="K35" s="193">
        <f t="shared" si="42"/>
        <v>0</v>
      </c>
      <c r="L35" s="193">
        <f t="shared" si="43"/>
        <v>0</v>
      </c>
      <c r="M35" s="193">
        <f t="shared" si="44"/>
        <v>1000</v>
      </c>
      <c r="N35" s="244"/>
      <c r="O35" s="90"/>
      <c r="P35" s="688"/>
      <c r="Q35" s="683"/>
      <c r="R35" s="688"/>
      <c r="S35" s="173"/>
      <c r="T35" s="173"/>
      <c r="U35" s="173"/>
      <c r="V35" s="173"/>
      <c r="W35" s="173"/>
      <c r="X35" s="173"/>
      <c r="Y35" s="173"/>
      <c r="Z35" s="90"/>
      <c r="AA35" s="90"/>
      <c r="AB35" s="90"/>
      <c r="AC35" s="90"/>
      <c r="AD35" s="90"/>
      <c r="AE35" s="90"/>
      <c r="AF35" s="90"/>
      <c r="AG35" s="90"/>
      <c r="AH35" s="90"/>
      <c r="AI35" s="90"/>
      <c r="AJ35" s="90"/>
      <c r="AK35" s="90"/>
      <c r="AL35" s="90"/>
      <c r="AM35" s="90"/>
      <c r="AN35" s="90"/>
      <c r="AO35" s="90"/>
      <c r="AP35" s="175"/>
      <c r="AQ35" s="246" t="s">
        <v>339</v>
      </c>
      <c r="AR35" s="246">
        <f t="shared" ref="AR35:AS35" si="46">SUM(AR23:AR34)</f>
        <v>61811533.799999997</v>
      </c>
      <c r="AS35" s="246">
        <f t="shared" si="46"/>
        <v>3773032.2000000007</v>
      </c>
      <c r="AT35" s="90"/>
      <c r="AU35" s="90"/>
      <c r="AV35" s="183"/>
      <c r="AW35" s="90"/>
      <c r="AX35" s="90"/>
      <c r="AY35" s="183"/>
      <c r="AZ35" s="183"/>
      <c r="BA35" s="183"/>
      <c r="BB35" s="183"/>
      <c r="BC35" s="183"/>
      <c r="BD35" s="176"/>
      <c r="BE35" s="90"/>
      <c r="BF35" s="90"/>
      <c r="BG35" s="90"/>
      <c r="BH35" s="90"/>
      <c r="BI35" s="247"/>
      <c r="BJ35" s="90"/>
      <c r="BK35" s="530"/>
      <c r="BL35" s="530"/>
      <c r="BM35" s="90"/>
      <c r="BN35" s="90"/>
      <c r="BO35" s="90"/>
      <c r="BP35" s="90"/>
    </row>
    <row r="36" spans="1:68" ht="9.75" customHeight="1">
      <c r="A36" s="90"/>
      <c r="B36" s="190" t="s">
        <v>359</v>
      </c>
      <c r="C36" s="191" t="s">
        <v>354</v>
      </c>
      <c r="D36" s="192">
        <v>44</v>
      </c>
      <c r="E36" s="192">
        <v>0</v>
      </c>
      <c r="F36" s="192">
        <v>56</v>
      </c>
      <c r="G36" s="192">
        <v>56</v>
      </c>
      <c r="H36" s="192">
        <v>60</v>
      </c>
      <c r="I36" s="193">
        <v>73</v>
      </c>
      <c r="J36" s="193">
        <f t="shared" si="41"/>
        <v>44</v>
      </c>
      <c r="K36" s="193">
        <f t="shared" si="42"/>
        <v>56</v>
      </c>
      <c r="L36" s="193">
        <f t="shared" si="43"/>
        <v>56</v>
      </c>
      <c r="M36" s="193">
        <f t="shared" si="44"/>
        <v>0</v>
      </c>
      <c r="N36" s="248"/>
      <c r="O36" s="90"/>
      <c r="P36" s="688"/>
      <c r="Q36" s="683"/>
      <c r="R36" s="688"/>
      <c r="S36" s="173"/>
      <c r="T36" s="173"/>
      <c r="U36" s="173"/>
      <c r="V36" s="173"/>
      <c r="W36" s="173"/>
      <c r="X36" s="173"/>
      <c r="Y36" s="173"/>
      <c r="Z36" s="90"/>
      <c r="AA36" s="90"/>
      <c r="AB36" s="90"/>
      <c r="AC36" s="90"/>
      <c r="AD36" s="90"/>
      <c r="AE36" s="90"/>
      <c r="AF36" s="90"/>
      <c r="AG36" s="90"/>
      <c r="AH36" s="90"/>
      <c r="AI36" s="90"/>
      <c r="AJ36" s="90"/>
      <c r="AK36" s="90"/>
      <c r="AL36" s="90"/>
      <c r="AM36" s="90"/>
      <c r="AN36" s="90"/>
      <c r="AO36" s="90"/>
      <c r="AP36" s="175"/>
      <c r="AQ36" s="90"/>
      <c r="AR36" s="90"/>
      <c r="AS36" s="90"/>
      <c r="AT36" s="90"/>
      <c r="AU36" s="90"/>
      <c r="AV36" s="90"/>
      <c r="AW36" s="90"/>
      <c r="AX36" s="90"/>
      <c r="AY36" s="90"/>
      <c r="AZ36" s="90"/>
      <c r="BA36" s="90"/>
      <c r="BB36" s="90"/>
      <c r="BC36" s="90"/>
      <c r="BD36" s="176"/>
      <c r="BE36" s="90"/>
      <c r="BF36" s="90"/>
      <c r="BG36" s="90"/>
      <c r="BH36" s="90"/>
      <c r="BI36" s="90"/>
      <c r="BJ36" s="90"/>
      <c r="BK36" s="530"/>
      <c r="BL36" s="530"/>
      <c r="BM36" s="90"/>
      <c r="BN36" s="90"/>
      <c r="BO36" s="90"/>
      <c r="BP36" s="90"/>
    </row>
    <row r="37" spans="1:68" ht="9.75" customHeight="1">
      <c r="A37" s="90"/>
      <c r="B37" s="190" t="s">
        <v>360</v>
      </c>
      <c r="C37" s="191" t="s">
        <v>354</v>
      </c>
      <c r="D37" s="192">
        <v>69</v>
      </c>
      <c r="E37" s="192">
        <v>0</v>
      </c>
      <c r="F37" s="192">
        <v>65</v>
      </c>
      <c r="G37" s="192">
        <v>65</v>
      </c>
      <c r="H37" s="192">
        <v>45</v>
      </c>
      <c r="I37" s="193">
        <v>79</v>
      </c>
      <c r="J37" s="193">
        <f t="shared" si="41"/>
        <v>69</v>
      </c>
      <c r="K37" s="193">
        <f t="shared" si="42"/>
        <v>65</v>
      </c>
      <c r="L37" s="193">
        <f t="shared" si="43"/>
        <v>65</v>
      </c>
      <c r="M37" s="193">
        <f t="shared" si="44"/>
        <v>0</v>
      </c>
      <c r="N37" s="248"/>
      <c r="O37" s="90"/>
      <c r="P37" s="173"/>
      <c r="Q37" s="173"/>
      <c r="R37" s="173"/>
      <c r="S37" s="173"/>
      <c r="T37" s="173"/>
      <c r="U37" s="173"/>
      <c r="V37" s="173"/>
      <c r="W37" s="173"/>
      <c r="X37" s="173"/>
      <c r="Y37" s="173"/>
      <c r="Z37" s="90"/>
      <c r="AA37" s="90"/>
      <c r="AB37" s="90"/>
      <c r="AC37" s="90"/>
      <c r="AD37" s="90"/>
      <c r="AE37" s="90"/>
      <c r="AF37" s="90"/>
      <c r="AG37" s="90"/>
      <c r="AH37" s="90"/>
      <c r="AI37" s="90"/>
      <c r="AJ37" s="90"/>
      <c r="AK37" s="90"/>
      <c r="AL37" s="90"/>
      <c r="AM37" s="90"/>
      <c r="AN37" s="90"/>
      <c r="AO37" s="90"/>
      <c r="AP37" s="175"/>
      <c r="AQ37" s="90"/>
      <c r="AR37" s="90"/>
      <c r="AS37" s="90"/>
      <c r="AT37" s="90"/>
      <c r="AU37" s="90"/>
      <c r="AV37" s="90"/>
      <c r="AW37" s="90"/>
      <c r="AX37" s="90"/>
      <c r="AY37" s="90"/>
      <c r="AZ37" s="90"/>
      <c r="BA37" s="90"/>
      <c r="BB37" s="90"/>
      <c r="BC37" s="90"/>
      <c r="BD37" s="176"/>
      <c r="BE37" s="90"/>
      <c r="BF37" s="90"/>
      <c r="BG37" s="90"/>
      <c r="BH37" s="90"/>
      <c r="BI37" s="90"/>
      <c r="BJ37" s="90"/>
      <c r="BK37" s="530"/>
      <c r="BL37" s="530"/>
      <c r="BM37" s="90"/>
      <c r="BN37" s="90"/>
      <c r="BO37" s="90"/>
      <c r="BP37" s="90"/>
    </row>
    <row r="38" spans="1:68" ht="9.75" customHeight="1">
      <c r="A38" s="90"/>
      <c r="B38" s="190" t="s">
        <v>361</v>
      </c>
      <c r="C38" s="191" t="s">
        <v>354</v>
      </c>
      <c r="D38" s="192">
        <f t="shared" ref="D38:I38" si="47">SUM(D32:D37)</f>
        <v>1000</v>
      </c>
      <c r="E38" s="192">
        <f t="shared" si="47"/>
        <v>1000</v>
      </c>
      <c r="F38" s="192">
        <f t="shared" si="47"/>
        <v>1000</v>
      </c>
      <c r="G38" s="192">
        <f t="shared" si="47"/>
        <v>1000</v>
      </c>
      <c r="H38" s="192">
        <f t="shared" si="47"/>
        <v>1000</v>
      </c>
      <c r="I38" s="193">
        <f t="shared" si="47"/>
        <v>1000</v>
      </c>
      <c r="J38" s="193">
        <f t="shared" si="41"/>
        <v>1000</v>
      </c>
      <c r="K38" s="193">
        <f t="shared" si="42"/>
        <v>1000</v>
      </c>
      <c r="L38" s="193">
        <f t="shared" si="43"/>
        <v>1000</v>
      </c>
      <c r="M38" s="193">
        <f t="shared" si="44"/>
        <v>1000</v>
      </c>
      <c r="N38" s="244"/>
      <c r="O38" s="219"/>
      <c r="P38" s="173"/>
      <c r="Q38" s="173"/>
      <c r="R38" s="173"/>
      <c r="S38" s="173"/>
      <c r="T38" s="173"/>
      <c r="U38" s="173"/>
      <c r="V38" s="173"/>
      <c r="W38" s="173"/>
      <c r="X38" s="173"/>
      <c r="Y38" s="173"/>
      <c r="Z38" s="90"/>
      <c r="AA38" s="90"/>
      <c r="AB38" s="90"/>
      <c r="AC38" s="90"/>
      <c r="AD38" s="90"/>
      <c r="AE38" s="90"/>
      <c r="AF38" s="90"/>
      <c r="AG38" s="90"/>
      <c r="AH38" s="90"/>
      <c r="AI38" s="90"/>
      <c r="AJ38" s="90"/>
      <c r="AK38" s="90"/>
      <c r="AL38" s="90"/>
      <c r="AM38" s="90"/>
      <c r="AN38" s="90"/>
      <c r="AO38" s="90"/>
      <c r="AP38" s="175"/>
      <c r="AQ38" s="34" t="s">
        <v>362</v>
      </c>
      <c r="AR38" s="90"/>
      <c r="AS38" s="90"/>
      <c r="AT38" s="90"/>
      <c r="AU38" s="90"/>
      <c r="AV38" s="90"/>
      <c r="AW38" s="90"/>
      <c r="AX38" s="90"/>
      <c r="AY38" s="90"/>
      <c r="AZ38" s="90"/>
      <c r="BA38" s="90"/>
      <c r="BB38" s="90"/>
      <c r="BC38" s="90"/>
      <c r="BD38" s="176"/>
      <c r="BE38" s="90"/>
      <c r="BF38" s="90"/>
      <c r="BG38" s="90"/>
      <c r="BH38" s="90"/>
      <c r="BI38" s="90"/>
      <c r="BJ38" s="90"/>
      <c r="BK38" s="90"/>
      <c r="BL38" s="90"/>
      <c r="BM38" s="90"/>
      <c r="BN38" s="90"/>
      <c r="BO38" s="90"/>
      <c r="BP38" s="90"/>
    </row>
    <row r="39" spans="1:68" ht="9.75" customHeight="1">
      <c r="A39" s="90"/>
      <c r="B39" s="190"/>
      <c r="C39" s="191"/>
      <c r="D39" s="192"/>
      <c r="E39" s="192"/>
      <c r="F39" s="192"/>
      <c r="G39" s="192"/>
      <c r="H39" s="192"/>
      <c r="I39" s="193"/>
      <c r="J39" s="193"/>
      <c r="K39" s="193"/>
      <c r="L39" s="193"/>
      <c r="M39" s="193"/>
      <c r="N39" s="244"/>
      <c r="O39" s="90"/>
      <c r="P39" s="173"/>
      <c r="Q39" s="173"/>
      <c r="R39" s="173"/>
      <c r="S39" s="173"/>
      <c r="T39" s="173"/>
      <c r="U39" s="173"/>
      <c r="V39" s="173"/>
      <c r="W39" s="173"/>
      <c r="X39" s="173"/>
      <c r="Y39" s="173"/>
      <c r="Z39" s="90"/>
      <c r="AA39" s="90"/>
      <c r="AB39" s="90"/>
      <c r="AC39" s="90"/>
      <c r="AD39" s="90"/>
      <c r="AE39" s="90"/>
      <c r="AF39" s="90"/>
      <c r="AG39" s="90"/>
      <c r="AH39" s="90"/>
      <c r="AI39" s="90"/>
      <c r="AJ39" s="90"/>
      <c r="AK39" s="90"/>
      <c r="AL39" s="90"/>
      <c r="AM39" s="90"/>
      <c r="AN39" s="90"/>
      <c r="AO39" s="90"/>
      <c r="AP39" s="175"/>
      <c r="AQ39" s="191" t="s">
        <v>63</v>
      </c>
      <c r="AR39" s="191" t="s">
        <v>1384</v>
      </c>
      <c r="AS39" s="191" t="s">
        <v>1386</v>
      </c>
      <c r="AT39" s="191" t="s">
        <v>1387</v>
      </c>
      <c r="AU39" s="191" t="s">
        <v>44</v>
      </c>
      <c r="AV39" s="238" t="s">
        <v>43</v>
      </c>
      <c r="AW39" s="600" t="s">
        <v>1390</v>
      </c>
      <c r="AX39" s="601" t="s">
        <v>1391</v>
      </c>
      <c r="AY39" s="600" t="s">
        <v>1392</v>
      </c>
      <c r="AZ39" s="530"/>
      <c r="BA39" s="530"/>
      <c r="BB39" s="530"/>
      <c r="BC39" s="530"/>
      <c r="BD39" s="176"/>
      <c r="BE39" s="90"/>
      <c r="BF39" s="90"/>
      <c r="BG39" s="90"/>
      <c r="BH39" s="90"/>
      <c r="BI39" s="90"/>
      <c r="BJ39" s="90"/>
      <c r="BK39" s="90"/>
      <c r="BL39" s="90"/>
      <c r="BM39" s="90"/>
      <c r="BN39" s="90"/>
      <c r="BO39" s="90"/>
      <c r="BP39" s="90"/>
    </row>
    <row r="40" spans="1:68" ht="9.75" customHeight="1">
      <c r="A40" s="90"/>
      <c r="B40" s="190" t="s">
        <v>364</v>
      </c>
      <c r="C40" s="191" t="s">
        <v>241</v>
      </c>
      <c r="D40" s="249">
        <f t="shared" ref="D40:I40" si="48">D32/D$38</f>
        <v>0.58299999999999996</v>
      </c>
      <c r="E40" s="249">
        <f t="shared" si="48"/>
        <v>0</v>
      </c>
      <c r="F40" s="249">
        <f t="shared" si="48"/>
        <v>0.59199999999999997</v>
      </c>
      <c r="G40" s="249">
        <f t="shared" si="48"/>
        <v>0.59199999999999997</v>
      </c>
      <c r="H40" s="249">
        <f t="shared" si="48"/>
        <v>0.78400000000000003</v>
      </c>
      <c r="I40" s="250">
        <f t="shared" si="48"/>
        <v>0.32100000000000001</v>
      </c>
      <c r="J40" s="250">
        <f t="shared" ref="J40:M40" si="49">J32/J$38</f>
        <v>0.58299999999999996</v>
      </c>
      <c r="K40" s="250">
        <f t="shared" si="49"/>
        <v>0.59199999999999997</v>
      </c>
      <c r="L40" s="250">
        <f t="shared" si="49"/>
        <v>0.59199999999999997</v>
      </c>
      <c r="M40" s="250">
        <f t="shared" si="49"/>
        <v>0</v>
      </c>
      <c r="N40" s="244"/>
      <c r="O40" s="90"/>
      <c r="P40" s="173"/>
      <c r="Q40" s="173"/>
      <c r="R40" s="173"/>
      <c r="S40" s="173"/>
      <c r="T40" s="173"/>
      <c r="U40" s="173"/>
      <c r="V40" s="173"/>
      <c r="W40" s="173"/>
      <c r="X40" s="173"/>
      <c r="Y40" s="173"/>
      <c r="Z40" s="90"/>
      <c r="AA40" s="90"/>
      <c r="AB40" s="90"/>
      <c r="AC40" s="90"/>
      <c r="AD40" s="90"/>
      <c r="AE40" s="90"/>
      <c r="AF40" s="90"/>
      <c r="AG40" s="90"/>
      <c r="AH40" s="90"/>
      <c r="AI40" s="90"/>
      <c r="AJ40" s="90"/>
      <c r="AK40" s="90"/>
      <c r="AL40" s="90"/>
      <c r="AM40" s="90"/>
      <c r="AN40" s="90"/>
      <c r="AO40" s="90"/>
      <c r="AP40" s="175"/>
      <c r="AQ40" s="191" t="s">
        <v>365</v>
      </c>
      <c r="AR40" s="251">
        <f>D28+D54-N60</f>
        <v>165.1</v>
      </c>
      <c r="AS40" s="251">
        <f>F28+F54-N60</f>
        <v>165.1</v>
      </c>
      <c r="AT40" s="251">
        <f>G28+G54-N60</f>
        <v>170.1</v>
      </c>
      <c r="AU40" s="251">
        <f>H28+H54-N60</f>
        <v>160.1</v>
      </c>
      <c r="AV40" s="598">
        <f>I28+I54-N60</f>
        <v>165.1</v>
      </c>
      <c r="AW40" s="598">
        <f>J28+J54-N60</f>
        <v>140.1</v>
      </c>
      <c r="AX40" s="598">
        <f>K28+K54-N60</f>
        <v>140.1</v>
      </c>
      <c r="AY40" s="602">
        <f>L28+L54-N60</f>
        <v>140.1</v>
      </c>
      <c r="AZ40" s="604"/>
      <c r="BA40" s="604"/>
      <c r="BB40" s="604"/>
      <c r="BC40" s="604"/>
      <c r="BD40" s="176"/>
      <c r="BE40" s="90"/>
      <c r="BF40" s="90"/>
      <c r="BG40" s="90"/>
      <c r="BH40" s="90"/>
      <c r="BI40" s="90"/>
      <c r="BJ40" s="90"/>
      <c r="BK40" s="90"/>
      <c r="BL40" s="90"/>
      <c r="BM40" s="90"/>
      <c r="BN40" s="90"/>
      <c r="BO40" s="90"/>
      <c r="BP40" s="90"/>
    </row>
    <row r="41" spans="1:68" ht="9.75" customHeight="1">
      <c r="A41" s="90"/>
      <c r="B41" s="190" t="s">
        <v>366</v>
      </c>
      <c r="C41" s="191" t="s">
        <v>241</v>
      </c>
      <c r="D41" s="249">
        <f t="shared" ref="D41:I41" si="50">D33/D$38</f>
        <v>0.22800000000000001</v>
      </c>
      <c r="E41" s="249">
        <f t="shared" si="50"/>
        <v>0</v>
      </c>
      <c r="F41" s="249">
        <f t="shared" si="50"/>
        <v>0.21525</v>
      </c>
      <c r="G41" s="249">
        <f t="shared" si="50"/>
        <v>0.14349999999999999</v>
      </c>
      <c r="H41" s="249">
        <f t="shared" si="50"/>
        <v>0.111</v>
      </c>
      <c r="I41" s="250">
        <f t="shared" si="50"/>
        <v>0.39524999999999999</v>
      </c>
      <c r="J41" s="250">
        <f t="shared" ref="J41:M41" si="51">J33/J$38</f>
        <v>0.22800000000000001</v>
      </c>
      <c r="K41" s="250">
        <f t="shared" si="51"/>
        <v>0.21525</v>
      </c>
      <c r="L41" s="250">
        <f t="shared" si="51"/>
        <v>0.14349999999999999</v>
      </c>
      <c r="M41" s="250">
        <f t="shared" si="51"/>
        <v>0</v>
      </c>
      <c r="N41" s="244"/>
      <c r="O41" s="90"/>
      <c r="P41" s="173"/>
      <c r="Q41" s="173"/>
      <c r="R41" s="173"/>
      <c r="S41" s="173"/>
      <c r="T41" s="173"/>
      <c r="U41" s="173"/>
      <c r="V41" s="173"/>
      <c r="W41" s="173"/>
      <c r="X41" s="173"/>
      <c r="Y41" s="173"/>
      <c r="Z41" s="90"/>
      <c r="AA41" s="90"/>
      <c r="AB41" s="90"/>
      <c r="AC41" s="90"/>
      <c r="AD41" s="90"/>
      <c r="AE41" s="90"/>
      <c r="AF41" s="90"/>
      <c r="AG41" s="90"/>
      <c r="AH41" s="90"/>
      <c r="AI41" s="90"/>
      <c r="AJ41" s="90"/>
      <c r="AK41" s="90"/>
      <c r="AL41" s="90"/>
      <c r="AM41" s="90"/>
      <c r="AN41" s="90"/>
      <c r="AO41" s="90"/>
      <c r="AP41" s="175"/>
      <c r="AQ41" s="191" t="s">
        <v>367</v>
      </c>
      <c r="AR41" s="251">
        <f>D29-N60</f>
        <v>110.1</v>
      </c>
      <c r="AS41" s="251">
        <f>F29-N60</f>
        <v>110.1</v>
      </c>
      <c r="AT41" s="251">
        <f>G29-N60</f>
        <v>110.1</v>
      </c>
      <c r="AU41" s="251">
        <f>H29-N60</f>
        <v>110.1</v>
      </c>
      <c r="AV41" s="598">
        <f>I29-N60</f>
        <v>110.1</v>
      </c>
      <c r="AW41" s="598">
        <f>J29-N60</f>
        <v>110.1</v>
      </c>
      <c r="AX41" s="598">
        <f>K29-N60</f>
        <v>110.1</v>
      </c>
      <c r="AY41" s="602">
        <f>L29-N60</f>
        <v>110.1</v>
      </c>
      <c r="AZ41" s="604"/>
      <c r="BA41" s="604"/>
      <c r="BB41" s="604"/>
      <c r="BC41" s="604"/>
      <c r="BD41" s="176"/>
      <c r="BE41" s="90"/>
      <c r="BF41" s="90"/>
      <c r="BG41" s="90"/>
      <c r="BH41" s="90"/>
      <c r="BI41" s="252"/>
      <c r="BJ41" s="90"/>
      <c r="BK41" s="90"/>
      <c r="BL41" s="90"/>
      <c r="BM41" s="90"/>
      <c r="BN41" s="90"/>
      <c r="BO41" s="90"/>
      <c r="BP41" s="90"/>
    </row>
    <row r="42" spans="1:68" ht="9.75" customHeight="1">
      <c r="A42" s="90"/>
      <c r="B42" s="190" t="s">
        <v>368</v>
      </c>
      <c r="C42" s="191" t="s">
        <v>241</v>
      </c>
      <c r="D42" s="249">
        <f t="shared" ref="D42:I42" si="52">D34/D$38</f>
        <v>7.5999999999999998E-2</v>
      </c>
      <c r="E42" s="249">
        <f t="shared" si="52"/>
        <v>0</v>
      </c>
      <c r="F42" s="249">
        <f t="shared" si="52"/>
        <v>7.1749999999999994E-2</v>
      </c>
      <c r="G42" s="249">
        <f t="shared" si="52"/>
        <v>0.14349999999999999</v>
      </c>
      <c r="H42" s="249">
        <f t="shared" si="52"/>
        <v>0</v>
      </c>
      <c r="I42" s="250">
        <f t="shared" si="52"/>
        <v>0.13175000000000001</v>
      </c>
      <c r="J42" s="250">
        <f t="shared" ref="J42:M42" si="53">J34/J$38</f>
        <v>7.5999999999999998E-2</v>
      </c>
      <c r="K42" s="250">
        <f t="shared" si="53"/>
        <v>7.1749999999999994E-2</v>
      </c>
      <c r="L42" s="250">
        <f t="shared" si="53"/>
        <v>0.14349999999999999</v>
      </c>
      <c r="M42" s="250">
        <f t="shared" si="53"/>
        <v>0</v>
      </c>
      <c r="N42" s="244"/>
      <c r="O42" s="90"/>
      <c r="P42" s="173"/>
      <c r="Q42" s="173"/>
      <c r="R42" s="173"/>
      <c r="S42" s="173"/>
      <c r="T42" s="173"/>
      <c r="U42" s="173"/>
      <c r="V42" s="173"/>
      <c r="W42" s="173"/>
      <c r="X42" s="173"/>
      <c r="Y42" s="173"/>
      <c r="Z42" s="90"/>
      <c r="AA42" s="90"/>
      <c r="AB42" s="90"/>
      <c r="AC42" s="90"/>
      <c r="AD42" s="90"/>
      <c r="AE42" s="90"/>
      <c r="AF42" s="90"/>
      <c r="AG42" s="90"/>
      <c r="AH42" s="90"/>
      <c r="AI42" s="90"/>
      <c r="AJ42" s="90"/>
      <c r="AK42" s="90"/>
      <c r="AL42" s="90"/>
      <c r="AM42" s="90"/>
      <c r="AN42" s="90"/>
      <c r="AO42" s="90"/>
      <c r="AP42" s="175"/>
      <c r="AQ42" s="191" t="s">
        <v>369</v>
      </c>
      <c r="AR42" s="253">
        <f>($D95+$D96*($D110-$N60)+$D97*(D58-$D110))/1000</f>
        <v>2.656018</v>
      </c>
      <c r="AS42" s="253">
        <f t="shared" ref="AS42:AY42" si="54">($D95+$D96*($D110-$N60)+$D97*(F58-$D110))/1000</f>
        <v>2.656018</v>
      </c>
      <c r="AT42" s="253">
        <f t="shared" si="54"/>
        <v>2.656018</v>
      </c>
      <c r="AU42" s="253">
        <f t="shared" si="54"/>
        <v>2.656018</v>
      </c>
      <c r="AV42" s="599">
        <f t="shared" si="54"/>
        <v>2.656018</v>
      </c>
      <c r="AW42" s="599">
        <f t="shared" si="54"/>
        <v>2.6463179999999999</v>
      </c>
      <c r="AX42" s="599">
        <f t="shared" si="54"/>
        <v>2.6463179999999999</v>
      </c>
      <c r="AY42" s="603">
        <f t="shared" si="54"/>
        <v>2.6463179999999999</v>
      </c>
      <c r="AZ42" s="605"/>
      <c r="BA42" s="605"/>
      <c r="BB42" s="605"/>
      <c r="BC42" s="605"/>
      <c r="BD42" s="176"/>
      <c r="BE42" s="90"/>
      <c r="BF42" s="90"/>
      <c r="BG42" s="90"/>
      <c r="BH42" s="90"/>
      <c r="BI42" s="90"/>
      <c r="BJ42" s="90"/>
      <c r="BK42" s="90"/>
      <c r="BL42" s="90"/>
      <c r="BM42" s="90"/>
      <c r="BN42" s="90"/>
      <c r="BO42" s="90"/>
      <c r="BP42" s="90"/>
    </row>
    <row r="43" spans="1:68" ht="9.75" customHeight="1">
      <c r="A43" s="90"/>
      <c r="B43" s="190" t="s">
        <v>370</v>
      </c>
      <c r="C43" s="191" t="s">
        <v>241</v>
      </c>
      <c r="D43" s="249">
        <f t="shared" ref="D43:I43" si="55">D35/D$38</f>
        <v>0</v>
      </c>
      <c r="E43" s="249">
        <f t="shared" si="55"/>
        <v>1</v>
      </c>
      <c r="F43" s="249">
        <f t="shared" si="55"/>
        <v>0</v>
      </c>
      <c r="G43" s="249">
        <f t="shared" si="55"/>
        <v>0</v>
      </c>
      <c r="H43" s="249">
        <f t="shared" si="55"/>
        <v>0</v>
      </c>
      <c r="I43" s="250">
        <f t="shared" si="55"/>
        <v>0</v>
      </c>
      <c r="J43" s="250">
        <f t="shared" ref="J43:M43" si="56">J35/J$38</f>
        <v>0</v>
      </c>
      <c r="K43" s="250">
        <f t="shared" si="56"/>
        <v>0</v>
      </c>
      <c r="L43" s="250">
        <f t="shared" si="56"/>
        <v>0</v>
      </c>
      <c r="M43" s="250">
        <f t="shared" si="56"/>
        <v>1</v>
      </c>
      <c r="N43" s="244"/>
      <c r="O43" s="90"/>
      <c r="P43" s="173"/>
      <c r="Q43" s="173"/>
      <c r="R43" s="173"/>
      <c r="S43" s="173"/>
      <c r="T43" s="173"/>
      <c r="U43" s="173"/>
      <c r="V43" s="173"/>
      <c r="W43" s="173"/>
      <c r="X43" s="173"/>
      <c r="Y43" s="173"/>
      <c r="Z43" s="90"/>
      <c r="AA43" s="90"/>
      <c r="AB43" s="90"/>
      <c r="AC43" s="90"/>
      <c r="AD43" s="90"/>
      <c r="AE43" s="90"/>
      <c r="AF43" s="90"/>
      <c r="AG43" s="90"/>
      <c r="AH43" s="90"/>
      <c r="AI43" s="90"/>
      <c r="AJ43" s="90"/>
      <c r="AK43" s="90"/>
      <c r="AL43" s="90"/>
      <c r="AM43" s="90"/>
      <c r="AN43" s="90"/>
      <c r="AO43" s="90"/>
      <c r="AP43" s="175"/>
      <c r="AQ43" s="191" t="s">
        <v>371</v>
      </c>
      <c r="AR43" s="251">
        <f t="shared" ref="AR43:AV44" si="57">P9</f>
        <v>35.358260012784626</v>
      </c>
      <c r="AS43" s="251">
        <f t="shared" si="57"/>
        <v>34.875785511373564</v>
      </c>
      <c r="AT43" s="251">
        <f t="shared" si="57"/>
        <v>35.012894812718066</v>
      </c>
      <c r="AU43" s="251">
        <f t="shared" si="57"/>
        <v>32.994963927508927</v>
      </c>
      <c r="AV43" s="598">
        <f t="shared" si="57"/>
        <v>36.515253314836819</v>
      </c>
      <c r="AW43" s="598">
        <f t="shared" ref="AW43:AY43" si="58">U9</f>
        <v>30.838871957021247</v>
      </c>
      <c r="AX43" s="598">
        <f t="shared" si="58"/>
        <v>30.404829359108401</v>
      </c>
      <c r="AY43" s="602">
        <f t="shared" si="58"/>
        <v>29.956527219755714</v>
      </c>
      <c r="AZ43" s="604"/>
      <c r="BA43" s="604"/>
      <c r="BB43" s="604"/>
      <c r="BC43" s="604"/>
      <c r="BD43" s="176"/>
      <c r="BE43" s="90"/>
      <c r="BF43" s="90"/>
      <c r="BG43" s="90"/>
      <c r="BH43" s="90"/>
      <c r="BI43" s="90"/>
      <c r="BJ43" s="90"/>
      <c r="BK43" s="90"/>
      <c r="BL43" s="90"/>
      <c r="BM43" s="90"/>
      <c r="BN43" s="90"/>
      <c r="BO43" s="90"/>
      <c r="BP43" s="90"/>
    </row>
    <row r="44" spans="1:68" ht="9.75" customHeight="1">
      <c r="A44" s="90"/>
      <c r="B44" s="190" t="s">
        <v>372</v>
      </c>
      <c r="C44" s="191" t="s">
        <v>241</v>
      </c>
      <c r="D44" s="249">
        <f t="shared" ref="D44:I44" si="59">D36/D$38</f>
        <v>4.3999999999999997E-2</v>
      </c>
      <c r="E44" s="249">
        <f t="shared" si="59"/>
        <v>0</v>
      </c>
      <c r="F44" s="249">
        <f t="shared" si="59"/>
        <v>5.6000000000000001E-2</v>
      </c>
      <c r="G44" s="249">
        <f t="shared" si="59"/>
        <v>5.6000000000000001E-2</v>
      </c>
      <c r="H44" s="249">
        <f t="shared" si="59"/>
        <v>0.06</v>
      </c>
      <c r="I44" s="250">
        <f t="shared" si="59"/>
        <v>7.2999999999999995E-2</v>
      </c>
      <c r="J44" s="250">
        <f t="shared" ref="J44:M44" si="60">J36/J$38</f>
        <v>4.3999999999999997E-2</v>
      </c>
      <c r="K44" s="250">
        <f t="shared" si="60"/>
        <v>5.6000000000000001E-2</v>
      </c>
      <c r="L44" s="250">
        <f t="shared" si="60"/>
        <v>5.6000000000000001E-2</v>
      </c>
      <c r="M44" s="250">
        <f t="shared" si="60"/>
        <v>0</v>
      </c>
      <c r="N44" s="244"/>
      <c r="O44" s="90"/>
      <c r="P44" s="173"/>
      <c r="Q44" s="173"/>
      <c r="R44" s="173"/>
      <c r="S44" s="173"/>
      <c r="T44" s="173"/>
      <c r="U44" s="173"/>
      <c r="V44" s="173"/>
      <c r="W44" s="173"/>
      <c r="X44" s="173"/>
      <c r="Y44" s="173"/>
      <c r="Z44" s="90"/>
      <c r="AA44" s="90"/>
      <c r="AB44" s="90"/>
      <c r="AC44" s="90"/>
      <c r="AD44" s="90"/>
      <c r="AE44" s="90"/>
      <c r="AF44" s="90"/>
      <c r="AG44" s="90"/>
      <c r="AH44" s="90"/>
      <c r="AI44" s="90"/>
      <c r="AJ44" s="90"/>
      <c r="AK44" s="90"/>
      <c r="AL44" s="90"/>
      <c r="AM44" s="90"/>
      <c r="AN44" s="90"/>
      <c r="AO44" s="90"/>
      <c r="AP44" s="175"/>
      <c r="AQ44" s="191" t="s">
        <v>373</v>
      </c>
      <c r="AR44" s="253">
        <f t="shared" si="57"/>
        <v>2.7396831631799534</v>
      </c>
      <c r="AS44" s="253">
        <f t="shared" si="57"/>
        <v>2.705536774640843</v>
      </c>
      <c r="AT44" s="253">
        <f t="shared" si="57"/>
        <v>2.7152404739292879</v>
      </c>
      <c r="AU44" s="253">
        <f t="shared" si="57"/>
        <v>2.5724245285271965</v>
      </c>
      <c r="AV44" s="599">
        <f t="shared" si="57"/>
        <v>2.821567579275476</v>
      </c>
      <c r="AW44" s="599">
        <f t="shared" ref="AW44:AY44" si="61">U10</f>
        <v>2.5048640526223194</v>
      </c>
      <c r="AX44" s="599">
        <f t="shared" si="61"/>
        <v>2.4729485493681906</v>
      </c>
      <c r="AY44" s="603">
        <f t="shared" si="61"/>
        <v>2.4399845304996641</v>
      </c>
      <c r="AZ44" s="605"/>
      <c r="BA44" s="605"/>
      <c r="BB44" s="605"/>
      <c r="BC44" s="605"/>
      <c r="BD44" s="176"/>
      <c r="BE44" s="90"/>
      <c r="BF44" s="90"/>
      <c r="BG44" s="90"/>
      <c r="BH44" s="90"/>
      <c r="BI44" s="90"/>
      <c r="BJ44" s="90"/>
      <c r="BK44" s="90"/>
      <c r="BL44" s="90"/>
      <c r="BM44" s="90"/>
      <c r="BN44" s="90"/>
      <c r="BO44" s="90"/>
      <c r="BP44" s="90"/>
    </row>
    <row r="45" spans="1:68" ht="9.75" customHeight="1">
      <c r="A45" s="90"/>
      <c r="B45" s="190" t="s">
        <v>374</v>
      </c>
      <c r="C45" s="191" t="s">
        <v>241</v>
      </c>
      <c r="D45" s="249">
        <f t="shared" ref="D45:I45" si="62">D37/D$38</f>
        <v>6.9000000000000006E-2</v>
      </c>
      <c r="E45" s="249">
        <f t="shared" si="62"/>
        <v>0</v>
      </c>
      <c r="F45" s="249">
        <f t="shared" si="62"/>
        <v>6.5000000000000002E-2</v>
      </c>
      <c r="G45" s="249">
        <f t="shared" si="62"/>
        <v>6.5000000000000002E-2</v>
      </c>
      <c r="H45" s="249">
        <f t="shared" si="62"/>
        <v>4.4999999999999998E-2</v>
      </c>
      <c r="I45" s="250">
        <f t="shared" si="62"/>
        <v>7.9000000000000001E-2</v>
      </c>
      <c r="J45" s="250">
        <f t="shared" ref="J45:M45" si="63">J37/J$38</f>
        <v>6.9000000000000006E-2</v>
      </c>
      <c r="K45" s="250">
        <f t="shared" si="63"/>
        <v>6.5000000000000002E-2</v>
      </c>
      <c r="L45" s="250">
        <f t="shared" si="63"/>
        <v>6.5000000000000002E-2</v>
      </c>
      <c r="M45" s="250">
        <f t="shared" si="63"/>
        <v>0</v>
      </c>
      <c r="N45" s="244"/>
      <c r="O45" s="90"/>
      <c r="P45" s="173"/>
      <c r="Q45" s="173"/>
      <c r="R45" s="173"/>
      <c r="S45" s="173"/>
      <c r="T45" s="173"/>
      <c r="U45" s="173"/>
      <c r="V45" s="173"/>
      <c r="W45" s="173"/>
      <c r="X45" s="173"/>
      <c r="Y45" s="173"/>
      <c r="Z45" s="90"/>
      <c r="AA45" s="90"/>
      <c r="AB45" s="90"/>
      <c r="AC45" s="90"/>
      <c r="AD45" s="90"/>
      <c r="AE45" s="90"/>
      <c r="AF45" s="90"/>
      <c r="AG45" s="90"/>
      <c r="AH45" s="90"/>
      <c r="AI45" s="90"/>
      <c r="AJ45" s="90"/>
      <c r="AK45" s="90"/>
      <c r="AL45" s="90"/>
      <c r="AM45" s="90"/>
      <c r="AN45" s="90"/>
      <c r="AO45" s="90"/>
      <c r="AP45" s="175"/>
      <c r="AQ45" s="90"/>
      <c r="AR45" s="90"/>
      <c r="AS45" s="90"/>
      <c r="AT45" s="90"/>
      <c r="AU45" s="90"/>
      <c r="AV45" s="90"/>
      <c r="AW45" s="90"/>
      <c r="AX45" s="90"/>
      <c r="AY45" s="90"/>
      <c r="AZ45" s="90"/>
      <c r="BA45" s="90"/>
      <c r="BB45" s="90"/>
      <c r="BC45" s="90"/>
      <c r="BD45" s="176"/>
      <c r="BE45" s="90"/>
      <c r="BF45" s="90"/>
      <c r="BG45" s="90"/>
      <c r="BH45" s="90"/>
      <c r="BI45" s="90"/>
      <c r="BJ45" s="90"/>
      <c r="BK45" s="90"/>
      <c r="BL45" s="90"/>
      <c r="BM45" s="90"/>
      <c r="BN45" s="90"/>
      <c r="BO45" s="90"/>
      <c r="BP45" s="90"/>
    </row>
    <row r="46" spans="1:68" ht="9.75" customHeight="1">
      <c r="A46" s="90"/>
      <c r="B46" s="190" t="s">
        <v>339</v>
      </c>
      <c r="C46" s="191" t="s">
        <v>241</v>
      </c>
      <c r="D46" s="249">
        <f t="shared" ref="D46:I46" si="64">D38/D$38</f>
        <v>1</v>
      </c>
      <c r="E46" s="249">
        <f t="shared" si="64"/>
        <v>1</v>
      </c>
      <c r="F46" s="249">
        <f t="shared" si="64"/>
        <v>1</v>
      </c>
      <c r="G46" s="249">
        <f t="shared" si="64"/>
        <v>1</v>
      </c>
      <c r="H46" s="249">
        <f t="shared" si="64"/>
        <v>1</v>
      </c>
      <c r="I46" s="250">
        <f t="shared" si="64"/>
        <v>1</v>
      </c>
      <c r="J46" s="250">
        <f t="shared" ref="J46:M46" si="65">J38/J$38</f>
        <v>1</v>
      </c>
      <c r="K46" s="250">
        <f t="shared" si="65"/>
        <v>1</v>
      </c>
      <c r="L46" s="250">
        <f t="shared" si="65"/>
        <v>1</v>
      </c>
      <c r="M46" s="250">
        <f t="shared" si="65"/>
        <v>1</v>
      </c>
      <c r="N46" s="244"/>
      <c r="O46" s="90"/>
      <c r="P46" s="173"/>
      <c r="Q46" s="173"/>
      <c r="R46" s="173"/>
      <c r="S46" s="173"/>
      <c r="T46" s="173"/>
      <c r="U46" s="173"/>
      <c r="V46" s="173"/>
      <c r="W46" s="173"/>
      <c r="X46" s="173"/>
      <c r="Y46" s="173"/>
      <c r="Z46" s="90"/>
      <c r="AA46" s="90"/>
      <c r="AB46" s="90"/>
      <c r="AC46" s="90"/>
      <c r="AD46" s="90"/>
      <c r="AE46" s="90"/>
      <c r="AF46" s="90"/>
      <c r="AG46" s="90"/>
      <c r="AH46" s="90"/>
      <c r="AI46" s="90"/>
      <c r="AJ46" s="90"/>
      <c r="AK46" s="90"/>
      <c r="AL46" s="90"/>
      <c r="AM46" s="90"/>
      <c r="AN46" s="90"/>
      <c r="AO46" s="90"/>
      <c r="AP46" s="175"/>
      <c r="AQ46" s="34"/>
      <c r="AR46" s="90"/>
      <c r="AS46" s="90"/>
      <c r="AT46" s="90"/>
      <c r="AU46" s="90"/>
      <c r="AV46" s="90"/>
      <c r="AW46" s="90"/>
      <c r="AX46" s="90"/>
      <c r="AY46" s="90"/>
      <c r="AZ46" s="90"/>
      <c r="BA46" s="90"/>
      <c r="BB46" s="90"/>
      <c r="BC46" s="90"/>
      <c r="BD46" s="176"/>
      <c r="BE46" s="90"/>
      <c r="BF46" s="90"/>
      <c r="BG46" s="90"/>
      <c r="BH46" s="90"/>
      <c r="BI46" s="90"/>
      <c r="BJ46" s="90"/>
      <c r="BK46" s="90"/>
      <c r="BL46" s="90"/>
      <c r="BM46" s="90"/>
      <c r="BN46" s="90"/>
      <c r="BO46" s="90"/>
      <c r="BP46" s="90"/>
    </row>
    <row r="47" spans="1:68" ht="9.75" customHeight="1">
      <c r="A47" s="90"/>
      <c r="B47" s="190"/>
      <c r="C47" s="191"/>
      <c r="D47" s="249"/>
      <c r="E47" s="249"/>
      <c r="F47" s="249"/>
      <c r="G47" s="249"/>
      <c r="H47" s="249"/>
      <c r="I47" s="250"/>
      <c r="J47" s="250"/>
      <c r="K47" s="250"/>
      <c r="L47" s="250"/>
      <c r="M47" s="250"/>
      <c r="N47" s="244"/>
      <c r="O47" s="90"/>
      <c r="P47" s="90"/>
      <c r="Q47" s="173"/>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175"/>
      <c r="AQ47" s="34" t="s">
        <v>375</v>
      </c>
      <c r="AR47" s="90"/>
      <c r="AS47" s="90"/>
      <c r="AT47" s="90"/>
      <c r="AU47" s="90"/>
      <c r="AV47" s="90"/>
      <c r="AW47" s="90"/>
      <c r="AX47" s="90"/>
      <c r="AY47" s="90"/>
      <c r="AZ47" s="90"/>
      <c r="BA47" s="90"/>
      <c r="BB47" s="90"/>
      <c r="BC47" s="90"/>
      <c r="BD47" s="176"/>
      <c r="BE47" s="90"/>
      <c r="BF47" s="90"/>
      <c r="BG47" s="90"/>
      <c r="BH47" s="90"/>
      <c r="BI47" s="90"/>
      <c r="BJ47" s="90"/>
      <c r="BK47" s="90"/>
      <c r="BL47" s="90"/>
      <c r="BM47" s="90"/>
      <c r="BN47" s="90"/>
      <c r="BO47" s="90"/>
      <c r="BP47" s="90"/>
    </row>
    <row r="48" spans="1:68" s="618" customFormat="1" ht="20.399999999999999">
      <c r="A48" s="161"/>
      <c r="B48" s="606" t="s">
        <v>376</v>
      </c>
      <c r="C48" s="495"/>
      <c r="D48" s="607"/>
      <c r="E48" s="607"/>
      <c r="F48" s="607"/>
      <c r="G48" s="607"/>
      <c r="H48" s="607"/>
      <c r="I48" s="608"/>
      <c r="J48" s="608"/>
      <c r="K48" s="608"/>
      <c r="L48" s="608"/>
      <c r="M48" s="608"/>
      <c r="N48" s="609"/>
      <c r="O48" s="161"/>
      <c r="P48" s="161"/>
      <c r="Q48" s="610"/>
      <c r="R48" s="161"/>
      <c r="S48" s="610"/>
      <c r="T48" s="610"/>
      <c r="U48" s="610"/>
      <c r="V48" s="610"/>
      <c r="W48" s="610"/>
      <c r="X48" s="610"/>
      <c r="Y48" s="161"/>
      <c r="Z48" s="161"/>
      <c r="AA48" s="161"/>
      <c r="AB48" s="161"/>
      <c r="AC48" s="161"/>
      <c r="AD48" s="161"/>
      <c r="AE48" s="161"/>
      <c r="AF48" s="161"/>
      <c r="AG48" s="161"/>
      <c r="AH48" s="161"/>
      <c r="AI48" s="161"/>
      <c r="AJ48" s="161"/>
      <c r="AK48" s="161"/>
      <c r="AL48" s="161"/>
      <c r="AM48" s="161"/>
      <c r="AN48" s="161"/>
      <c r="AO48" s="161"/>
      <c r="AP48" s="611"/>
      <c r="AQ48" s="612" t="s">
        <v>299</v>
      </c>
      <c r="AR48" s="612" t="s">
        <v>200</v>
      </c>
      <c r="AS48" s="613" t="s">
        <v>1384</v>
      </c>
      <c r="AT48" s="613" t="s">
        <v>1385</v>
      </c>
      <c r="AU48" s="613" t="s">
        <v>1386</v>
      </c>
      <c r="AV48" s="614" t="s">
        <v>1387</v>
      </c>
      <c r="AW48" s="614" t="s">
        <v>44</v>
      </c>
      <c r="AX48" s="615" t="s">
        <v>43</v>
      </c>
      <c r="AY48" s="613" t="s">
        <v>1390</v>
      </c>
      <c r="AZ48" s="613" t="s">
        <v>1391</v>
      </c>
      <c r="BA48" s="614" t="s">
        <v>1392</v>
      </c>
      <c r="BB48" s="613" t="s">
        <v>1393</v>
      </c>
      <c r="BC48" s="616" t="s">
        <v>315</v>
      </c>
      <c r="BD48" s="617"/>
      <c r="BE48" s="161"/>
      <c r="BF48" s="161"/>
      <c r="BG48" s="161"/>
      <c r="BH48" s="161"/>
      <c r="BI48" s="161"/>
      <c r="BJ48" s="161"/>
      <c r="BK48" s="161"/>
      <c r="BL48" s="161"/>
      <c r="BM48" s="161"/>
      <c r="BN48" s="161"/>
      <c r="BO48" s="161"/>
      <c r="BP48" s="161"/>
    </row>
    <row r="49" spans="1:68" ht="12" customHeight="1">
      <c r="A49" s="90"/>
      <c r="B49" s="190" t="s">
        <v>377</v>
      </c>
      <c r="C49" s="191" t="s">
        <v>354</v>
      </c>
      <c r="D49" s="195">
        <f>D32*(Projectinformatie!$C73)+D33*(Projectinformatie!$C74)+D34*(Projectinformatie!$C75)</f>
        <v>34.589999999999996</v>
      </c>
      <c r="E49" s="195">
        <f>(E32*(Projectinformatie!$C73/(1-Projectinformatie!$C73))+E33*(Projectinformatie!$C74/(1-Projectinformatie!$C74))+E34*(Projectinformatie!$C75/(1-Projectinformatie!$C75)))</f>
        <v>0</v>
      </c>
      <c r="F49" s="195">
        <f>F32*(Projectinformatie!$C73)+F33*(Projectinformatie!$C74)+F34*(Projectinformatie!$C75)</f>
        <v>33.903749999999995</v>
      </c>
      <c r="G49" s="195">
        <f>G32*(Projectinformatie!$C73)+G33*(Projectinformatie!$C74)+G34*(Projectinformatie!$C75)</f>
        <v>32.827500000000001</v>
      </c>
      <c r="H49" s="195">
        <f>H32*(Projectinformatie!$C73)+H33*(Projectinformatie!$C74)+H34*(Projectinformatie!$C75)</f>
        <v>30.18</v>
      </c>
      <c r="I49" s="196">
        <f>I32*(Projectinformatie!$C73)+I33*(Projectinformatie!$C74)+I34*(Projectinformatie!$C75)</f>
        <v>39.27375</v>
      </c>
      <c r="J49" s="196">
        <f>J32*(Projectinformatie!$C73)+J33*(Projectinformatie!$C74)+J34*(Projectinformatie!$C75)</f>
        <v>34.589999999999996</v>
      </c>
      <c r="K49" s="196">
        <f>K32*(Projectinformatie!$C73)+K33*(Projectinformatie!$C74)+K34*(Projectinformatie!$C75)</f>
        <v>33.903749999999995</v>
      </c>
      <c r="L49" s="196">
        <f>L32*(Projectinformatie!$C73)+L33*(Projectinformatie!$C74)+L34*(Projectinformatie!$C75)</f>
        <v>32.827500000000001</v>
      </c>
      <c r="M49" s="196">
        <f>M32*(Projectinformatie!$C73)+M33*(Projectinformatie!$C74)+M34*(Projectinformatie!$C75)</f>
        <v>0</v>
      </c>
      <c r="N49" s="244"/>
      <c r="O49" s="90"/>
      <c r="P49" s="90"/>
      <c r="Q49" s="173"/>
      <c r="R49" s="90"/>
      <c r="S49" s="173"/>
      <c r="T49" s="173"/>
      <c r="U49" s="173"/>
      <c r="V49" s="173"/>
      <c r="W49" s="173"/>
      <c r="X49" s="183"/>
      <c r="Y49" s="90"/>
      <c r="Z49" s="90"/>
      <c r="AA49" s="90"/>
      <c r="AB49" s="90"/>
      <c r="AC49" s="90"/>
      <c r="AD49" s="90"/>
      <c r="AE49" s="90"/>
      <c r="AF49" s="90"/>
      <c r="AG49" s="90"/>
      <c r="AH49" s="90"/>
      <c r="AI49" s="90"/>
      <c r="AJ49" s="90"/>
      <c r="AK49" s="90"/>
      <c r="AL49" s="90"/>
      <c r="AM49" s="90"/>
      <c r="AN49" s="90"/>
      <c r="AO49" s="90"/>
      <c r="AP49" s="175"/>
      <c r="AQ49" s="211" t="s">
        <v>317</v>
      </c>
      <c r="AR49" s="211" t="s">
        <v>318</v>
      </c>
      <c r="AS49" s="256">
        <f t="shared" ref="AS49:AT49" si="66">SUM(AS50:AS61)</f>
        <v>328.7028610149751</v>
      </c>
      <c r="AT49" s="256">
        <f t="shared" si="66"/>
        <v>352.69391242433636</v>
      </c>
      <c r="AU49" s="256">
        <f>SUM(AU50:AU61)</f>
        <v>327.25147472097728</v>
      </c>
      <c r="AV49" s="256">
        <f>SUM(AV50:AV60)</f>
        <v>328.34209649005288</v>
      </c>
      <c r="AW49" s="256">
        <f t="shared" ref="AW49" si="67">SUM(AW50:AW61)</f>
        <v>313.08614288065621</v>
      </c>
      <c r="AX49" s="256">
        <f>SUM(AX50:AX61)</f>
        <v>343.67319557836316</v>
      </c>
      <c r="AY49" s="256">
        <f t="shared" ref="AY49:BB49" si="68">SUM(AY50:AY61)</f>
        <v>302.31098445774455</v>
      </c>
      <c r="AZ49" s="256">
        <f t="shared" si="68"/>
        <v>301.1103326500276</v>
      </c>
      <c r="BA49" s="256">
        <f t="shared" si="68"/>
        <v>297.40542841654172</v>
      </c>
      <c r="BB49" s="256">
        <f t="shared" si="68"/>
        <v>276.68145820796025</v>
      </c>
      <c r="BC49" s="256">
        <f>SUM(BC50:BC61)</f>
        <v>338.26930406890347</v>
      </c>
      <c r="BD49" s="176"/>
      <c r="BE49" s="90"/>
      <c r="BF49" s="90"/>
      <c r="BG49" s="90"/>
      <c r="BH49" s="90"/>
      <c r="BI49" s="90"/>
      <c r="BJ49" s="90"/>
      <c r="BK49" s="90"/>
      <c r="BL49" s="90"/>
      <c r="BM49" s="90"/>
      <c r="BN49" s="90"/>
      <c r="BO49" s="90"/>
      <c r="BP49" s="90"/>
    </row>
    <row r="50" spans="1:68" ht="12" customHeight="1">
      <c r="A50" s="90"/>
      <c r="B50" s="190" t="s">
        <v>378</v>
      </c>
      <c r="C50" s="191" t="s">
        <v>354</v>
      </c>
      <c r="D50" s="195">
        <f>Projectinformatie!C76*1000</f>
        <v>35</v>
      </c>
      <c r="E50" s="195">
        <f>Projectinformatie!C76*1000</f>
        <v>35</v>
      </c>
      <c r="F50" s="195">
        <f>Projectinformatie!C76*1000</f>
        <v>35</v>
      </c>
      <c r="G50" s="195">
        <f>Projectinformatie!C76*1000</f>
        <v>35</v>
      </c>
      <c r="H50" s="195">
        <f>Projectinformatie!C76*1000</f>
        <v>35</v>
      </c>
      <c r="I50" s="196">
        <f>Projectinformatie!C76*1000</f>
        <v>35</v>
      </c>
      <c r="J50" s="196">
        <f>Projectinformatie!$C$76*1000</f>
        <v>35</v>
      </c>
      <c r="K50" s="196">
        <f>Projectinformatie!$C$76*1000</f>
        <v>35</v>
      </c>
      <c r="L50" s="196">
        <f>Projectinformatie!$C$76*1000</f>
        <v>35</v>
      </c>
      <c r="M50" s="196">
        <f>Projectinformatie!$C$76*1000</f>
        <v>35</v>
      </c>
      <c r="N50" s="244"/>
      <c r="O50" s="90"/>
      <c r="P50" s="90"/>
      <c r="Q50" s="173"/>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175"/>
      <c r="AQ50" s="191" t="s">
        <v>320</v>
      </c>
      <c r="AR50" s="191" t="s">
        <v>318</v>
      </c>
      <c r="AS50" s="195">
        <f>AC5*$AN5/$AM5</f>
        <v>136.88801878417846</v>
      </c>
      <c r="AT50" s="195">
        <f t="shared" ref="AT50:AX50" si="69">AD5*$AN5/$AM5</f>
        <v>0</v>
      </c>
      <c r="AU50" s="195">
        <f t="shared" si="69"/>
        <v>135.65340305669994</v>
      </c>
      <c r="AV50" s="195">
        <f t="shared" si="69"/>
        <v>139.76162241032503</v>
      </c>
      <c r="AW50" s="195">
        <f t="shared" si="69"/>
        <v>133.93963528356318</v>
      </c>
      <c r="AX50" s="195">
        <f t="shared" si="69"/>
        <v>130.86926711272079</v>
      </c>
      <c r="AY50" s="195">
        <f t="shared" ref="AY50:BB50" si="70">AI5*$AN5/$AM5</f>
        <v>116.1599723298813</v>
      </c>
      <c r="AZ50" s="195">
        <f t="shared" si="70"/>
        <v>115.11230628857459</v>
      </c>
      <c r="BA50" s="195">
        <f t="shared" si="70"/>
        <v>115.11230628857459</v>
      </c>
      <c r="BB50" s="195">
        <f t="shared" si="70"/>
        <v>0</v>
      </c>
      <c r="BC50" s="212">
        <f t="shared" ref="BC50:BC61" si="71">SUMPRODUCT(AS50:BB50,D$25:M$25)/N$25</f>
        <v>89.037075116236196</v>
      </c>
      <c r="BD50" s="176"/>
      <c r="BE50" s="90"/>
      <c r="BF50" s="90"/>
      <c r="BG50" s="90"/>
      <c r="BH50" s="90"/>
      <c r="BI50" s="90"/>
      <c r="BJ50" s="90"/>
      <c r="BK50" s="90"/>
      <c r="BL50" s="90"/>
      <c r="BM50" s="90"/>
      <c r="BN50" s="90"/>
      <c r="BO50" s="90"/>
      <c r="BP50" s="90"/>
    </row>
    <row r="51" spans="1:68" ht="12" customHeight="1">
      <c r="A51" s="90"/>
      <c r="B51" s="190"/>
      <c r="C51" s="191"/>
      <c r="D51" s="257"/>
      <c r="E51" s="257"/>
      <c r="F51" s="257"/>
      <c r="G51" s="257"/>
      <c r="H51" s="257"/>
      <c r="I51" s="258"/>
      <c r="J51" s="258"/>
      <c r="K51" s="258"/>
      <c r="L51" s="258"/>
      <c r="M51" s="258"/>
      <c r="N51" s="244"/>
      <c r="O51" s="90"/>
      <c r="P51" s="90"/>
      <c r="Q51" s="173"/>
      <c r="R51" s="90"/>
      <c r="S51" s="173"/>
      <c r="T51" s="173"/>
      <c r="U51" s="173"/>
      <c r="V51" s="173"/>
      <c r="W51" s="173"/>
      <c r="X51" s="183"/>
      <c r="Y51" s="90"/>
      <c r="Z51" s="90"/>
      <c r="AA51" s="90"/>
      <c r="AB51" s="90"/>
      <c r="AC51" s="90"/>
      <c r="AD51" s="90"/>
      <c r="AE51" s="90"/>
      <c r="AF51" s="90"/>
      <c r="AG51" s="90"/>
      <c r="AH51" s="90"/>
      <c r="AI51" s="90"/>
      <c r="AJ51" s="90"/>
      <c r="AK51" s="90"/>
      <c r="AL51" s="90"/>
      <c r="AM51" s="90"/>
      <c r="AN51" s="90"/>
      <c r="AO51" s="90"/>
      <c r="AP51" s="175"/>
      <c r="AQ51" s="191" t="s">
        <v>324</v>
      </c>
      <c r="AR51" s="191" t="s">
        <v>318</v>
      </c>
      <c r="AS51" s="195">
        <f t="shared" ref="AS51:AX51" si="72">IFERROR(AC6*$AN6/$AM6,0)</f>
        <v>0</v>
      </c>
      <c r="AT51" s="195">
        <f t="shared" si="72"/>
        <v>163.51309485950347</v>
      </c>
      <c r="AU51" s="195">
        <f t="shared" si="72"/>
        <v>0</v>
      </c>
      <c r="AV51" s="195">
        <f t="shared" si="72"/>
        <v>0</v>
      </c>
      <c r="AW51" s="195">
        <f t="shared" si="72"/>
        <v>0</v>
      </c>
      <c r="AX51" s="195">
        <f t="shared" si="72"/>
        <v>0</v>
      </c>
      <c r="AY51" s="195">
        <f t="shared" ref="AY51:BB51" si="73">IFERROR(AI6*$AN6/$AM6,0)</f>
        <v>0</v>
      </c>
      <c r="AZ51" s="195">
        <f t="shared" si="73"/>
        <v>0</v>
      </c>
      <c r="BA51" s="195">
        <f t="shared" si="73"/>
        <v>0</v>
      </c>
      <c r="BB51" s="195">
        <f t="shared" si="73"/>
        <v>138.75338939925157</v>
      </c>
      <c r="BC51" s="212">
        <f t="shared" si="71"/>
        <v>55.786485517069195</v>
      </c>
      <c r="BD51" s="176"/>
      <c r="BE51" s="90"/>
      <c r="BF51" s="90"/>
      <c r="BG51" s="90"/>
      <c r="BH51" s="90"/>
      <c r="BI51" s="90"/>
      <c r="BJ51" s="90"/>
      <c r="BK51" s="90"/>
      <c r="BL51" s="90"/>
      <c r="BM51" s="90"/>
      <c r="BN51" s="90"/>
      <c r="BO51" s="90"/>
      <c r="BP51" s="90"/>
    </row>
    <row r="52" spans="1:68" ht="12" customHeight="1">
      <c r="A52" s="90"/>
      <c r="B52" s="237" t="s">
        <v>379</v>
      </c>
      <c r="C52" s="191"/>
      <c r="D52" s="257"/>
      <c r="E52" s="257"/>
      <c r="F52" s="257"/>
      <c r="G52" s="257"/>
      <c r="H52" s="257"/>
      <c r="I52" s="258"/>
      <c r="J52" s="258"/>
      <c r="K52" s="258"/>
      <c r="L52" s="258"/>
      <c r="M52" s="258"/>
      <c r="N52" s="244"/>
      <c r="O52" s="90"/>
      <c r="P52" s="90"/>
      <c r="Q52" s="173"/>
      <c r="R52" s="90"/>
      <c r="S52" s="219"/>
      <c r="T52" s="219"/>
      <c r="U52" s="219"/>
      <c r="V52" s="219"/>
      <c r="W52" s="219"/>
      <c r="X52" s="90"/>
      <c r="Y52" s="90"/>
      <c r="Z52" s="90"/>
      <c r="AA52" s="90"/>
      <c r="AB52" s="90"/>
      <c r="AC52" s="90"/>
      <c r="AD52" s="90"/>
      <c r="AE52" s="90"/>
      <c r="AF52" s="90"/>
      <c r="AG52" s="90"/>
      <c r="AH52" s="90"/>
      <c r="AI52" s="90"/>
      <c r="AJ52" s="90"/>
      <c r="AK52" s="90"/>
      <c r="AL52" s="90"/>
      <c r="AM52" s="90"/>
      <c r="AN52" s="90"/>
      <c r="AO52" s="90"/>
      <c r="AP52" s="175"/>
      <c r="AQ52" s="191" t="s">
        <v>325</v>
      </c>
      <c r="AR52" s="191" t="s">
        <v>318</v>
      </c>
      <c r="AS52" s="195">
        <f t="shared" ref="AS52:AX52" si="74">AC7*$AN7/$AM7</f>
        <v>102.23439580291385</v>
      </c>
      <c r="AT52" s="195">
        <f t="shared" si="74"/>
        <v>0</v>
      </c>
      <c r="AU52" s="195">
        <f t="shared" si="74"/>
        <v>100.20611149763053</v>
      </c>
      <c r="AV52" s="195">
        <f t="shared" si="74"/>
        <v>97.025141029781864</v>
      </c>
      <c r="AW52" s="195">
        <f t="shared" si="74"/>
        <v>89.200175349289964</v>
      </c>
      <c r="AX52" s="195">
        <f t="shared" si="74"/>
        <v>116.07771327449228</v>
      </c>
      <c r="AY52" s="195">
        <f t="shared" ref="AY52:BB52" si="75">AI7*$AN7/$AM7</f>
        <v>101.86102723414351</v>
      </c>
      <c r="AZ52" s="195">
        <f t="shared" si="75"/>
        <v>99.840150392876325</v>
      </c>
      <c r="BA52" s="195">
        <f t="shared" si="75"/>
        <v>96.670797095369963</v>
      </c>
      <c r="BB52" s="195">
        <f t="shared" si="75"/>
        <v>0</v>
      </c>
      <c r="BC52" s="212">
        <f t="shared" si="71"/>
        <v>68.264099300599014</v>
      </c>
      <c r="BD52" s="176"/>
      <c r="BE52" s="90"/>
      <c r="BF52" s="90"/>
      <c r="BG52" s="90"/>
      <c r="BH52" s="90"/>
      <c r="BI52" s="90"/>
      <c r="BJ52" s="90"/>
      <c r="BK52" s="90"/>
      <c r="BL52" s="90"/>
      <c r="BM52" s="90"/>
      <c r="BN52" s="90"/>
      <c r="BO52" s="90"/>
      <c r="BP52" s="90"/>
    </row>
    <row r="53" spans="1:68" ht="12" customHeight="1">
      <c r="A53" s="90"/>
      <c r="B53" s="190" t="s">
        <v>380</v>
      </c>
      <c r="C53" s="191" t="s">
        <v>381</v>
      </c>
      <c r="D53" s="257">
        <f>IFERROR(SUM(Invloedsfactoren!E19:E23)/SUM(Invloedsfactoren!C19:C23),0)</f>
        <v>0.14699999999999999</v>
      </c>
      <c r="E53" s="257">
        <v>1</v>
      </c>
      <c r="F53" s="257">
        <f>IFERROR(SUM(Invloedsfactoren!E27)/SUM(Invloedsfactoren!C27),0)</f>
        <v>0.46604677716614273</v>
      </c>
      <c r="G53" s="257">
        <f>IFERROR(SUM(Invloedsfactoren!E24)/SUM(Invloedsfactoren!C24),0)</f>
        <v>0</v>
      </c>
      <c r="H53" s="257">
        <f>IFERROR(SUM(Invloedsfactoren!E25)/SUM(Invloedsfactoren!C25),0)</f>
        <v>0</v>
      </c>
      <c r="I53" s="258">
        <f>IFERROR(SUM(Invloedsfactoren!E26,Invloedsfactoren!E28)/SUM(Invloedsfactoren!C26,Invloedsfactoren!C28),0)</f>
        <v>0</v>
      </c>
      <c r="J53" s="258">
        <f>IFERROR(SUM(Invloedsfactoren!E29)/SUM(Invloedsfactoren!C29),0)</f>
        <v>0</v>
      </c>
      <c r="K53" s="258">
        <f>IFERROR(SUM(Invloedsfactoren!E30)/SUM(Invloedsfactoren!C30),0)</f>
        <v>0</v>
      </c>
      <c r="L53" s="258">
        <f>IFERROR(SUM(Invloedsfactoren!E31)/SUM(Invloedsfactoren!C31),0)</f>
        <v>0</v>
      </c>
      <c r="M53" s="258">
        <f>IFERROR(SUM(Invloedsfactoren!I26,Invloedsfactoren!I28)/SUM(Invloedsfactoren!G26,Invloedsfactoren!G28),0)</f>
        <v>0</v>
      </c>
      <c r="N53" s="244"/>
      <c r="O53" s="90"/>
      <c r="P53" s="90"/>
      <c r="Q53" s="173"/>
      <c r="R53" s="90"/>
      <c r="S53" s="219"/>
      <c r="T53" s="219"/>
      <c r="U53" s="219"/>
      <c r="V53" s="219"/>
      <c r="W53" s="219"/>
      <c r="X53" s="90"/>
      <c r="Y53" s="90"/>
      <c r="Z53" s="90"/>
      <c r="AA53" s="90"/>
      <c r="AB53" s="90"/>
      <c r="AC53" s="90"/>
      <c r="AD53" s="90"/>
      <c r="AE53" s="90"/>
      <c r="AF53" s="90"/>
      <c r="AG53" s="90"/>
      <c r="AH53" s="90"/>
      <c r="AI53" s="90"/>
      <c r="AJ53" s="90"/>
      <c r="AK53" s="90"/>
      <c r="AL53" s="90"/>
      <c r="AM53" s="90"/>
      <c r="AN53" s="90"/>
      <c r="AO53" s="90"/>
      <c r="AP53" s="175"/>
      <c r="AQ53" s="191" t="s">
        <v>326</v>
      </c>
      <c r="AR53" s="191" t="s">
        <v>318</v>
      </c>
      <c r="AS53" s="195">
        <f t="shared" ref="AS53:AX53" si="76">IFERROR(AC8*$AN8/$AM8,0)</f>
        <v>0</v>
      </c>
      <c r="AT53" s="195">
        <f t="shared" si="76"/>
        <v>103.44615120693915</v>
      </c>
      <c r="AU53" s="195">
        <f t="shared" si="76"/>
        <v>0</v>
      </c>
      <c r="AV53" s="195">
        <f t="shared" si="76"/>
        <v>0</v>
      </c>
      <c r="AW53" s="195">
        <f t="shared" si="76"/>
        <v>0</v>
      </c>
      <c r="AX53" s="195">
        <f t="shared" si="76"/>
        <v>0</v>
      </c>
      <c r="AY53" s="195">
        <f t="shared" ref="AY53:BB53" si="77">IFERROR(AI8*$AN8/$AM8,0)</f>
        <v>0</v>
      </c>
      <c r="AZ53" s="195">
        <f t="shared" si="77"/>
        <v>0</v>
      </c>
      <c r="BA53" s="195">
        <f t="shared" si="77"/>
        <v>0</v>
      </c>
      <c r="BB53" s="195">
        <f t="shared" si="77"/>
        <v>95.134722611992544</v>
      </c>
      <c r="BC53" s="212">
        <f t="shared" si="71"/>
        <v>35.293218699532183</v>
      </c>
      <c r="BD53" s="176"/>
      <c r="BE53" s="90"/>
      <c r="BF53" s="90"/>
      <c r="BG53" s="90"/>
      <c r="BH53" s="90"/>
      <c r="BI53" s="90"/>
      <c r="BJ53" s="90"/>
      <c r="BK53" s="90"/>
      <c r="BL53" s="90"/>
      <c r="BM53" s="90"/>
      <c r="BN53" s="90"/>
      <c r="BO53" s="90"/>
      <c r="BP53" s="90"/>
    </row>
    <row r="54" spans="1:68" ht="12" customHeight="1">
      <c r="A54" s="90"/>
      <c r="B54" s="190" t="s">
        <v>382</v>
      </c>
      <c r="C54" s="191" t="s">
        <v>383</v>
      </c>
      <c r="D54" s="192">
        <f>Input!C37</f>
        <v>10</v>
      </c>
      <c r="E54" s="192">
        <f>Input!C39</f>
        <v>0</v>
      </c>
      <c r="F54" s="192">
        <f>Input!C37</f>
        <v>10</v>
      </c>
      <c r="G54" s="192">
        <f>Input!C37</f>
        <v>10</v>
      </c>
      <c r="H54" s="192">
        <f>Input!C37</f>
        <v>10</v>
      </c>
      <c r="I54" s="193">
        <f>Input!C37</f>
        <v>10</v>
      </c>
      <c r="J54" s="193">
        <f>Input!C38</f>
        <v>5</v>
      </c>
      <c r="K54" s="193">
        <f>Input!C38</f>
        <v>5</v>
      </c>
      <c r="L54" s="193">
        <f>Input!C38</f>
        <v>5</v>
      </c>
      <c r="M54" s="193">
        <f>Input!C39</f>
        <v>0</v>
      </c>
      <c r="N54" s="244"/>
      <c r="O54" s="90"/>
      <c r="P54" s="90">
        <f>(Projectinformatie!C46*J53*J56+Projectinformatie!C47*K53*K56+Projectinformatie!C48*L53*L56)/M25</f>
        <v>0</v>
      </c>
      <c r="Q54" s="173"/>
      <c r="R54" s="90"/>
      <c r="S54" s="219"/>
      <c r="T54" s="219"/>
      <c r="U54" s="219"/>
      <c r="V54" s="219"/>
      <c r="W54" s="219"/>
      <c r="X54" s="90"/>
      <c r="Y54" s="90"/>
      <c r="Z54" s="90"/>
      <c r="AA54" s="90"/>
      <c r="AB54" s="90"/>
      <c r="AC54" s="90"/>
      <c r="AD54" s="90"/>
      <c r="AE54" s="90"/>
      <c r="AF54" s="90"/>
      <c r="AG54" s="90"/>
      <c r="AH54" s="90"/>
      <c r="AI54" s="90"/>
      <c r="AJ54" s="90"/>
      <c r="AK54" s="90"/>
      <c r="AL54" s="90"/>
      <c r="AM54" s="90"/>
      <c r="AN54" s="90"/>
      <c r="AO54" s="90"/>
      <c r="AP54" s="175"/>
      <c r="AQ54" s="191" t="s">
        <v>327</v>
      </c>
      <c r="AR54" s="191" t="s">
        <v>318</v>
      </c>
      <c r="AS54" s="195">
        <f t="shared" ref="AS54:AX55" si="78">AC9*$AN9/$AM9</f>
        <v>39.346521505777503</v>
      </c>
      <c r="AT54" s="195">
        <f t="shared" si="78"/>
        <v>43.926731015857818</v>
      </c>
      <c r="AU54" s="195">
        <f t="shared" si="78"/>
        <v>38.809625930630553</v>
      </c>
      <c r="AV54" s="195">
        <f t="shared" si="78"/>
        <v>38.962200578592388</v>
      </c>
      <c r="AW54" s="195">
        <f t="shared" si="78"/>
        <v>36.716655663674466</v>
      </c>
      <c r="AX54" s="195">
        <f t="shared" si="78"/>
        <v>40.634018736262746</v>
      </c>
      <c r="AY54" s="195">
        <f t="shared" ref="AY54:BB54" si="79">AI9*$AN9/$AM9</f>
        <v>34.317365680101922</v>
      </c>
      <c r="AZ54" s="195">
        <f t="shared" si="79"/>
        <v>33.834364921381713</v>
      </c>
      <c r="BA54" s="195">
        <f t="shared" si="79"/>
        <v>33.335496205535726</v>
      </c>
      <c r="BB54" s="195">
        <f t="shared" si="79"/>
        <v>1.7380094112780129</v>
      </c>
      <c r="BC54" s="212">
        <f t="shared" si="71"/>
        <v>40.86967317514565</v>
      </c>
      <c r="BD54" s="176"/>
      <c r="BE54" s="90"/>
      <c r="BF54" s="90"/>
      <c r="BG54" s="90"/>
      <c r="BH54" s="90"/>
      <c r="BI54" s="90"/>
      <c r="BJ54" s="90"/>
      <c r="BK54" s="90"/>
      <c r="BL54" s="90"/>
      <c r="BM54" s="90"/>
      <c r="BN54" s="90"/>
      <c r="BO54" s="90"/>
      <c r="BP54" s="90"/>
    </row>
    <row r="55" spans="1:68" ht="12" customHeight="1">
      <c r="A55" s="90"/>
      <c r="B55" s="190" t="s">
        <v>384</v>
      </c>
      <c r="C55" s="191" t="s">
        <v>383</v>
      </c>
      <c r="D55" s="524">
        <f>IF(Projectinformatie!C69="Nee",((D28+D54)-((D57)*D53))/(1-D53),((D28+D54)-((D56+D54)*D53))/(1-D53))</f>
        <v>175</v>
      </c>
      <c r="E55" s="192"/>
      <c r="F55" s="524">
        <f>IF(Projectinformatie!C69="Nee",((F28+F54)-((F57)*F53))/(1-F53),((F28+F54)-((F56+F54)*F53))/(1-F53))</f>
        <v>175</v>
      </c>
      <c r="G55" s="524">
        <f>IF(Projectinformatie!C69="Nee",((G28+G54)-((G57)*G53))/(1-G53),((G28+G54)-((G56+G54)*G53))/(1-G53))</f>
        <v>180</v>
      </c>
      <c r="H55" s="524">
        <f>IF(Projectinformatie!C69="Nee",((H28+H54)-((H57)*H53))/(1-H53),((H28+H54)-((H56+H54)*H53))/(1-H53))</f>
        <v>170</v>
      </c>
      <c r="I55" s="529">
        <f>IF(Projectinformatie!C69="Nee",((I28+I54)-((I57)*I53))/(1-I53),((I28+I54)-((I56+I54)*I53))/(1-I53))</f>
        <v>175</v>
      </c>
      <c r="J55" s="529">
        <f>IF(Projectinformatie!C69="Nee",((J28+J54)-((J57)*J53))/(1-J53),((J28+J54)-((J56+J54)*J53))/(1-J53))</f>
        <v>150</v>
      </c>
      <c r="K55" s="529">
        <f>IF(Projectinformatie!C69="Nee",((K28+K54)-((K57)*K53))/(1-K53),((K28+K54)-((K56+K54)*K53))/(1-K53))</f>
        <v>150</v>
      </c>
      <c r="L55" s="529">
        <f>IF(Projectinformatie!C69="Nee",((L28+L54)-((L57)*L53))/(1-L53),((L28+L54)-((L56+L54)*L53))/(1-L53))</f>
        <v>150</v>
      </c>
      <c r="M55" s="584"/>
      <c r="N55" s="244"/>
      <c r="O55" s="90"/>
      <c r="P55" s="90"/>
      <c r="Q55" s="173"/>
      <c r="R55" s="90"/>
      <c r="S55" s="185"/>
      <c r="T55" s="185"/>
      <c r="U55" s="185"/>
      <c r="V55" s="185"/>
      <c r="W55" s="185"/>
      <c r="X55" s="90"/>
      <c r="Y55" s="90"/>
      <c r="Z55" s="90"/>
      <c r="AA55" s="90"/>
      <c r="AB55" s="90"/>
      <c r="AC55" s="90"/>
      <c r="AD55" s="90"/>
      <c r="AE55" s="90"/>
      <c r="AF55" s="90"/>
      <c r="AG55" s="90"/>
      <c r="AH55" s="90"/>
      <c r="AI55" s="90"/>
      <c r="AJ55" s="90"/>
      <c r="AK55" s="90"/>
      <c r="AL55" s="90"/>
      <c r="AM55" s="90"/>
      <c r="AN55" s="90"/>
      <c r="AO55" s="90"/>
      <c r="AP55" s="175"/>
      <c r="AQ55" s="191" t="s">
        <v>328</v>
      </c>
      <c r="AR55" s="191" t="s">
        <v>318</v>
      </c>
      <c r="AS55" s="195">
        <f t="shared" si="78"/>
        <v>3.0487077831346907</v>
      </c>
      <c r="AT55" s="195">
        <f t="shared" si="78"/>
        <v>3.3728781930289964</v>
      </c>
      <c r="AU55" s="195">
        <f t="shared" si="78"/>
        <v>3.010709827055603</v>
      </c>
      <c r="AV55" s="195">
        <f t="shared" si="78"/>
        <v>3.0215080623929853</v>
      </c>
      <c r="AW55" s="195">
        <f t="shared" si="78"/>
        <v>2.8625830851712686</v>
      </c>
      <c r="AX55" s="195">
        <f t="shared" si="78"/>
        <v>3.139828413440751</v>
      </c>
      <c r="AY55" s="195">
        <f t="shared" ref="AY55:BB55" si="80">AI10*$AN10/$AM10</f>
        <v>2.7874020746472592</v>
      </c>
      <c r="AZ55" s="195">
        <f t="shared" si="80"/>
        <v>2.7518866382343181</v>
      </c>
      <c r="BA55" s="195">
        <f t="shared" si="80"/>
        <v>2.7152044181007944</v>
      </c>
      <c r="BB55" s="195">
        <f t="shared" si="80"/>
        <v>2.6202796364312131</v>
      </c>
      <c r="BC55" s="212">
        <f t="shared" si="71"/>
        <v>3.1565239402918159</v>
      </c>
      <c r="BD55" s="176"/>
      <c r="BE55" s="90"/>
      <c r="BF55" s="90"/>
      <c r="BG55" s="90"/>
      <c r="BH55" s="90"/>
      <c r="BI55" s="90"/>
      <c r="BJ55" s="90"/>
      <c r="BK55" s="90"/>
      <c r="BL55" s="90"/>
      <c r="BM55" s="90"/>
      <c r="BN55" s="90"/>
      <c r="BO55" s="90"/>
      <c r="BP55" s="90"/>
    </row>
    <row r="56" spans="1:68" ht="12" customHeight="1">
      <c r="A56" s="90"/>
      <c r="B56" s="190" t="s">
        <v>385</v>
      </c>
      <c r="C56" s="191" t="s">
        <v>383</v>
      </c>
      <c r="D56" s="192">
        <f>D29</f>
        <v>120</v>
      </c>
      <c r="E56" s="198">
        <f>IFERROR((SUM(Projectinformatie!C36:C40)*D53*D56+Projectinformatie!C44*F53*F56+Projectinformatie!C41*G53*G56+Projectinformatie!C42*H53*H56+(Projectinformatie!C43+Projectinformatie!C45)*I53*I56)/E25,Projectinformatie!$C$93)</f>
        <v>120</v>
      </c>
      <c r="F56" s="192">
        <f>F29</f>
        <v>120</v>
      </c>
      <c r="G56" s="192">
        <f t="shared" ref="G56:I56" si="81">G29</f>
        <v>120</v>
      </c>
      <c r="H56" s="197">
        <f t="shared" si="81"/>
        <v>120</v>
      </c>
      <c r="I56" s="240">
        <f t="shared" si="81"/>
        <v>120</v>
      </c>
      <c r="J56" s="240">
        <f>J29</f>
        <v>120</v>
      </c>
      <c r="K56" s="240">
        <f t="shared" ref="K56:L56" si="82">K29</f>
        <v>120</v>
      </c>
      <c r="L56" s="240">
        <f t="shared" si="82"/>
        <v>120</v>
      </c>
      <c r="M56" s="240">
        <f>IF((Projectinformatie!C46*J53*J56+Projectinformatie!C47*K53*K56+Projectinformatie!C48*L53*L56)/M25=0,Projectinformatie!$C$99,(Projectinformatie!C46*J53*J56+Projectinformatie!C47*K53*K56+Projectinformatie!C48*L53*L56)/M25)</f>
        <v>120</v>
      </c>
      <c r="N56" s="244"/>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175"/>
      <c r="AQ56" s="202" t="s">
        <v>329</v>
      </c>
      <c r="AR56" s="202" t="s">
        <v>318</v>
      </c>
      <c r="AS56" s="195">
        <v>0</v>
      </c>
      <c r="AT56" s="195">
        <v>0</v>
      </c>
      <c r="AU56" s="195">
        <v>0</v>
      </c>
      <c r="AV56" s="195">
        <v>0</v>
      </c>
      <c r="AW56" s="195">
        <v>0</v>
      </c>
      <c r="AX56" s="195">
        <v>0</v>
      </c>
      <c r="AY56" s="195">
        <v>0</v>
      </c>
      <c r="AZ56" s="195">
        <v>0</v>
      </c>
      <c r="BA56" s="195">
        <v>0</v>
      </c>
      <c r="BB56" s="195">
        <v>0</v>
      </c>
      <c r="BC56" s="212">
        <f t="shared" si="71"/>
        <v>0</v>
      </c>
      <c r="BD56" s="176"/>
      <c r="BE56" s="90"/>
      <c r="BF56" s="90"/>
      <c r="BG56" s="90"/>
      <c r="BH56" s="90"/>
      <c r="BI56" s="90"/>
      <c r="BJ56" s="90"/>
      <c r="BK56" s="90"/>
      <c r="BL56" s="90"/>
      <c r="BM56" s="90"/>
      <c r="BN56" s="90"/>
      <c r="BO56" s="90"/>
      <c r="BP56" s="90"/>
    </row>
    <row r="57" spans="1:68" ht="12" customHeight="1">
      <c r="A57" s="90"/>
      <c r="B57" s="190" t="s">
        <v>1368</v>
      </c>
      <c r="C57" s="191" t="s">
        <v>383</v>
      </c>
      <c r="D57" s="524">
        <f>D28+D54</f>
        <v>175</v>
      </c>
      <c r="E57" s="524">
        <f>IFERROR((SUM(Projectinformatie!C36:C40)*D53*D57+Projectinformatie!C44*F53*F57+Projectinformatie!C41*G53*G57+Projectinformatie!C42*H53*H57+(Projectinformatie!C43+Projectinformatie!C45)*I53*I57)/E25,Projectinformatie!$C$84+D54)</f>
        <v>175</v>
      </c>
      <c r="F57" s="524">
        <f t="shared" ref="F57:L57" si="83">F28+F54</f>
        <v>175</v>
      </c>
      <c r="G57" s="524">
        <f t="shared" si="83"/>
        <v>180</v>
      </c>
      <c r="H57" s="524">
        <f t="shared" si="83"/>
        <v>170</v>
      </c>
      <c r="I57" s="529">
        <f t="shared" si="83"/>
        <v>175</v>
      </c>
      <c r="J57" s="529">
        <f>J28+J54</f>
        <v>150</v>
      </c>
      <c r="K57" s="529">
        <f t="shared" si="83"/>
        <v>150</v>
      </c>
      <c r="L57" s="529">
        <f t="shared" si="83"/>
        <v>150</v>
      </c>
      <c r="M57" s="529">
        <f>IF((Projectinformatie!C46*J53*J57+Projectinformatie!C47*K53*K57+Projectinformatie!C48*L53*L57)/M25=0,Projectinformatie!$C$90+J54,(Projectinformatie!C46*J53*J57+Projectinformatie!C47*K53*K57+Projectinformatie!C48*L53*L57)/M25)</f>
        <v>150</v>
      </c>
      <c r="N57" s="244"/>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175"/>
      <c r="AQ57" s="191" t="s">
        <v>330</v>
      </c>
      <c r="AR57" s="191" t="s">
        <v>318</v>
      </c>
      <c r="AS57" s="195">
        <f>AC12*$AN12/$AM12</f>
        <v>8.7501599899636471</v>
      </c>
      <c r="AT57" s="195">
        <f t="shared" ref="AS57:AX60" si="84">AD12*$AN12/$AM12</f>
        <v>0</v>
      </c>
      <c r="AU57" s="195">
        <f t="shared" si="84"/>
        <v>11.136567259953729</v>
      </c>
      <c r="AV57" s="195">
        <f t="shared" si="84"/>
        <v>11.136567259953729</v>
      </c>
      <c r="AW57" s="195">
        <f t="shared" si="84"/>
        <v>11.932036349950426</v>
      </c>
      <c r="AX57" s="195">
        <f t="shared" si="84"/>
        <v>14.517310892439683</v>
      </c>
      <c r="AY57" s="195">
        <f t="shared" ref="AY57:BB57" si="85">AI12*$AN12/$AM12</f>
        <v>8.7501599899636471</v>
      </c>
      <c r="AZ57" s="195">
        <f t="shared" si="85"/>
        <v>11.136567259953729</v>
      </c>
      <c r="BA57" s="195">
        <f t="shared" si="85"/>
        <v>11.136567259953729</v>
      </c>
      <c r="BB57" s="195">
        <f t="shared" si="85"/>
        <v>0</v>
      </c>
      <c r="BC57" s="212">
        <f t="shared" si="71"/>
        <v>7.4271711710224784</v>
      </c>
      <c r="BD57" s="176"/>
      <c r="BE57" s="90"/>
      <c r="BF57" s="90"/>
      <c r="BG57" s="90"/>
      <c r="BH57" s="90"/>
      <c r="BI57" s="90"/>
      <c r="BJ57" s="90"/>
      <c r="BK57" s="90"/>
      <c r="BL57" s="90"/>
      <c r="BM57" s="90"/>
      <c r="BN57" s="90"/>
      <c r="BO57" s="90"/>
      <c r="BP57" s="90"/>
    </row>
    <row r="58" spans="1:68" ht="12" customHeight="1">
      <c r="A58" s="90"/>
      <c r="B58" s="190" t="s">
        <v>386</v>
      </c>
      <c r="C58" s="191" t="s">
        <v>383</v>
      </c>
      <c r="D58" s="524" cm="1">
        <f t="array" ref="D58">IF(Projectinformatie!C69="Nee",Projectinformatie!C103,Projectinformatie!C103+(((TREND(DB_Overig!C20:F20,DB_Overig!C19:F19,DB_Overig!D19)-TREND(DB_Overig!C20:F20,DB_Overig!C19:F19,DB_Overig!C19))/DB_Overig!D19)*D53))</f>
        <v>110</v>
      </c>
      <c r="E58" s="524">
        <f>IF(Projectinformatie!C69="Nee",(SUM(Projectinformatie!C36:C40)*D58+Projectinformatie!C44*F58+Projectinformatie!C41*G58+Projectinformatie!C42*H58+(Projectinformatie!C43+Projectinformatie!C45)*I58)/SUM(D25:I25),E56)</f>
        <v>109.99943263494133</v>
      </c>
      <c r="F58" s="524" cm="1">
        <f t="array" ref="F58">IF(Projectinformatie!C69="Nee",Projectinformatie!C103,Projectinformatie!C103+(((TREND(DB_Overig!C20:F20,DB_Overig!C19:F19,DB_Overig!D19)-TREND(DB_Overig!C20:F20,DB_Overig!C19:F19,DB_Overig!C19))/DB_Overig!D19)*F53))</f>
        <v>110</v>
      </c>
      <c r="G58" s="524" cm="1">
        <f t="array" ref="G58">IF(Projectinformatie!C69="Nee",Projectinformatie!C103,Projectinformatie!C103+(((TREND(DB_Overig!C20:F20,DB_Overig!C19:F19,DB_Overig!D19)-TREND(DB_Overig!C20:F20,DB_Overig!C19:F19,DB_Overig!C19))/DB_Overig!D19)*G53))</f>
        <v>110</v>
      </c>
      <c r="H58" s="524" cm="1">
        <f t="array" ref="H58">IF(Projectinformatie!C69="Nee",Projectinformatie!C103,Projectinformatie!C103+(((TREND(DB_Overig!C20:F20,DB_Overig!C19:F19,DB_Overig!D19)-TREND(DB_Overig!C20:F20,DB_Overig!C19:F19,DB_Overig!C19))/DB_Overig!D19)*H53))</f>
        <v>110</v>
      </c>
      <c r="I58" s="529" cm="1">
        <f t="array" ref="I58">IF(Projectinformatie!C69="Nee",Projectinformatie!C103,Projectinformatie!C103+(((TREND(DB_Overig!C20:F20,DB_Overig!C19:F19,DB_Overig!D19)-TREND(DB_Overig!C20:F20,DB_Overig!C19:F19,DB_Overig!C19))/DB_Overig!D19)*I53))</f>
        <v>110</v>
      </c>
      <c r="J58" s="529" cm="1">
        <f t="array" ref="J58">IF(Projectinformatie!C69="Nee",Projectinformatie!C104,Projectinformatie!C104+(((TREND(DB_Overig!C20:F20,DB_Overig!C19:F19,DB_Overig!D19)-TREND(DB_Overig!C20:F20,DB_Overig!C19:F19,DB_Overig!C19))/DB_Overig!D19)*J53))</f>
        <v>105</v>
      </c>
      <c r="K58" s="529" cm="1">
        <f t="array" ref="K58">IF(Projectinformatie!C69="Nee",Projectinformatie!C104,Projectinformatie!C104+(((TREND(DB_Overig!C20:F20,DB_Overig!C19:F19,DB_Overig!D19)-TREND(DB_Overig!C20:F20,DB_Overig!C19:F19,DB_Overig!C19))/DB_Overig!D19)*K53))</f>
        <v>105</v>
      </c>
      <c r="L58" s="529" cm="1">
        <f t="array" ref="L58">IF(Projectinformatie!C69="Nee",Projectinformatie!C104,Projectinformatie!C104+(((TREND(DB_Overig!C20:F20,DB_Overig!C19:F19,DB_Overig!D19)-TREND(DB_Overig!C20:F20,DB_Overig!C19:F19,DB_Overig!C19))/DB_Overig!D19)*L53))</f>
        <v>105</v>
      </c>
      <c r="M58" s="529">
        <f>IF(Projectinformatie!C69="Nee",(Projectinformatie!C46*J58+Projectinformatie!C47*K58+Projectinformatie!C48*L58)/SUM(J25:M25),M56)</f>
        <v>0</v>
      </c>
      <c r="N58" s="248">
        <f>SUMPRODUCT(D25:I25,D58:I58)/N25</f>
        <v>109.99753701862429</v>
      </c>
      <c r="O58" s="90"/>
      <c r="P58" s="90"/>
      <c r="Q58" s="90"/>
      <c r="R58" s="90"/>
      <c r="S58" s="90"/>
      <c r="T58" s="90"/>
      <c r="U58" s="90"/>
      <c r="V58" s="90"/>
      <c r="W58" s="90"/>
      <c r="X58" s="252"/>
      <c r="Y58" s="90"/>
      <c r="Z58" s="90"/>
      <c r="AA58" s="90"/>
      <c r="AB58" s="90"/>
      <c r="AC58" s="90"/>
      <c r="AD58" s="90"/>
      <c r="AE58" s="90"/>
      <c r="AF58" s="90"/>
      <c r="AG58" s="90"/>
      <c r="AH58" s="90"/>
      <c r="AI58" s="90"/>
      <c r="AJ58" s="90"/>
      <c r="AK58" s="90"/>
      <c r="AL58" s="90"/>
      <c r="AM58" s="90"/>
      <c r="AN58" s="90"/>
      <c r="AO58" s="90"/>
      <c r="AP58" s="175"/>
      <c r="AQ58" s="191" t="s">
        <v>331</v>
      </c>
      <c r="AR58" s="191" t="s">
        <v>318</v>
      </c>
      <c r="AS58" s="195">
        <f>AC13*$AN13/$AM13</f>
        <v>17.218592752564671</v>
      </c>
      <c r="AT58" s="195">
        <f t="shared" si="84"/>
        <v>17.218592752564671</v>
      </c>
      <c r="AU58" s="195">
        <f t="shared" si="84"/>
        <v>17.218592752564671</v>
      </c>
      <c r="AV58" s="195">
        <f t="shared" si="84"/>
        <v>17.218592752564671</v>
      </c>
      <c r="AW58" s="195">
        <f t="shared" si="84"/>
        <v>17.218592752564671</v>
      </c>
      <c r="AX58" s="195">
        <f t="shared" si="84"/>
        <v>17.218592752564671</v>
      </c>
      <c r="AY58" s="195">
        <f t="shared" ref="AY58:BB58" si="86">AI13*$AN13/$AM13</f>
        <v>17.218592752564671</v>
      </c>
      <c r="AZ58" s="195">
        <f t="shared" si="86"/>
        <v>17.218592752564671</v>
      </c>
      <c r="BA58" s="195">
        <f t="shared" si="86"/>
        <v>17.218592752564671</v>
      </c>
      <c r="BB58" s="195">
        <f t="shared" si="86"/>
        <v>17.218592752564671</v>
      </c>
      <c r="BC58" s="212">
        <f t="shared" si="71"/>
        <v>17.218592752564678</v>
      </c>
      <c r="BD58" s="259"/>
      <c r="BE58" s="90"/>
      <c r="BF58" s="247"/>
      <c r="BG58" s="247"/>
      <c r="BH58" s="247"/>
      <c r="BI58" s="90"/>
      <c r="BJ58" s="90"/>
      <c r="BK58" s="90"/>
      <c r="BL58" s="90"/>
      <c r="BM58" s="90"/>
      <c r="BN58" s="90"/>
      <c r="BO58" s="90"/>
      <c r="BP58" s="90"/>
    </row>
    <row r="59" spans="1:68" ht="12" customHeight="1">
      <c r="A59" s="90"/>
      <c r="B59" s="237"/>
      <c r="C59" s="191"/>
      <c r="D59" s="191"/>
      <c r="E59" s="191"/>
      <c r="F59" s="191"/>
      <c r="G59" s="191"/>
      <c r="H59" s="191"/>
      <c r="I59" s="238"/>
      <c r="J59" s="238"/>
      <c r="K59" s="238"/>
      <c r="L59" s="238"/>
      <c r="M59" s="238"/>
      <c r="N59" s="244"/>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175"/>
      <c r="AQ59" s="191" t="s">
        <v>332</v>
      </c>
      <c r="AR59" s="191" t="s">
        <v>318</v>
      </c>
      <c r="AS59" s="195">
        <f t="shared" si="84"/>
        <v>9.1832494680344894</v>
      </c>
      <c r="AT59" s="195">
        <f t="shared" si="84"/>
        <v>9.1832494680344894</v>
      </c>
      <c r="AU59" s="195">
        <f t="shared" si="84"/>
        <v>9.1832494680344894</v>
      </c>
      <c r="AV59" s="195">
        <f t="shared" si="84"/>
        <v>9.1832494680344894</v>
      </c>
      <c r="AW59" s="195">
        <f t="shared" si="84"/>
        <v>9.1832494680344894</v>
      </c>
      <c r="AX59" s="195">
        <f t="shared" si="84"/>
        <v>9.1832494680344894</v>
      </c>
      <c r="AY59" s="195">
        <f t="shared" ref="AY59:BB59" si="87">AI14*$AN14/$AM14</f>
        <v>9.1832494680344894</v>
      </c>
      <c r="AZ59" s="195">
        <f t="shared" si="87"/>
        <v>9.1832494680344894</v>
      </c>
      <c r="BA59" s="195">
        <f t="shared" si="87"/>
        <v>9.1832494680344894</v>
      </c>
      <c r="BB59" s="195">
        <f t="shared" si="87"/>
        <v>9.1832494680344894</v>
      </c>
      <c r="BC59" s="212">
        <f t="shared" si="71"/>
        <v>9.1832494680344876</v>
      </c>
      <c r="BD59" s="176"/>
      <c r="BE59" s="90"/>
      <c r="BF59" s="90"/>
      <c r="BG59" s="90"/>
      <c r="BH59" s="90"/>
      <c r="BI59" s="90"/>
      <c r="BJ59" s="90"/>
      <c r="BK59" s="90"/>
      <c r="BL59" s="90"/>
      <c r="BM59" s="90"/>
      <c r="BN59" s="90"/>
      <c r="BO59" s="90"/>
      <c r="BP59" s="90"/>
    </row>
    <row r="60" spans="1:68" ht="12" customHeight="1">
      <c r="A60" s="90"/>
      <c r="B60" s="190" t="s">
        <v>387</v>
      </c>
      <c r="C60" s="191" t="s">
        <v>383</v>
      </c>
      <c r="D60" s="257"/>
      <c r="E60" s="191"/>
      <c r="F60" s="191"/>
      <c r="G60" s="191"/>
      <c r="H60" s="191"/>
      <c r="I60" s="238"/>
      <c r="J60" s="238"/>
      <c r="K60" s="238"/>
      <c r="L60" s="238"/>
      <c r="M60" s="238"/>
      <c r="N60" s="244">
        <v>9.9</v>
      </c>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175"/>
      <c r="AQ60" s="191" t="s">
        <v>333</v>
      </c>
      <c r="AR60" s="191" t="s">
        <v>318</v>
      </c>
      <c r="AS60" s="195">
        <f t="shared" si="84"/>
        <v>12.033214928407743</v>
      </c>
      <c r="AT60" s="195">
        <f t="shared" si="84"/>
        <v>12.033214928407743</v>
      </c>
      <c r="AU60" s="195">
        <f t="shared" si="84"/>
        <v>12.033214928407743</v>
      </c>
      <c r="AV60" s="195">
        <f t="shared" si="84"/>
        <v>12.033214928407743</v>
      </c>
      <c r="AW60" s="195">
        <f t="shared" si="84"/>
        <v>12.033214928407743</v>
      </c>
      <c r="AX60" s="195">
        <f t="shared" si="84"/>
        <v>12.033214928407743</v>
      </c>
      <c r="AY60" s="195">
        <f t="shared" ref="AY60:BB60" si="88">AI15*$AN15/$AM15</f>
        <v>12.033214928407743</v>
      </c>
      <c r="AZ60" s="195">
        <f t="shared" si="88"/>
        <v>12.033214928407743</v>
      </c>
      <c r="BA60" s="195">
        <f t="shared" si="88"/>
        <v>12.033214928407743</v>
      </c>
      <c r="BB60" s="195">
        <f t="shared" si="88"/>
        <v>12.033214928407743</v>
      </c>
      <c r="BC60" s="212">
        <f t="shared" si="71"/>
        <v>12.033214928407746</v>
      </c>
      <c r="BD60" s="176"/>
      <c r="BE60" s="90"/>
      <c r="BF60" s="90"/>
      <c r="BG60" s="90"/>
      <c r="BH60" s="90"/>
      <c r="BI60" s="90"/>
      <c r="BJ60" s="90"/>
      <c r="BK60" s="90"/>
      <c r="BL60" s="90"/>
      <c r="BM60" s="90"/>
      <c r="BN60" s="90"/>
      <c r="BO60" s="90"/>
      <c r="BP60" s="90"/>
    </row>
    <row r="61" spans="1:68" ht="12" customHeight="1">
      <c r="A61" s="90"/>
      <c r="B61" s="190"/>
      <c r="C61" s="191"/>
      <c r="D61" s="192"/>
      <c r="E61" s="191"/>
      <c r="F61" s="191"/>
      <c r="G61" s="191"/>
      <c r="H61" s="191"/>
      <c r="I61" s="238"/>
      <c r="J61" s="238"/>
      <c r="K61" s="238"/>
      <c r="L61" s="238"/>
      <c r="M61" s="238"/>
      <c r="N61" s="244"/>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175"/>
      <c r="AQ61" s="191" t="s">
        <v>334</v>
      </c>
      <c r="AR61" s="191" t="s">
        <v>318</v>
      </c>
      <c r="AS61" s="195">
        <v>0</v>
      </c>
      <c r="AT61" s="195">
        <f>IFERROR(AN16*N25/E25,0)</f>
        <v>0</v>
      </c>
      <c r="AU61" s="195">
        <v>0</v>
      </c>
      <c r="AV61" s="195">
        <v>0</v>
      </c>
      <c r="AW61" s="195">
        <v>0</v>
      </c>
      <c r="AX61" s="195">
        <v>0</v>
      </c>
      <c r="AY61" s="195">
        <v>0</v>
      </c>
      <c r="AZ61" s="195">
        <v>0</v>
      </c>
      <c r="BA61" s="195">
        <v>0</v>
      </c>
      <c r="BB61" s="195">
        <v>0</v>
      </c>
      <c r="BC61" s="212">
        <f t="shared" si="71"/>
        <v>0</v>
      </c>
      <c r="BD61" s="176"/>
      <c r="BE61" s="90"/>
      <c r="BF61" s="90"/>
      <c r="BG61" s="90"/>
      <c r="BH61" s="90"/>
      <c r="BI61" s="90"/>
      <c r="BJ61" s="90"/>
      <c r="BK61" s="90"/>
      <c r="BL61" s="90"/>
      <c r="BM61" s="90"/>
      <c r="BN61" s="90"/>
      <c r="BO61" s="90"/>
      <c r="BP61" s="90"/>
    </row>
    <row r="62" spans="1:68" ht="12" customHeight="1">
      <c r="A62" s="90"/>
      <c r="B62" s="237" t="s">
        <v>388</v>
      </c>
      <c r="C62" s="191"/>
      <c r="D62" s="191"/>
      <c r="E62" s="191"/>
      <c r="F62" s="191"/>
      <c r="G62" s="191"/>
      <c r="H62" s="191"/>
      <c r="I62" s="238"/>
      <c r="J62" s="238"/>
      <c r="K62" s="238"/>
      <c r="L62" s="238"/>
      <c r="M62" s="238"/>
      <c r="N62" s="244"/>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175"/>
      <c r="AQ62" s="211" t="s">
        <v>335</v>
      </c>
      <c r="AR62" s="211" t="str">
        <f>AB17</f>
        <v>MJ / ton asfalt</v>
      </c>
      <c r="AS62" s="212">
        <f>(AS49-AS60-IF(Projectinformatie!$C$109="Elektriciteit",AS57,0))/Energiedragers!$D$3</f>
        <v>307.91948609660369</v>
      </c>
      <c r="AT62" s="212">
        <f>(AT49-AT60-IF(Projectinformatie!$C$109="Elektriciteit",AT57,0))/Energiedragers!$D$3</f>
        <v>340.66069749592862</v>
      </c>
      <c r="AU62" s="212">
        <f>(AU49-AU60-IF(Projectinformatie!$C$109="Elektriciteit",AU57,0))/Energiedragers!$D$3</f>
        <v>304.08169253261582</v>
      </c>
      <c r="AV62" s="212">
        <f>(AV49-AV60-IF(Projectinformatie!$C$109="Elektriciteit",AV57,0))/Energiedragers!$D$3</f>
        <v>305.17231430169142</v>
      </c>
      <c r="AW62" s="212">
        <f>(AW49-AW60-IF(Projectinformatie!$C$109="Elektriciteit",AW57,0))/Energiedragers!$D$3</f>
        <v>289.12089160229806</v>
      </c>
      <c r="AX62" s="212">
        <f>(AX49-AX60-IF(Projectinformatie!$C$109="Elektriciteit",AX57,0))/Energiedragers!$D$3</f>
        <v>317.12266975751572</v>
      </c>
      <c r="AY62" s="212">
        <f>(AY49-AY60-IF(Projectinformatie!$C$109="Elektriciteit",AY57,0))/Energiedragers!$D$3</f>
        <v>281.52760953937315</v>
      </c>
      <c r="AZ62" s="212">
        <f>(AZ49-AZ60-IF(Projectinformatie!$C$109="Elektriciteit",AZ57,0))/Energiedragers!$D$3</f>
        <v>277.94055046166613</v>
      </c>
      <c r="BA62" s="212">
        <f>(BA49-BA60-IF(Projectinformatie!$C$109="Elektriciteit",BA57,0))/Energiedragers!$D$3</f>
        <v>274.23564622818026</v>
      </c>
      <c r="BB62" s="212">
        <f>(BB49-BB60-IF(Projectinformatie!$C$109="Elektriciteit",BB57,0))/Energiedragers!$D$3</f>
        <v>264.6482432795525</v>
      </c>
      <c r="BC62" s="212">
        <f>SUMPRODUCT(AS62:AX62,D$25:I$25)/N$25</f>
        <v>318.80325293566926</v>
      </c>
      <c r="BD62" s="176"/>
      <c r="BE62" s="90"/>
      <c r="BF62" s="90"/>
      <c r="BG62" s="90"/>
      <c r="BH62" s="90"/>
      <c r="BI62" s="90"/>
      <c r="BJ62" s="90"/>
      <c r="BK62" s="90"/>
      <c r="BL62" s="90"/>
      <c r="BM62" s="90"/>
      <c r="BN62" s="90"/>
      <c r="BO62" s="90"/>
      <c r="BP62" s="90"/>
    </row>
    <row r="63" spans="1:68" ht="12" customHeight="1">
      <c r="A63" s="90"/>
      <c r="B63" s="190" t="s">
        <v>389</v>
      </c>
      <c r="C63" s="191" t="s">
        <v>241</v>
      </c>
      <c r="D63" s="257" cm="1">
        <f t="array" ref="D63">IFERROR(Projectinformatie!C107+Projectinformatie!C78*((TREND(DB_Overig!C21:F21,DB_Overig!C19:F19,DB_Overig!D19)-TREND(DB_Overig!C21:F21,DB_Overig!C19:F19,DB_Overig!C19))/DB_Overig!D19),Projectinformatie!$C$107)</f>
        <v>0.16452372850976002</v>
      </c>
      <c r="E63" s="257" cm="1">
        <f t="array" ref="E63">IFERROR(Projectinformatie!C107+Projectinformatie!C78*((TREND(DB_Overig!C21:F21,DB_Overig!C19:F19,DB_Overig!D19)-TREND(DB_Overig!C21:F21,DB_Overig!C19:F19,DB_Overig!C19))/DB_Overig!D19),Projectinformatie!$C$107)</f>
        <v>0.16452372850976002</v>
      </c>
      <c r="F63" s="257" cm="1">
        <f t="array" ref="F63">IFERROR(Projectinformatie!C107+Projectinformatie!C78*((TREND(DB_Overig!C21:F21,DB_Overig!C19:F19,DB_Overig!D19)-TREND(DB_Overig!C21:F21,DB_Overig!C19:F19,DB_Overig!C19))/DB_Overig!D19),Projectinformatie!$C$107)</f>
        <v>0.16452372850976002</v>
      </c>
      <c r="G63" s="257" cm="1">
        <f t="array" ref="G63">IFERROR(Projectinformatie!C107+Projectinformatie!C78*((TREND(DB_Overig!C21:F21,DB_Overig!C19:F19,DB_Overig!D19)-TREND(DB_Overig!C21:F21,DB_Overig!C19:F19,DB_Overig!C19))/DB_Overig!D19),Projectinformatie!$C$107)</f>
        <v>0.16452372850976002</v>
      </c>
      <c r="H63" s="257" cm="1">
        <f t="array" ref="H63">IFERROR(Projectinformatie!C107+Projectinformatie!C78*((TREND(DB_Overig!C21:F21,DB_Overig!C19:F19,DB_Overig!D19)-TREND(DB_Overig!C21:F21,DB_Overig!C19:F19,DB_Overig!C19))/DB_Overig!D19),Projectinformatie!$C$107)</f>
        <v>0.16452372850976002</v>
      </c>
      <c r="I63" s="258" cm="1">
        <f t="array" ref="I63">IFERROR(Projectinformatie!C107+Projectinformatie!C78*((TREND(DB_Overig!C21:F21,DB_Overig!C19:F19,DB_Overig!D19)-TREND(DB_Overig!C21:F21,DB_Overig!C19:F19,DB_Overig!C19))/DB_Overig!D19),Projectinformatie!$C$107)</f>
        <v>0.16452372850976002</v>
      </c>
      <c r="J63" s="258" cm="1">
        <f t="array" ref="J63">IFERROR(Projectinformatie!C107+Projectinformatie!C78*((TREND(DB_Overig!C21:F21,DB_Overig!C19:F19,DB_Overig!D19)-TREND(DB_Overig!C21:F21,DB_Overig!C19:F19,DB_Overig!C19))/DB_Overig!D19),Projectinformatie!$C$107)</f>
        <v>0.16452372850976002</v>
      </c>
      <c r="K63" s="258" cm="1">
        <f t="array" ref="K63">IFERROR(Projectinformatie!C107+Projectinformatie!C78*((TREND(DB_Overig!C21:F21,DB_Overig!C19:F19,DB_Overig!D19)-TREND(DB_Overig!C21:F21,DB_Overig!C19:F19,DB_Overig!C19))/DB_Overig!D19),Projectinformatie!$C$107)</f>
        <v>0.16452372850976002</v>
      </c>
      <c r="L63" s="258" cm="1">
        <f t="array" ref="L63">IFERROR(Projectinformatie!C107+Projectinformatie!C78*((TREND(DB_Overig!C21:F21,DB_Overig!C19:F19,DB_Overig!D19)-TREND(DB_Overig!C21:F21,DB_Overig!C19:F19,DB_Overig!C19))/DB_Overig!D19),Projectinformatie!$C$107)</f>
        <v>0.16452372850976002</v>
      </c>
      <c r="M63" s="258" cm="1">
        <f t="array" ref="M63">IFERROR(Projectinformatie!C107+Projectinformatie!C78*((TREND(DB_Overig!C21:F21,DB_Overig!C19:F19,DB_Overig!D19)-TREND(DB_Overig!C21:F21,DB_Overig!C19:F19,DB_Overig!C19))/DB_Overig!D19),Projectinformatie!$C$107)</f>
        <v>0.16452372850976002</v>
      </c>
      <c r="N63" s="260">
        <f>SUMPRODUCT(D63:I63,D25:I25)/N25</f>
        <v>0.16452033421561185</v>
      </c>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175"/>
      <c r="AQ63" s="211" t="s">
        <v>337</v>
      </c>
      <c r="AR63" s="211" t="str">
        <f>AB18</f>
        <v>kWh_e / ton asfalt</v>
      </c>
      <c r="AS63" s="212">
        <f>(AS60/Energiedragers!$D$17)+IF(Projectinformatie!$C$109="Elektriciteit",(AS57/Energiedragers!$D$17),0)</f>
        <v>5.773159699547608</v>
      </c>
      <c r="AT63" s="212">
        <f>(AT60/Energiedragers!$D$17)+IF(Projectinformatie!$C$109="Elektriciteit",(AT57/Energiedragers!$D$17),0)</f>
        <v>3.3425597023354841</v>
      </c>
      <c r="AU63" s="212">
        <f>(AU60/Energiedragers!$D$17)+IF(Projectinformatie!$C$109="Elektriciteit",(AU57/Energiedragers!$D$17),0)</f>
        <v>6.4360506078781867</v>
      </c>
      <c r="AV63" s="212">
        <f>(AV60/Energiedragers!$D$17)+IF(Projectinformatie!$C$109="Elektriciteit",(AV57/Energiedragers!$D$17),0)</f>
        <v>6.4360506078781867</v>
      </c>
      <c r="AW63" s="212">
        <f>(AW60/Energiedragers!$D$17)+IF(Projectinformatie!$C$109="Elektriciteit",(AW57/Energiedragers!$D$17),0)</f>
        <v>6.6570142439883799</v>
      </c>
      <c r="AX63" s="212">
        <f>(AX60/Energiedragers!$D$17)+IF(Projectinformatie!$C$109="Elektriciteit",(AX57/Energiedragers!$D$17),0)</f>
        <v>7.3751460613465074</v>
      </c>
      <c r="AY63" s="212">
        <f>(AY60/Energiedragers!$D$17)+IF(Projectinformatie!$C$109="Elektriciteit",(AY57/Energiedragers!$D$17),0)</f>
        <v>5.773159699547608</v>
      </c>
      <c r="AZ63" s="212">
        <f>(AZ60/Energiedragers!$D$17)+IF(Projectinformatie!$C$109="Elektriciteit",(AZ57/Energiedragers!$D$17),0)</f>
        <v>6.4360506078781867</v>
      </c>
      <c r="BA63" s="212">
        <f>(BA60/Energiedragers!$D$17)+IF(Projectinformatie!$C$109="Elektriciteit",(BA57/Energiedragers!$D$17),0)</f>
        <v>6.4360506078781867</v>
      </c>
      <c r="BB63" s="212">
        <f>(BB60/Energiedragers!$D$17)+IF(Projectinformatie!$C$109="Elektriciteit",(BB57/Energiedragers!$D$17),0)</f>
        <v>3.3425597023354841</v>
      </c>
      <c r="BC63" s="212">
        <f>SUMPRODUCT(AS63:AX63,D$25:I$25)/N$25</f>
        <v>5.4055493975449194</v>
      </c>
      <c r="BD63" s="176"/>
      <c r="BE63" s="90"/>
      <c r="BF63" s="90"/>
      <c r="BG63" s="90"/>
      <c r="BH63" s="90"/>
      <c r="BI63" s="90"/>
      <c r="BJ63" s="90"/>
      <c r="BK63" s="90"/>
      <c r="BL63" s="90"/>
      <c r="BM63" s="90"/>
      <c r="BN63" s="90"/>
      <c r="BO63" s="90"/>
      <c r="BP63" s="90"/>
    </row>
    <row r="64" spans="1:68" ht="12" customHeight="1">
      <c r="A64" s="90"/>
      <c r="B64" s="190" t="s">
        <v>390</v>
      </c>
      <c r="C64" s="191" t="str">
        <f>IF(Projectinformatie!C68="Aardgas","m3 lucht / m3 aardgas","m3 lucht / kg brandstof")</f>
        <v>m3 lucht / m3 aardgas</v>
      </c>
      <c r="D64" s="261">
        <f>IF(ISERROR(VLOOKUP(Projectinformatie!C68,Brandstoftabel,3,FALSE)),DB_Overig!D180,VLOOKUP(Projectinformatie!C68,Brandstoftabel,3,FALSE))</f>
        <v>10.608666117659912</v>
      </c>
      <c r="E64" s="261">
        <f>IF(ISERROR(VLOOKUP(Projectinformatie!C68,Brandstoftabel,3,FALSE)),DB_Overig!D180,VLOOKUP(Projectinformatie!C68,Brandstoftabel,3,FALSE))</f>
        <v>10.608666117659912</v>
      </c>
      <c r="F64" s="261">
        <f>IF(ISERROR(VLOOKUP(Projectinformatie!C68,Brandstoftabel,3,FALSE)),DB_Overig!D180,VLOOKUP(Projectinformatie!C68,Brandstoftabel,3,FALSE))</f>
        <v>10.608666117659912</v>
      </c>
      <c r="G64" s="261">
        <f>IF(ISERROR(VLOOKUP(Projectinformatie!C68,Brandstoftabel,3,FALSE)),DB_Overig!D180,VLOOKUP(Projectinformatie!C68,Brandstoftabel,3,FALSE))</f>
        <v>10.608666117659912</v>
      </c>
      <c r="H64" s="261">
        <f>IF(ISERROR(VLOOKUP(Projectinformatie!C68,Brandstoftabel,3,FALSE)),DB_Overig!D180,VLOOKUP(Projectinformatie!C68,Brandstoftabel,3,FALSE))</f>
        <v>10.608666117659912</v>
      </c>
      <c r="I64" s="262">
        <f>IF(ISERROR(VLOOKUP(Projectinformatie!C68,Brandstoftabel,3,FALSE)),DB_Overig!D180,VLOOKUP(Projectinformatie!C68,Brandstoftabel,3,FALSE))</f>
        <v>10.608666117659912</v>
      </c>
      <c r="J64" s="262">
        <f>IF(ISERROR(VLOOKUP(Projectinformatie!D68,Brandstoftabel,3,FALSE)),DB_Overig!E180,VLOOKUP(Projectinformatie!D68,Brandstoftabel,3,FALSE))</f>
        <v>42.7</v>
      </c>
      <c r="K64" s="262">
        <f>IF(ISERROR(VLOOKUP(Projectinformatie!E68,Brandstoftabel,3,FALSE)),DB_Overig!F180,VLOOKUP(Projectinformatie!E68,Brandstoftabel,3,FALSE))</f>
        <v>0.48599999999999999</v>
      </c>
      <c r="L64" s="262">
        <f>IF(ISERROR(VLOOKUP(Projectinformatie!F68,Brandstoftabel,3,FALSE)),DB_Overig!G180,VLOOKUP(Projectinformatie!F68,Brandstoftabel,3,FALSE))</f>
        <v>0</v>
      </c>
      <c r="M64" s="262">
        <f>IF(ISERROR(VLOOKUP(Projectinformatie!G68,Brandstoftabel,3,FALSE)),DB_Overig!H180,VLOOKUP(Projectinformatie!G68,Brandstoftabel,3,FALSE))</f>
        <v>0</v>
      </c>
      <c r="N64" s="263">
        <f>SUMPRODUCT(D64:I64,D25:I25)/N25</f>
        <v>10.608447249940044</v>
      </c>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175"/>
      <c r="AQ64" s="211" t="s">
        <v>391</v>
      </c>
      <c r="AR64" s="211" t="s">
        <v>341</v>
      </c>
      <c r="AS64" s="216">
        <f t="shared" ref="AS64:BC64" si="89">AS62*D25</f>
        <v>8576536.7485884074</v>
      </c>
      <c r="AT64" s="216">
        <f t="shared" si="89"/>
        <v>22533672.733045846</v>
      </c>
      <c r="AU64" s="216">
        <f t="shared" si="89"/>
        <v>21372579.716836747</v>
      </c>
      <c r="AV64" s="216">
        <f t="shared" si="89"/>
        <v>1453169.5262417942</v>
      </c>
      <c r="AW64" s="216">
        <f t="shared" si="89"/>
        <v>289.12089160229806</v>
      </c>
      <c r="AX64" s="216">
        <f t="shared" si="89"/>
        <v>7874187.6023460906</v>
      </c>
      <c r="AY64" s="216">
        <f t="shared" si="89"/>
        <v>281.52760953937315</v>
      </c>
      <c r="AZ64" s="216">
        <f t="shared" si="89"/>
        <v>277.94055046166613</v>
      </c>
      <c r="BA64" s="216">
        <f t="shared" si="89"/>
        <v>274.23564622818026</v>
      </c>
      <c r="BB64" s="216">
        <f t="shared" si="89"/>
        <v>264.6482432795525</v>
      </c>
      <c r="BC64" s="264">
        <f t="shared" si="89"/>
        <v>61810435.44795049</v>
      </c>
      <c r="BD64" s="176"/>
      <c r="BE64" s="90"/>
      <c r="BF64" s="90"/>
      <c r="BG64" s="90"/>
      <c r="BH64" s="252"/>
      <c r="BI64" s="90"/>
      <c r="BJ64" s="90"/>
      <c r="BK64" s="90"/>
      <c r="BL64" s="90"/>
      <c r="BM64" s="90"/>
      <c r="BN64" s="90"/>
      <c r="BO64" s="90"/>
      <c r="BP64" s="90"/>
    </row>
    <row r="65" spans="1:68" ht="12" customHeight="1">
      <c r="A65" s="90"/>
      <c r="B65" s="190" t="s">
        <v>392</v>
      </c>
      <c r="C65" s="191" t="str">
        <f t="shared" ref="C65:C66" si="90">C64</f>
        <v>m3 lucht / m3 aardgas</v>
      </c>
      <c r="D65" s="261">
        <f t="shared" ref="D65:I65" si="91">(D63/$D$111)*D64/(1-D63/$D$111)-D64</f>
        <v>27.771290000052137</v>
      </c>
      <c r="E65" s="261">
        <f t="shared" si="91"/>
        <v>27.771290000052137</v>
      </c>
      <c r="F65" s="261">
        <f t="shared" si="91"/>
        <v>27.771290000052137</v>
      </c>
      <c r="G65" s="261">
        <f t="shared" si="91"/>
        <v>27.771290000052137</v>
      </c>
      <c r="H65" s="261">
        <f t="shared" si="91"/>
        <v>27.771290000052137</v>
      </c>
      <c r="I65" s="262">
        <f t="shared" si="91"/>
        <v>27.771290000052137</v>
      </c>
      <c r="J65" s="262">
        <f t="shared" ref="J65:M65" si="92">(J63/$D$111)*J64/(1-J63/$D$111)-J64</f>
        <v>111.77975344404568</v>
      </c>
      <c r="K65" s="262">
        <f t="shared" si="92"/>
        <v>1.2722473108619718</v>
      </c>
      <c r="L65" s="262">
        <f t="shared" si="92"/>
        <v>0</v>
      </c>
      <c r="M65" s="262">
        <f t="shared" si="92"/>
        <v>0</v>
      </c>
      <c r="N65" s="263">
        <f t="shared" ref="N65:N71" si="93">SUMPRODUCT(D65:I65,$D$25:$I$25)/$N$25</f>
        <v>27.770717049706381</v>
      </c>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175"/>
      <c r="AQ65" s="211" t="s">
        <v>393</v>
      </c>
      <c r="AR65" s="211" t="s">
        <v>343</v>
      </c>
      <c r="AS65" s="216">
        <f t="shared" ref="AS65:BC65" si="94">AS63*D25</f>
        <v>160800.85397098158</v>
      </c>
      <c r="AT65" s="216">
        <f t="shared" si="94"/>
        <v>221100.19434805837</v>
      </c>
      <c r="AU65" s="216">
        <f t="shared" si="94"/>
        <v>452362.00684366416</v>
      </c>
      <c r="AV65" s="216">
        <f t="shared" si="94"/>
        <v>30647.185784594352</v>
      </c>
      <c r="AW65" s="216">
        <f t="shared" si="94"/>
        <v>6.6570142439883799</v>
      </c>
      <c r="AX65" s="216">
        <f t="shared" si="94"/>
        <v>183125.6142178399</v>
      </c>
      <c r="AY65" s="216">
        <f t="shared" si="94"/>
        <v>5.773159699547608</v>
      </c>
      <c r="AZ65" s="216">
        <f t="shared" si="94"/>
        <v>6.4360506078781867</v>
      </c>
      <c r="BA65" s="216">
        <f t="shared" si="94"/>
        <v>6.4360506078781867</v>
      </c>
      <c r="BB65" s="216">
        <f t="shared" si="94"/>
        <v>3.3425597023354841</v>
      </c>
      <c r="BC65" s="264">
        <f t="shared" si="94"/>
        <v>1048042.5121793824</v>
      </c>
      <c r="BD65" s="176"/>
      <c r="BE65" s="90"/>
      <c r="BF65" s="90"/>
      <c r="BG65" s="90"/>
      <c r="BH65" s="90"/>
      <c r="BI65" s="90"/>
      <c r="BJ65" s="90"/>
      <c r="BK65" s="90"/>
      <c r="BL65" s="90"/>
      <c r="BM65" s="90"/>
      <c r="BN65" s="90"/>
      <c r="BO65" s="90"/>
      <c r="BP65" s="90"/>
    </row>
    <row r="66" spans="1:68" ht="9.75" customHeight="1">
      <c r="A66" s="90"/>
      <c r="B66" s="190" t="s">
        <v>394</v>
      </c>
      <c r="C66" s="191" t="str">
        <f t="shared" si="90"/>
        <v>m3 lucht / m3 aardgas</v>
      </c>
      <c r="D66" s="261">
        <f t="shared" ref="D66:I66" si="95">SUM(D64:D65)</f>
        <v>38.379956117712048</v>
      </c>
      <c r="E66" s="261">
        <f t="shared" si="95"/>
        <v>38.379956117712048</v>
      </c>
      <c r="F66" s="261">
        <f t="shared" si="95"/>
        <v>38.379956117712048</v>
      </c>
      <c r="G66" s="261">
        <f t="shared" si="95"/>
        <v>38.379956117712048</v>
      </c>
      <c r="H66" s="261">
        <f t="shared" si="95"/>
        <v>38.379956117712048</v>
      </c>
      <c r="I66" s="262">
        <f t="shared" si="95"/>
        <v>38.379956117712048</v>
      </c>
      <c r="J66" s="262">
        <f t="shared" ref="J66:M66" si="96">SUM(J64:J65)</f>
        <v>154.47975344404568</v>
      </c>
      <c r="K66" s="262">
        <f t="shared" si="96"/>
        <v>1.7582473108619718</v>
      </c>
      <c r="L66" s="262">
        <f t="shared" si="96"/>
        <v>0</v>
      </c>
      <c r="M66" s="262">
        <f t="shared" si="96"/>
        <v>0</v>
      </c>
      <c r="N66" s="263">
        <f t="shared" si="93"/>
        <v>38.379164299646433</v>
      </c>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175"/>
      <c r="AQ66" s="90"/>
      <c r="AR66" s="90"/>
      <c r="AS66" s="90"/>
      <c r="AT66" s="90"/>
      <c r="AU66" s="90"/>
      <c r="AV66" s="90"/>
      <c r="AW66" s="90"/>
      <c r="AX66" s="90"/>
      <c r="AY66" s="90"/>
      <c r="AZ66" s="90"/>
      <c r="BA66" s="90"/>
      <c r="BB66" s="90"/>
      <c r="BC66" s="90"/>
      <c r="BD66" s="176"/>
      <c r="BE66" s="90"/>
      <c r="BF66" s="90"/>
      <c r="BG66" s="90"/>
      <c r="BH66" s="90"/>
      <c r="BI66" s="90"/>
      <c r="BJ66" s="90"/>
      <c r="BK66" s="90"/>
      <c r="BL66" s="90"/>
      <c r="BM66" s="90"/>
      <c r="BN66" s="90"/>
      <c r="BO66" s="90"/>
      <c r="BP66" s="90"/>
    </row>
    <row r="67" spans="1:68" ht="9.75" customHeight="1">
      <c r="A67" s="90"/>
      <c r="B67" s="190" t="s">
        <v>395</v>
      </c>
      <c r="C67" s="191" t="str">
        <f>IF(Projectinformatie!C68="Aardgas","kg water / m3 aardgas","kg water / kg brandstof")</f>
        <v>kg water / m3 aardgas</v>
      </c>
      <c r="D67" s="261">
        <f t="shared" ref="D67:I67" si="97">D65*$D$101*$D$103</f>
        <v>0.24577591650046141</v>
      </c>
      <c r="E67" s="261">
        <f t="shared" si="97"/>
        <v>0.24577591650046141</v>
      </c>
      <c r="F67" s="261">
        <f t="shared" si="97"/>
        <v>0.24577591650046141</v>
      </c>
      <c r="G67" s="261">
        <f t="shared" si="97"/>
        <v>0.24577591650046141</v>
      </c>
      <c r="H67" s="261">
        <f t="shared" si="97"/>
        <v>0.24577591650046141</v>
      </c>
      <c r="I67" s="262">
        <f t="shared" si="97"/>
        <v>0.24577591650046141</v>
      </c>
      <c r="J67" s="262">
        <f t="shared" ref="J67:M67" si="98">J65*$D$101*$D$103</f>
        <v>0.98925081797980419</v>
      </c>
      <c r="K67" s="262">
        <f t="shared" si="98"/>
        <v>1.1259388701128449E-2</v>
      </c>
      <c r="L67" s="262">
        <f t="shared" si="98"/>
        <v>0</v>
      </c>
      <c r="M67" s="262">
        <f t="shared" si="98"/>
        <v>0</v>
      </c>
      <c r="N67" s="263">
        <f t="shared" si="93"/>
        <v>0.24577084588990147</v>
      </c>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175"/>
      <c r="AQ67" s="90"/>
      <c r="AR67" s="90"/>
      <c r="AS67" s="90"/>
      <c r="AT67" s="90"/>
      <c r="AU67" s="90"/>
      <c r="AV67" s="90"/>
      <c r="AW67" s="90"/>
      <c r="AX67" s="90"/>
      <c r="AY67" s="90"/>
      <c r="AZ67" s="90"/>
      <c r="BA67" s="90"/>
      <c r="BB67" s="90"/>
      <c r="BC67" s="90"/>
      <c r="BD67" s="176"/>
      <c r="BE67" s="90"/>
      <c r="BF67" s="90"/>
      <c r="BG67" s="90"/>
      <c r="BH67" s="90"/>
      <c r="BI67" s="90"/>
      <c r="BJ67" s="90"/>
      <c r="BK67" s="90"/>
      <c r="BL67" s="90"/>
      <c r="BM67" s="90"/>
      <c r="BN67" s="90"/>
      <c r="BO67" s="90"/>
      <c r="BP67" s="90"/>
    </row>
    <row r="68" spans="1:68" ht="9.75" customHeight="1">
      <c r="A68" s="90"/>
      <c r="B68" s="190" t="s">
        <v>396</v>
      </c>
      <c r="C68" s="191" t="str">
        <f>IF(Projectinformatie!C68="Aardgas","MJ / m3 aardgas","MJ / kg brandstof")</f>
        <v>MJ / m3 aardgas</v>
      </c>
      <c r="D68" s="265">
        <f t="shared" ref="D68:M68" si="99">D66*$D$98*(D58-$N$60)/1000</f>
        <v>4.9751745215609535</v>
      </c>
      <c r="E68" s="265">
        <f t="shared" si="99"/>
        <v>4.975146322358313</v>
      </c>
      <c r="F68" s="265">
        <f t="shared" si="99"/>
        <v>4.9751745215609535</v>
      </c>
      <c r="G68" s="265">
        <f t="shared" si="99"/>
        <v>4.9751745215609535</v>
      </c>
      <c r="H68" s="265">
        <f t="shared" si="99"/>
        <v>4.9751745215609535</v>
      </c>
      <c r="I68" s="266">
        <f t="shared" si="99"/>
        <v>4.9751745215609535</v>
      </c>
      <c r="J68" s="266">
        <f t="shared" si="99"/>
        <v>19.024876795524719</v>
      </c>
      <c r="K68" s="266">
        <f t="shared" si="99"/>
        <v>0.21653606844555068</v>
      </c>
      <c r="L68" s="266">
        <f t="shared" si="99"/>
        <v>0</v>
      </c>
      <c r="M68" s="266">
        <f t="shared" si="99"/>
        <v>0</v>
      </c>
      <c r="N68" s="263">
        <f t="shared" si="93"/>
        <v>4.975062257857795</v>
      </c>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175"/>
      <c r="AQ68" s="34" t="s">
        <v>397</v>
      </c>
      <c r="AR68" s="90"/>
      <c r="AS68" s="90"/>
      <c r="AT68" s="90"/>
      <c r="AU68" s="90"/>
      <c r="AV68" s="90"/>
      <c r="AW68" s="90"/>
      <c r="AX68" s="90"/>
      <c r="AY68" s="173"/>
      <c r="AZ68" s="173"/>
      <c r="BA68" s="173"/>
      <c r="BB68" s="173"/>
      <c r="BC68" s="173"/>
      <c r="BD68" s="176"/>
      <c r="BE68" s="90"/>
      <c r="BF68" s="90"/>
      <c r="BG68" s="90"/>
      <c r="BH68" s="90"/>
      <c r="BI68" s="90"/>
      <c r="BJ68" s="90"/>
      <c r="BK68" s="90"/>
      <c r="BL68" s="90"/>
      <c r="BM68" s="90"/>
      <c r="BN68" s="90"/>
      <c r="BO68" s="90"/>
      <c r="BP68" s="90"/>
    </row>
    <row r="69" spans="1:68" ht="11.25" customHeight="1">
      <c r="A69" s="90"/>
      <c r="B69" s="190" t="s">
        <v>398</v>
      </c>
      <c r="C69" s="191" t="str">
        <f>IF(Projectinformatie!C68="Aardgas","MJ / m3 aardgas","MJ / kg brandstof")</f>
        <v>MJ / m3 aardgas</v>
      </c>
      <c r="D69" s="265">
        <f t="shared" ref="D69:M69" si="100">(D67*(100-$N$60)*$D$96+($D$58-100)*$D$97)/1000</f>
        <v>0.11196363412057075</v>
      </c>
      <c r="E69" s="265">
        <f t="shared" si="100"/>
        <v>0.11196363412057075</v>
      </c>
      <c r="F69" s="265">
        <f t="shared" si="100"/>
        <v>0.11196363412057075</v>
      </c>
      <c r="G69" s="265">
        <f t="shared" si="100"/>
        <v>0.11196363412057075</v>
      </c>
      <c r="H69" s="265">
        <f t="shared" si="100"/>
        <v>0.11196363412057075</v>
      </c>
      <c r="I69" s="266">
        <f t="shared" si="100"/>
        <v>0.11196363412057075</v>
      </c>
      <c r="J69" s="266">
        <f t="shared" si="100"/>
        <v>0.39196966456591781</v>
      </c>
      <c r="K69" s="266">
        <f t="shared" si="100"/>
        <v>2.364048845384159E-2</v>
      </c>
      <c r="L69" s="266">
        <f t="shared" si="100"/>
        <v>1.9399999999999997E-2</v>
      </c>
      <c r="M69" s="266">
        <f t="shared" si="100"/>
        <v>1.9399999999999997E-2</v>
      </c>
      <c r="N69" s="263">
        <f t="shared" si="93"/>
        <v>0.11196132419536092</v>
      </c>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175"/>
      <c r="AQ69" s="189" t="s">
        <v>399</v>
      </c>
      <c r="AR69" s="191" t="s">
        <v>400</v>
      </c>
      <c r="AS69" s="191" t="s">
        <v>1459</v>
      </c>
      <c r="AT69" s="90"/>
      <c r="AU69" s="90"/>
      <c r="AV69" s="90"/>
      <c r="AW69" s="90"/>
      <c r="AX69" s="90"/>
      <c r="AY69" s="173"/>
      <c r="AZ69" s="173"/>
      <c r="BA69" s="173"/>
      <c r="BB69" s="173"/>
      <c r="BC69" s="173"/>
      <c r="BD69" s="176"/>
      <c r="BE69" s="90"/>
      <c r="BF69" s="90"/>
      <c r="BG69" s="90"/>
      <c r="BH69" s="90"/>
      <c r="BI69" s="90"/>
      <c r="BJ69" s="90"/>
      <c r="BK69" s="90"/>
      <c r="BL69" s="90"/>
      <c r="BM69" s="90"/>
      <c r="BN69" s="90"/>
      <c r="BO69" s="90"/>
      <c r="BP69" s="90"/>
    </row>
    <row r="70" spans="1:68" ht="11.25" customHeight="1">
      <c r="A70" s="90"/>
      <c r="B70" s="190" t="s">
        <v>402</v>
      </c>
      <c r="C70" s="191" t="s">
        <v>403</v>
      </c>
      <c r="D70" s="265">
        <f>(SUM(D5:D8,D13:D14)+IF(Projectinformatie!C109&lt;&gt;"Elektriciteit",D12))/$D$105</f>
        <v>238.61005630521066</v>
      </c>
      <c r="E70" s="265">
        <f>(SUM(E5:E8,E13:E14)+IF(Projectinformatie!C109&lt;&gt;"Elektriciteit",E12))/$D$105</f>
        <v>263.62527716112317</v>
      </c>
      <c r="F70" s="265">
        <f>(SUM(F5:F8,F13:F14)+IF(Projectinformatie!C109&lt;&gt;"Elektriciteit",F12))/$D$105</f>
        <v>235.67789195271064</v>
      </c>
      <c r="G70" s="265">
        <f>(SUM(G5:G8,G13:G14)+IF(Projectinformatie!C109&lt;&gt;"Elektriciteit",G12))/$D$105</f>
        <v>236.51115258021065</v>
      </c>
      <c r="H70" s="265">
        <f>(SUM(H5:H8,H13:H14)+IF(Projectinformatie!C109&lt;&gt;"Elektriciteit",H12))/$D$105</f>
        <v>224.24748892521069</v>
      </c>
      <c r="I70" s="266">
        <f>(SUM(I5:I8,I13:I14)+IF(Projectinformatie!C109&lt;&gt;"Elektriciteit",I12))/$D$105</f>
        <v>245.64150461271069</v>
      </c>
      <c r="J70" s="266">
        <f>(SUM(J5:J8,J13:J14)+IF(Projectinformatie!D109&lt;&gt;"Elektriciteit",J12))/$D$105</f>
        <v>228.39769329517432</v>
      </c>
      <c r="K70" s="266">
        <f>(SUM(K5:K8,K13:K14)+IF(Projectinformatie!E109&lt;&gt;"Elektriciteit",K12))/$D$105</f>
        <v>228.0265928376644</v>
      </c>
      <c r="L70" s="266">
        <f>(SUM(L5:L8,L13:L14)+IF(Projectinformatie!F109&lt;&gt;"Elektriciteit",L12))/$D$105</f>
        <v>225.17849309016441</v>
      </c>
      <c r="M70" s="266">
        <f>(SUM(M5:M8,M13:M14)+IF(Projectinformatie!G109&lt;&gt;"Elektriciteit",M12))/$D$105</f>
        <v>233.9063156852107</v>
      </c>
      <c r="N70" s="263">
        <f t="shared" si="93"/>
        <v>246.92549739513552</v>
      </c>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175"/>
      <c r="AQ70" s="191" t="s">
        <v>1384</v>
      </c>
      <c r="AR70" s="267">
        <f>AS62</f>
        <v>307.91948609660369</v>
      </c>
      <c r="AS70" s="267">
        <f>AS63*3.6</f>
        <v>20.78337491837139</v>
      </c>
      <c r="AT70" s="90"/>
      <c r="AU70" s="90"/>
      <c r="AV70" s="219"/>
      <c r="AW70" s="90"/>
      <c r="AX70" s="90"/>
      <c r="AY70" s="90"/>
      <c r="AZ70" s="90"/>
      <c r="BA70" s="90"/>
      <c r="BB70" s="90"/>
      <c r="BC70" s="90"/>
      <c r="BD70" s="176"/>
      <c r="BE70" s="90"/>
      <c r="BF70" s="90"/>
      <c r="BG70" s="90"/>
      <c r="BH70" s="90"/>
      <c r="BI70" s="90"/>
      <c r="BJ70" s="90"/>
      <c r="BK70" s="90"/>
      <c r="BL70" s="90"/>
      <c r="BM70" s="90"/>
      <c r="BN70" s="90"/>
      <c r="BO70" s="90"/>
      <c r="BP70" s="90"/>
    </row>
    <row r="71" spans="1:68" ht="11.25" customHeight="1">
      <c r="A71" s="90"/>
      <c r="B71" s="190" t="s">
        <v>404</v>
      </c>
      <c r="C71" s="191" t="s">
        <v>403</v>
      </c>
      <c r="D71" s="265">
        <f t="shared" ref="D71:I71" si="101">D70/(1-SUM(D68:D69)/$D$105)-D70</f>
        <v>-296.99077337823627</v>
      </c>
      <c r="E71" s="265">
        <f t="shared" si="101"/>
        <v>-328.12691278343488</v>
      </c>
      <c r="F71" s="265">
        <f t="shared" si="101"/>
        <v>-293.34119644000702</v>
      </c>
      <c r="G71" s="265">
        <f t="shared" si="101"/>
        <v>-294.37833092636879</v>
      </c>
      <c r="H71" s="265">
        <f t="shared" si="101"/>
        <v>-279.11411696260274</v>
      </c>
      <c r="I71" s="266">
        <f t="shared" si="101"/>
        <v>-305.7426059839097</v>
      </c>
      <c r="J71" s="266">
        <f t="shared" ref="J71:M71" si="102">J70/(1-SUM(J68:J69)/$D$105)-J70</f>
        <v>-240.79925692823781</v>
      </c>
      <c r="K71" s="266">
        <f t="shared" si="102"/>
        <v>72.078115576118478</v>
      </c>
      <c r="L71" s="266">
        <f t="shared" si="102"/>
        <v>4.4548875851001242</v>
      </c>
      <c r="M71" s="266">
        <f t="shared" si="102"/>
        <v>4.6275571326668228</v>
      </c>
      <c r="N71" s="263">
        <f t="shared" si="93"/>
        <v>-307.34090508187296</v>
      </c>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175"/>
      <c r="AQ71" s="191" t="s">
        <v>1386</v>
      </c>
      <c r="AR71" s="267">
        <f>AU62</f>
        <v>304.08169253261582</v>
      </c>
      <c r="AS71" s="267">
        <f>AU63*3.6</f>
        <v>23.169782188361474</v>
      </c>
      <c r="AT71" s="90"/>
      <c r="AU71" s="90"/>
      <c r="AV71" s="219"/>
      <c r="AW71" s="90"/>
      <c r="AX71" s="90"/>
      <c r="AY71" s="90"/>
      <c r="AZ71" s="90"/>
      <c r="BA71" s="90"/>
      <c r="BB71" s="90"/>
      <c r="BC71" s="90"/>
      <c r="BD71" s="176"/>
      <c r="BE71" s="90"/>
      <c r="BF71" s="90"/>
      <c r="BG71" s="90"/>
      <c r="BH71" s="90"/>
      <c r="BI71" s="90"/>
      <c r="BJ71" s="90"/>
      <c r="BK71" s="90"/>
      <c r="BL71" s="90"/>
      <c r="BM71" s="90"/>
      <c r="BN71" s="90"/>
      <c r="BO71" s="90"/>
      <c r="BP71" s="90"/>
    </row>
    <row r="72" spans="1:68" ht="11.25" customHeight="1">
      <c r="A72" s="90"/>
      <c r="B72" s="190"/>
      <c r="C72" s="191"/>
      <c r="D72" s="265"/>
      <c r="E72" s="265"/>
      <c r="F72" s="265"/>
      <c r="G72" s="265"/>
      <c r="H72" s="265"/>
      <c r="I72" s="266"/>
      <c r="J72" s="266"/>
      <c r="K72" s="266"/>
      <c r="L72" s="266"/>
      <c r="M72" s="266"/>
      <c r="N72" s="268"/>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175"/>
      <c r="AQ72" s="191" t="s">
        <v>1387</v>
      </c>
      <c r="AR72" s="267">
        <f>AV62</f>
        <v>305.17231430169142</v>
      </c>
      <c r="AS72" s="267">
        <f>AV63*3.6</f>
        <v>23.169782188361474</v>
      </c>
      <c r="AT72" s="90"/>
      <c r="AU72" s="90"/>
      <c r="AV72" s="219"/>
      <c r="AW72" s="90"/>
      <c r="AX72" s="90"/>
      <c r="AY72" s="90"/>
      <c r="AZ72" s="90"/>
      <c r="BA72" s="90"/>
      <c r="BB72" s="90"/>
      <c r="BC72" s="90"/>
      <c r="BD72" s="176"/>
      <c r="BE72" s="90"/>
      <c r="BF72" s="90"/>
      <c r="BG72" s="90"/>
      <c r="BH72" s="90"/>
      <c r="BI72" s="90"/>
      <c r="BJ72" s="90"/>
      <c r="BK72" s="90"/>
      <c r="BL72" s="90"/>
      <c r="BM72" s="90"/>
      <c r="BN72" s="90"/>
      <c r="BO72" s="90"/>
      <c r="BP72" s="90"/>
    </row>
    <row r="73" spans="1:68" ht="11.25" customHeight="1">
      <c r="A73" s="90"/>
      <c r="B73" s="237" t="s">
        <v>405</v>
      </c>
      <c r="C73" s="191"/>
      <c r="D73" s="265"/>
      <c r="E73" s="265"/>
      <c r="F73" s="265"/>
      <c r="G73" s="265"/>
      <c r="H73" s="265"/>
      <c r="I73" s="266"/>
      <c r="J73" s="266"/>
      <c r="K73" s="266"/>
      <c r="L73" s="266"/>
      <c r="M73" s="266"/>
      <c r="N73" s="244"/>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175"/>
      <c r="AQ73" s="191" t="s">
        <v>44</v>
      </c>
      <c r="AR73" s="267">
        <f>AW62</f>
        <v>289.12089160229806</v>
      </c>
      <c r="AS73" s="267">
        <f>AW63*3.6</f>
        <v>23.965251278358167</v>
      </c>
      <c r="AT73" s="90"/>
      <c r="AU73" s="90"/>
      <c r="AV73" s="219"/>
      <c r="AW73" s="90"/>
      <c r="AX73" s="90"/>
      <c r="AY73" s="90"/>
      <c r="AZ73" s="90"/>
      <c r="BA73" s="90"/>
      <c r="BB73" s="90"/>
      <c r="BC73" s="90"/>
      <c r="BD73" s="176"/>
      <c r="BE73" s="90"/>
      <c r="BF73" s="90"/>
      <c r="BG73" s="90"/>
      <c r="BH73" s="90"/>
      <c r="BI73" s="90"/>
      <c r="BJ73" s="90"/>
      <c r="BK73" s="90"/>
      <c r="BL73" s="90"/>
      <c r="BM73" s="90"/>
      <c r="BN73" s="90"/>
      <c r="BO73" s="90"/>
      <c r="BP73" s="90"/>
    </row>
    <row r="74" spans="1:68" ht="11.25" customHeight="1">
      <c r="A74" s="90"/>
      <c r="B74" s="190" t="s">
        <v>406</v>
      </c>
      <c r="C74" s="191" t="s">
        <v>241</v>
      </c>
      <c r="D74" s="192"/>
      <c r="E74" s="269"/>
      <c r="F74" s="269"/>
      <c r="G74" s="269"/>
      <c r="H74" s="269"/>
      <c r="I74" s="270"/>
      <c r="J74" s="270"/>
      <c r="K74" s="270"/>
      <c r="L74" s="270"/>
      <c r="M74" s="270"/>
      <c r="N74" s="260">
        <f>IF(Projectinformatie!C117="niet geisoleerd",0.02,IF(Projectinformatie!C117="geisoleerd",0.01,IF(Projectinformatie!C117="geisoleerd en omkast", 0.005)))</f>
        <v>0.01</v>
      </c>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175"/>
      <c r="AQ74" s="191" t="s">
        <v>43</v>
      </c>
      <c r="AR74" s="267">
        <f>AX62</f>
        <v>317.12266975751572</v>
      </c>
      <c r="AS74" s="267">
        <f>AX63*3.6</f>
        <v>26.550525820847426</v>
      </c>
      <c r="AT74" s="90"/>
      <c r="AU74" s="90"/>
      <c r="AV74" s="219"/>
      <c r="AW74" s="90"/>
      <c r="AX74" s="90"/>
      <c r="AY74" s="90"/>
      <c r="AZ74" s="90"/>
      <c r="BA74" s="90"/>
      <c r="BB74" s="90"/>
      <c r="BC74" s="90"/>
      <c r="BD74" s="176"/>
      <c r="BE74" s="90"/>
      <c r="BF74" s="90"/>
      <c r="BG74" s="90"/>
      <c r="BH74" s="90"/>
      <c r="BI74" s="90"/>
      <c r="BJ74" s="90"/>
      <c r="BK74" s="90"/>
      <c r="BL74" s="90"/>
      <c r="BM74" s="90"/>
      <c r="BN74" s="90"/>
      <c r="BO74" s="90"/>
      <c r="BP74" s="90"/>
    </row>
    <row r="75" spans="1:68" ht="9.75" customHeight="1">
      <c r="A75" s="90"/>
      <c r="B75" s="190" t="s">
        <v>407</v>
      </c>
      <c r="C75" s="191" t="s">
        <v>241</v>
      </c>
      <c r="D75" s="192"/>
      <c r="E75" s="269"/>
      <c r="F75" s="269"/>
      <c r="G75" s="269"/>
      <c r="H75" s="269"/>
      <c r="I75" s="270"/>
      <c r="J75" s="270"/>
      <c r="K75" s="270"/>
      <c r="L75" s="270"/>
      <c r="M75" s="270"/>
      <c r="N75" s="260">
        <f>IF(Projectinformatie!C118="niet geisoleerd",0.02,IF(Projectinformatie!C118="geisoleerd",0.01,IF(Projectinformatie!C118="geisoleerd en omkast", 0.005)))</f>
        <v>0.01</v>
      </c>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175"/>
      <c r="AQ75" s="191" t="s">
        <v>1385</v>
      </c>
      <c r="AR75" s="267">
        <f>AT62</f>
        <v>340.66069749592862</v>
      </c>
      <c r="AS75" s="267">
        <f>AT63*3.6</f>
        <v>12.033214928407743</v>
      </c>
      <c r="AT75" s="90"/>
      <c r="AU75" s="90"/>
      <c r="AV75" s="219"/>
      <c r="AW75" s="90"/>
      <c r="AX75" s="90"/>
      <c r="AY75" s="90"/>
      <c r="AZ75" s="90"/>
      <c r="BA75" s="90"/>
      <c r="BB75" s="90"/>
      <c r="BC75" s="90"/>
      <c r="BD75" s="176"/>
      <c r="BE75" s="90"/>
      <c r="BF75" s="90"/>
      <c r="BG75" s="90"/>
      <c r="BH75" s="90"/>
      <c r="BI75" s="90"/>
      <c r="BJ75" s="90"/>
      <c r="BK75" s="90"/>
      <c r="BL75" s="90"/>
      <c r="BM75" s="90"/>
      <c r="BN75" s="90"/>
      <c r="BO75" s="90"/>
      <c r="BP75" s="90"/>
    </row>
    <row r="76" spans="1:68" ht="9.75" customHeight="1">
      <c r="A76" s="90"/>
      <c r="B76" s="190"/>
      <c r="C76" s="191"/>
      <c r="D76" s="269"/>
      <c r="E76" s="191"/>
      <c r="F76" s="191"/>
      <c r="G76" s="191"/>
      <c r="H76" s="191"/>
      <c r="I76" s="238"/>
      <c r="J76" s="238"/>
      <c r="K76" s="238"/>
      <c r="L76" s="238"/>
      <c r="M76" s="238"/>
      <c r="N76" s="244"/>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175"/>
      <c r="AQ76" s="191" t="s">
        <v>1390</v>
      </c>
      <c r="AR76" s="267">
        <f>AY62</f>
        <v>281.52760953937315</v>
      </c>
      <c r="AS76" s="267">
        <f>AY63*3.6</f>
        <v>20.78337491837139</v>
      </c>
      <c r="AT76" s="90"/>
      <c r="AU76" s="90"/>
      <c r="AV76" s="219"/>
      <c r="AW76" s="90"/>
      <c r="AX76" s="90"/>
      <c r="AY76" s="90"/>
      <c r="AZ76" s="90"/>
      <c r="BA76" s="90"/>
      <c r="BB76" s="90"/>
      <c r="BC76" s="90"/>
      <c r="BD76" s="176"/>
      <c r="BE76" s="90"/>
      <c r="BF76" s="90"/>
      <c r="BG76" s="90"/>
      <c r="BH76" s="90"/>
      <c r="BI76" s="90"/>
      <c r="BJ76" s="90"/>
      <c r="BK76" s="90"/>
      <c r="BL76" s="90"/>
      <c r="BM76" s="90"/>
      <c r="BN76" s="90"/>
      <c r="BO76" s="90"/>
      <c r="BP76" s="90"/>
    </row>
    <row r="77" spans="1:68" ht="9.75" customHeight="1">
      <c r="A77" s="90"/>
      <c r="B77" s="237" t="s">
        <v>408</v>
      </c>
      <c r="C77" s="191"/>
      <c r="D77" s="269"/>
      <c r="E77" s="198"/>
      <c r="F77" s="198"/>
      <c r="G77" s="269"/>
      <c r="H77" s="269"/>
      <c r="I77" s="270"/>
      <c r="J77" s="270"/>
      <c r="K77" s="270"/>
      <c r="L77" s="270"/>
      <c r="M77" s="270"/>
      <c r="N77" s="244"/>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175"/>
      <c r="AQ77" s="191" t="s">
        <v>1391</v>
      </c>
      <c r="AR77" s="267">
        <f>AZ62</f>
        <v>277.94055046166613</v>
      </c>
      <c r="AS77" s="267">
        <f>AZ63*3.6</f>
        <v>23.169782188361474</v>
      </c>
      <c r="AT77" s="90"/>
      <c r="AU77" s="90"/>
      <c r="AV77" s="219"/>
      <c r="AW77" s="90"/>
      <c r="AX77" s="90"/>
      <c r="AY77" s="90"/>
      <c r="AZ77" s="90"/>
      <c r="BA77" s="90"/>
      <c r="BB77" s="90"/>
      <c r="BC77" s="90"/>
      <c r="BD77" s="176"/>
      <c r="BE77" s="90"/>
      <c r="BF77" s="90"/>
      <c r="BG77" s="90"/>
      <c r="BH77" s="90"/>
      <c r="BI77" s="90"/>
      <c r="BJ77" s="90"/>
      <c r="BK77" s="90"/>
      <c r="BL77" s="90"/>
      <c r="BM77" s="90"/>
      <c r="BN77" s="90"/>
      <c r="BO77" s="90"/>
      <c r="BP77" s="90"/>
    </row>
    <row r="78" spans="1:68" ht="9.75" customHeight="1">
      <c r="A78" s="90"/>
      <c r="B78" s="190" t="s">
        <v>409</v>
      </c>
      <c r="C78" s="191" t="str">
        <f>IF(Projectinformatie!C109="Elektriciteit","kWh / a","m3 aardgas / a")</f>
        <v>kWh / a</v>
      </c>
      <c r="D78" s="191"/>
      <c r="E78" s="191"/>
      <c r="F78" s="191"/>
      <c r="G78" s="191"/>
      <c r="H78" s="191"/>
      <c r="I78" s="238"/>
      <c r="J78" s="238"/>
      <c r="K78" s="238"/>
      <c r="L78" s="238"/>
      <c r="M78" s="238"/>
      <c r="N78" s="271">
        <f>Projectinformatie!C115-MAX(0,Projectinformatie!C115-Lists!B82)</f>
        <v>400000</v>
      </c>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175"/>
      <c r="AQ78" s="191" t="s">
        <v>1392</v>
      </c>
      <c r="AR78" s="267">
        <f>BA62</f>
        <v>274.23564622818026</v>
      </c>
      <c r="AS78" s="267">
        <f>BA63*3.6</f>
        <v>23.169782188361474</v>
      </c>
      <c r="AV78" s="219"/>
      <c r="AW78" s="90"/>
      <c r="AX78" s="90"/>
      <c r="AY78" s="90"/>
      <c r="AZ78" s="90"/>
      <c r="BA78" s="90"/>
      <c r="BB78" s="90"/>
      <c r="BC78" s="90"/>
      <c r="BD78" s="176"/>
      <c r="BE78" s="90"/>
      <c r="BF78" s="90"/>
      <c r="BG78" s="90"/>
      <c r="BH78" s="90"/>
      <c r="BI78" s="90"/>
      <c r="BJ78" s="90"/>
      <c r="BK78" s="90"/>
      <c r="BL78" s="90"/>
      <c r="BM78" s="90"/>
      <c r="BN78" s="90"/>
      <c r="BO78" s="90"/>
      <c r="BP78" s="90"/>
    </row>
    <row r="79" spans="1:68" ht="9.75" customHeight="1">
      <c r="A79" s="90"/>
      <c r="B79" s="190" t="s">
        <v>411</v>
      </c>
      <c r="C79" s="191" t="s">
        <v>241</v>
      </c>
      <c r="D79" s="249">
        <f>(D36*D25)/SUMPRODUCT($D36:$M36,$D25:$M25)</f>
        <v>0.16924984564527198</v>
      </c>
      <c r="E79" s="249">
        <f t="shared" ref="E79:M79" si="103">(E36*E25)/SUMPRODUCT($D36:$M36,$D25:$M25)</f>
        <v>0</v>
      </c>
      <c r="F79" s="249">
        <f t="shared" si="103"/>
        <v>0.54357005539662107</v>
      </c>
      <c r="G79" s="249">
        <f t="shared" si="103"/>
        <v>3.6826462485033108E-2</v>
      </c>
      <c r="H79" s="249">
        <f t="shared" si="103"/>
        <v>8.286136354132241E-6</v>
      </c>
      <c r="I79" s="249">
        <f t="shared" si="103"/>
        <v>0.25032380638219903</v>
      </c>
      <c r="J79" s="249">
        <f t="shared" si="103"/>
        <v>6.0764999930303099E-6</v>
      </c>
      <c r="K79" s="249">
        <f t="shared" si="103"/>
        <v>7.7337272638567574E-6</v>
      </c>
      <c r="L79" s="249">
        <f t="shared" si="103"/>
        <v>7.7337272638567574E-6</v>
      </c>
      <c r="M79" s="249">
        <f t="shared" si="103"/>
        <v>0</v>
      </c>
      <c r="N79" s="272">
        <f>SUM(D79:I79)</f>
        <v>0.99997845604547941</v>
      </c>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175"/>
      <c r="AQ79" s="191" t="s">
        <v>1393</v>
      </c>
      <c r="AR79" s="267">
        <f>BB62</f>
        <v>264.6482432795525</v>
      </c>
      <c r="AS79" s="267">
        <f>BB63*3.6</f>
        <v>12.033214928407743</v>
      </c>
      <c r="AV79" s="219"/>
      <c r="AW79" s="90"/>
      <c r="AX79" s="90"/>
      <c r="AY79" s="90"/>
      <c r="AZ79" s="90"/>
      <c r="BA79" s="90"/>
      <c r="BB79" s="90"/>
      <c r="BC79" s="90"/>
      <c r="BD79" s="176"/>
      <c r="BE79" s="90"/>
      <c r="BF79" s="90"/>
      <c r="BG79" s="90"/>
      <c r="BH79" s="90"/>
      <c r="BI79" s="90"/>
      <c r="BJ79" s="90"/>
      <c r="BK79" s="90"/>
      <c r="BL79" s="90"/>
      <c r="BM79" s="90"/>
      <c r="BN79" s="90"/>
      <c r="BO79" s="90"/>
      <c r="BP79" s="90"/>
    </row>
    <row r="80" spans="1:68" ht="9.75" customHeight="1">
      <c r="A80" s="90"/>
      <c r="B80" s="190" t="s">
        <v>413</v>
      </c>
      <c r="C80" s="191" t="str">
        <f>IF(Projectinformatie!C109="Elektriciteit","kWh / ton / a","m3 aardgas / ton / a")</f>
        <v>kWh / ton / a</v>
      </c>
      <c r="D80" s="192">
        <f t="shared" ref="D80:M80" si="104">IF(ISERROR(((D79*$N25)*($N78/$N25)/D25)),0,((D79*$N25)*($N78/$N25)/D25))</f>
        <v>2.4305999972121239</v>
      </c>
      <c r="E80" s="192">
        <f t="shared" si="104"/>
        <v>0</v>
      </c>
      <c r="F80" s="192">
        <f t="shared" si="104"/>
        <v>3.0934909055427027</v>
      </c>
      <c r="G80" s="192">
        <f t="shared" si="104"/>
        <v>3.0934909055427027</v>
      </c>
      <c r="H80" s="192">
        <f t="shared" si="104"/>
        <v>3.3144545416528959</v>
      </c>
      <c r="I80" s="193">
        <f t="shared" si="104"/>
        <v>4.0325863590110229</v>
      </c>
      <c r="J80" s="193">
        <f t="shared" si="104"/>
        <v>2.4305999972121239</v>
      </c>
      <c r="K80" s="193">
        <f t="shared" si="104"/>
        <v>3.0934909055427027</v>
      </c>
      <c r="L80" s="193">
        <f t="shared" si="104"/>
        <v>3.0934909055427027</v>
      </c>
      <c r="M80" s="193">
        <f t="shared" si="104"/>
        <v>0</v>
      </c>
      <c r="N80" s="248">
        <f>SUMPRODUCT(D80:I80,D25:I25)/N25</f>
        <v>2.0630586556623758</v>
      </c>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175"/>
      <c r="AV80" s="219"/>
      <c r="AW80" s="90"/>
      <c r="AX80" s="90"/>
      <c r="AY80" s="90"/>
      <c r="AZ80" s="90"/>
      <c r="BA80" s="90"/>
      <c r="BB80" s="90"/>
      <c r="BC80" s="90"/>
      <c r="BD80" s="176"/>
      <c r="BE80" s="90"/>
      <c r="BF80" s="90"/>
      <c r="BG80" s="90"/>
      <c r="BH80" s="90"/>
      <c r="BI80" s="90"/>
      <c r="BJ80" s="90"/>
      <c r="BK80" s="90"/>
      <c r="BL80" s="90"/>
      <c r="BM80" s="90"/>
      <c r="BN80" s="90"/>
      <c r="BO80" s="90"/>
      <c r="BP80" s="90"/>
    </row>
    <row r="81" spans="1:68" ht="9.75" customHeight="1">
      <c r="A81" s="90"/>
      <c r="B81" s="190"/>
      <c r="C81" s="191"/>
      <c r="D81" s="192"/>
      <c r="E81" s="192"/>
      <c r="F81" s="192"/>
      <c r="G81" s="192"/>
      <c r="H81" s="192"/>
      <c r="I81" s="193"/>
      <c r="J81" s="193"/>
      <c r="K81" s="193"/>
      <c r="L81" s="193"/>
      <c r="M81" s="193"/>
      <c r="N81" s="248"/>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175"/>
      <c r="AQ81" s="34" t="s">
        <v>410</v>
      </c>
      <c r="AR81" s="90"/>
      <c r="AS81" s="90"/>
      <c r="AT81" s="90"/>
      <c r="AV81" s="219"/>
      <c r="AW81" s="90"/>
      <c r="AX81" s="90"/>
      <c r="AY81" s="90"/>
      <c r="AZ81" s="90"/>
      <c r="BA81" s="90"/>
      <c r="BB81" s="90"/>
      <c r="BC81" s="90"/>
      <c r="BD81" s="176"/>
      <c r="BE81" s="90"/>
      <c r="BF81" s="90"/>
      <c r="BG81" s="90"/>
      <c r="BH81" s="90"/>
      <c r="BI81" s="90"/>
      <c r="BJ81" s="90"/>
      <c r="BK81" s="90"/>
      <c r="BL81" s="90"/>
      <c r="BM81" s="90"/>
      <c r="BN81" s="90"/>
      <c r="BO81" s="90"/>
      <c r="BP81" s="90"/>
    </row>
    <row r="82" spans="1:68" ht="9.75" customHeight="1">
      <c r="A82" s="90"/>
      <c r="B82" s="237" t="s">
        <v>331</v>
      </c>
      <c r="C82" s="191"/>
      <c r="D82" s="192"/>
      <c r="E82" s="192"/>
      <c r="F82" s="192"/>
      <c r="G82" s="192"/>
      <c r="H82" s="192"/>
      <c r="I82" s="193"/>
      <c r="J82" s="193"/>
      <c r="K82" s="193"/>
      <c r="L82" s="193"/>
      <c r="M82" s="193"/>
      <c r="N82" s="248"/>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175"/>
      <c r="AQ82" s="189" t="s">
        <v>399</v>
      </c>
      <c r="AR82" s="191" t="s">
        <v>412</v>
      </c>
      <c r="AS82" s="191" t="s">
        <v>400</v>
      </c>
      <c r="AT82" s="191" t="s">
        <v>1459</v>
      </c>
      <c r="AV82" s="219"/>
      <c r="AW82" s="90"/>
      <c r="AX82" s="90"/>
      <c r="AY82" s="90"/>
      <c r="AZ82" s="90"/>
      <c r="BA82" s="90"/>
      <c r="BB82" s="90"/>
      <c r="BC82" s="90"/>
      <c r="BD82" s="176"/>
      <c r="BE82" s="90"/>
      <c r="BF82" s="90"/>
      <c r="BG82" s="90"/>
      <c r="BH82" s="90"/>
      <c r="BI82" s="90"/>
      <c r="BJ82" s="90"/>
      <c r="BK82" s="90"/>
      <c r="BL82" s="90"/>
      <c r="BM82" s="90"/>
      <c r="BN82" s="90"/>
      <c r="BO82" s="90"/>
      <c r="BP82" s="90"/>
    </row>
    <row r="83" spans="1:68" ht="9.75" customHeight="1">
      <c r="A83" s="90"/>
      <c r="B83" s="190" t="s">
        <v>414</v>
      </c>
      <c r="C83" s="191" t="s">
        <v>415</v>
      </c>
      <c r="D83" s="197">
        <f>Projectinformatie!$C$121*$D$113/$N$25</f>
        <v>15.473273272963498</v>
      </c>
      <c r="E83" s="197">
        <f>Projectinformatie!$C$121*$D$113/$N$25</f>
        <v>15.473273272963498</v>
      </c>
      <c r="F83" s="197">
        <f>Projectinformatie!$C$121*$D$113/$N$25</f>
        <v>15.473273272963498</v>
      </c>
      <c r="G83" s="197">
        <f>Projectinformatie!$C$121*$D$113/$N$25</f>
        <v>15.473273272963498</v>
      </c>
      <c r="H83" s="197">
        <f>Projectinformatie!$C$121*$D$113/$N$25</f>
        <v>15.473273272963498</v>
      </c>
      <c r="I83" s="240">
        <f>Projectinformatie!$C$121*$D$113/$N$25</f>
        <v>15.473273272963498</v>
      </c>
      <c r="J83" s="240">
        <f>Projectinformatie!$C$121*$D$113/$N$25</f>
        <v>15.473273272963498</v>
      </c>
      <c r="K83" s="240">
        <f>Projectinformatie!$C$121*$D$113/$N$25</f>
        <v>15.473273272963498</v>
      </c>
      <c r="L83" s="240">
        <f>Projectinformatie!$C$121*$D$113/$N$25</f>
        <v>15.473273272963498</v>
      </c>
      <c r="M83" s="240">
        <f>Projectinformatie!$C$121*$D$113/$N$25</f>
        <v>15.473273272963498</v>
      </c>
      <c r="N83" s="248"/>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175"/>
      <c r="AQ83" s="191" t="s">
        <v>1384</v>
      </c>
      <c r="AR83" s="257">
        <f>IFERROR(Input!E68/Input!C68,0)</f>
        <v>0.14699999999999999</v>
      </c>
      <c r="AS83" s="267">
        <f>$AR83*AR$75+(1-$AR83)*AR70</f>
        <v>312.73244417230444</v>
      </c>
      <c r="AT83" s="267">
        <f t="shared" ref="AS83:AT87" si="105">$AR83*AS$75+(1-$AR83)*AS70</f>
        <v>19.497101399846731</v>
      </c>
      <c r="AV83" s="219"/>
      <c r="AW83" s="90"/>
      <c r="AX83" s="90"/>
      <c r="AY83" s="90"/>
      <c r="AZ83" s="90"/>
      <c r="BA83" s="90"/>
      <c r="BB83" s="90"/>
      <c r="BC83" s="90"/>
      <c r="BD83" s="176"/>
      <c r="BE83" s="90"/>
      <c r="BF83" s="90"/>
      <c r="BG83" s="90"/>
      <c r="BH83" s="90"/>
      <c r="BI83" s="90"/>
      <c r="BJ83" s="90"/>
      <c r="BK83" s="90"/>
      <c r="BL83" s="90"/>
      <c r="BM83" s="90"/>
      <c r="BN83" s="90"/>
      <c r="BO83" s="90"/>
      <c r="BP83" s="90"/>
    </row>
    <row r="84" spans="1:68" ht="9.75" customHeight="1">
      <c r="A84" s="90"/>
      <c r="B84" s="190"/>
      <c r="C84" s="191"/>
      <c r="D84" s="192"/>
      <c r="E84" s="192"/>
      <c r="F84" s="192"/>
      <c r="G84" s="192"/>
      <c r="H84" s="192"/>
      <c r="I84" s="193"/>
      <c r="J84" s="193"/>
      <c r="K84" s="193"/>
      <c r="L84" s="193"/>
      <c r="M84" s="193"/>
      <c r="N84" s="244"/>
      <c r="O84" s="173"/>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175"/>
      <c r="AQ84" s="191" t="s">
        <v>1386</v>
      </c>
      <c r="AR84" s="257">
        <f>IFERROR(Input!E69/Input!C69,0)</f>
        <v>0.46604677716614273</v>
      </c>
      <c r="AS84" s="267">
        <f t="shared" si="105"/>
        <v>321.12921990771213</v>
      </c>
      <c r="AT84" s="267">
        <f t="shared" si="105"/>
        <v>17.979620908166055</v>
      </c>
      <c r="AV84" s="219"/>
      <c r="AW84" s="90"/>
      <c r="AX84" s="90"/>
      <c r="AY84" s="90"/>
      <c r="AZ84" s="90"/>
      <c r="BA84" s="90"/>
      <c r="BB84" s="90"/>
      <c r="BC84" s="90"/>
      <c r="BD84" s="176"/>
      <c r="BE84" s="90"/>
      <c r="BF84" s="90"/>
      <c r="BG84" s="90"/>
      <c r="BH84" s="90"/>
      <c r="BI84" s="90"/>
      <c r="BJ84" s="90"/>
      <c r="BK84" s="90"/>
      <c r="BL84" s="90"/>
      <c r="BM84" s="90"/>
      <c r="BN84" s="90"/>
      <c r="BO84" s="90"/>
      <c r="BP84" s="90"/>
    </row>
    <row r="85" spans="1:68" ht="9.75" customHeight="1">
      <c r="A85" s="90"/>
      <c r="B85" s="237" t="s">
        <v>416</v>
      </c>
      <c r="C85" s="191"/>
      <c r="D85" s="191"/>
      <c r="E85" s="191"/>
      <c r="F85" s="191"/>
      <c r="G85" s="191"/>
      <c r="H85" s="191"/>
      <c r="I85" s="238"/>
      <c r="J85" s="238"/>
      <c r="K85" s="238"/>
      <c r="L85" s="238"/>
      <c r="M85" s="238"/>
      <c r="N85" s="244"/>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175"/>
      <c r="AQ85" s="191" t="s">
        <v>1387</v>
      </c>
      <c r="AR85" s="257">
        <f>IFERROR(Input!E70/Input!C70,0)</f>
        <v>0</v>
      </c>
      <c r="AS85" s="267">
        <f t="shared" si="105"/>
        <v>305.17231430169142</v>
      </c>
      <c r="AT85" s="267">
        <f t="shared" si="105"/>
        <v>23.169782188361474</v>
      </c>
      <c r="AV85" s="219"/>
      <c r="AW85" s="90"/>
      <c r="AX85" s="90"/>
      <c r="AY85" s="90"/>
      <c r="AZ85" s="90"/>
      <c r="BA85" s="90"/>
      <c r="BB85" s="90"/>
      <c r="BC85" s="90"/>
      <c r="BD85" s="176"/>
      <c r="BE85" s="90"/>
      <c r="BF85" s="90"/>
      <c r="BG85" s="90"/>
      <c r="BH85" s="90"/>
      <c r="BI85" s="90"/>
      <c r="BJ85" s="90"/>
      <c r="BK85" s="90"/>
      <c r="BL85" s="90"/>
      <c r="BM85" s="90"/>
      <c r="BN85" s="90"/>
      <c r="BO85" s="90"/>
      <c r="BP85" s="90"/>
    </row>
    <row r="86" spans="1:68" ht="9.75" customHeight="1">
      <c r="A86" s="90"/>
      <c r="B86" s="190" t="s">
        <v>417</v>
      </c>
      <c r="C86" s="191" t="s">
        <v>418</v>
      </c>
      <c r="D86" s="191"/>
      <c r="E86" s="191"/>
      <c r="F86" s="191"/>
      <c r="G86" s="191"/>
      <c r="H86" s="191"/>
      <c r="I86" s="238"/>
      <c r="J86" s="238"/>
      <c r="K86" s="238"/>
      <c r="L86" s="238"/>
      <c r="M86" s="238"/>
      <c r="N86" s="273">
        <f>MAX(0,IF(Projectinformatie!C109="Elektriciteit",Lists!B82-Projectinformatie!C115,Lists!B82))</f>
        <v>648064.5</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175"/>
      <c r="AQ86" s="191" t="s">
        <v>44</v>
      </c>
      <c r="AR86" s="257">
        <f>IFERROR(Input!E71/Input!C71,0)</f>
        <v>0</v>
      </c>
      <c r="AS86" s="267">
        <f t="shared" si="105"/>
        <v>289.12089160229806</v>
      </c>
      <c r="AT86" s="267">
        <f t="shared" si="105"/>
        <v>23.965251278358167</v>
      </c>
      <c r="AV86" s="219"/>
      <c r="AW86" s="90"/>
      <c r="AX86" s="90"/>
      <c r="AY86" s="90"/>
      <c r="AZ86" s="90"/>
      <c r="BA86" s="90"/>
      <c r="BB86" s="90"/>
      <c r="BC86" s="90"/>
      <c r="BD86" s="176"/>
      <c r="BE86" s="90"/>
      <c r="BF86" s="90"/>
      <c r="BG86" s="90"/>
      <c r="BH86" s="90"/>
      <c r="BI86" s="90"/>
      <c r="BJ86" s="90"/>
      <c r="BK86" s="90"/>
      <c r="BL86" s="90"/>
      <c r="BM86" s="90"/>
      <c r="BN86" s="90"/>
      <c r="BO86" s="90"/>
      <c r="BP86" s="90"/>
    </row>
    <row r="87" spans="1:68" ht="9.75" customHeight="1" thickBot="1">
      <c r="A87" s="90"/>
      <c r="B87" s="274" t="s">
        <v>337</v>
      </c>
      <c r="C87" s="275" t="s">
        <v>419</v>
      </c>
      <c r="D87" s="471">
        <f>$N86/$N25</f>
        <v>3.3425597023354841</v>
      </c>
      <c r="E87" s="276">
        <f t="shared" ref="E87:I87" si="106">$N86/$N25</f>
        <v>3.3425597023354841</v>
      </c>
      <c r="F87" s="276">
        <f t="shared" si="106"/>
        <v>3.3425597023354841</v>
      </c>
      <c r="G87" s="276">
        <f t="shared" si="106"/>
        <v>3.3425597023354841</v>
      </c>
      <c r="H87" s="276">
        <f t="shared" si="106"/>
        <v>3.3425597023354841</v>
      </c>
      <c r="I87" s="277">
        <f t="shared" si="106"/>
        <v>3.3425597023354841</v>
      </c>
      <c r="J87" s="277">
        <f t="shared" ref="J87:M87" si="107">$N86/$N25</f>
        <v>3.3425597023354841</v>
      </c>
      <c r="K87" s="277">
        <f t="shared" si="107"/>
        <v>3.3425597023354841</v>
      </c>
      <c r="L87" s="277">
        <f t="shared" si="107"/>
        <v>3.3425597023354841</v>
      </c>
      <c r="M87" s="277">
        <f t="shared" si="107"/>
        <v>3.3425597023354841</v>
      </c>
      <c r="N87" s="278"/>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175"/>
      <c r="AQ87" s="191" t="s">
        <v>43</v>
      </c>
      <c r="AR87" s="257">
        <f>IFERROR(Input!E72/Input!C72,0)</f>
        <v>0</v>
      </c>
      <c r="AS87" s="267">
        <f t="shared" si="105"/>
        <v>317.12266975751572</v>
      </c>
      <c r="AT87" s="267">
        <f t="shared" si="105"/>
        <v>26.550525820847426</v>
      </c>
      <c r="AV87" s="219"/>
      <c r="AW87" s="90"/>
      <c r="AX87" s="90"/>
      <c r="AY87" s="90"/>
      <c r="AZ87" s="90"/>
      <c r="BA87" s="90"/>
      <c r="BB87" s="90"/>
      <c r="BC87" s="90"/>
      <c r="BD87" s="176"/>
      <c r="BE87" s="90"/>
      <c r="BF87" s="90"/>
      <c r="BG87" s="90"/>
      <c r="BH87" s="90"/>
      <c r="BI87" s="90"/>
      <c r="BJ87" s="90"/>
      <c r="BK87" s="90"/>
      <c r="BL87" s="90"/>
      <c r="BM87" s="90"/>
      <c r="BN87" s="90"/>
      <c r="BO87" s="90"/>
      <c r="BP87" s="90"/>
    </row>
    <row r="88" spans="1:68" ht="9.75" customHeight="1" thickBot="1">
      <c r="A88" s="90"/>
      <c r="B88" s="555"/>
      <c r="C88" s="165"/>
      <c r="D88" s="165"/>
      <c r="E88" s="165"/>
      <c r="F88" s="165"/>
      <c r="G88" s="165"/>
      <c r="H88" s="165"/>
      <c r="I88" s="165"/>
      <c r="J88" s="165"/>
      <c r="K88" s="165"/>
      <c r="L88" s="165"/>
      <c r="M88" s="165"/>
      <c r="N88" s="165"/>
      <c r="O88" s="53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175"/>
      <c r="AQ88" s="191" t="s">
        <v>1390</v>
      </c>
      <c r="AR88" s="257">
        <f>IFERROR(Input!E73/Input!C73,0)</f>
        <v>0</v>
      </c>
      <c r="AS88" s="267">
        <f>$AR88*AR$79+(1-$AR88)*AR76</f>
        <v>281.52760953937315</v>
      </c>
      <c r="AT88" s="267">
        <f>$AR88*AS$79+(1-$AR88)*AS76</f>
        <v>20.78337491837139</v>
      </c>
      <c r="AV88" s="219"/>
      <c r="AW88" s="90"/>
      <c r="AX88" s="90"/>
      <c r="AY88" s="90"/>
      <c r="AZ88" s="90"/>
      <c r="BA88" s="90"/>
      <c r="BB88" s="90"/>
      <c r="BC88" s="90"/>
      <c r="BD88" s="176"/>
      <c r="BE88" s="90"/>
      <c r="BF88" s="90"/>
      <c r="BG88" s="90"/>
      <c r="BH88" s="90"/>
      <c r="BI88" s="90"/>
      <c r="BJ88" s="90"/>
      <c r="BK88" s="90"/>
      <c r="BL88" s="90"/>
      <c r="BM88" s="90"/>
      <c r="BN88" s="90"/>
      <c r="BO88" s="90"/>
      <c r="BP88" s="90"/>
    </row>
    <row r="89" spans="1:68" ht="9.75" customHeight="1" thickBot="1">
      <c r="A89" s="90"/>
      <c r="B89" s="567" t="s">
        <v>421</v>
      </c>
      <c r="C89" s="550"/>
      <c r="D89" s="551"/>
      <c r="E89" s="548"/>
      <c r="F89" s="548"/>
      <c r="G89" s="548"/>
      <c r="H89" s="548"/>
      <c r="I89" s="548"/>
      <c r="J89" s="548"/>
      <c r="K89" s="548"/>
      <c r="L89" s="548"/>
      <c r="M89" s="548"/>
      <c r="N89" s="548"/>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175"/>
      <c r="AQ89" s="191" t="s">
        <v>1391</v>
      </c>
      <c r="AR89" s="257">
        <f>IFERROR(Input!E74/Input!C74,0)</f>
        <v>0</v>
      </c>
      <c r="AS89" s="267">
        <f>$AR89*AR$79+(1-$AR89)*AR77</f>
        <v>277.94055046166613</v>
      </c>
      <c r="AT89" s="267">
        <f t="shared" ref="AT89:AT90" si="108">$AR89*AS$79+(1-$AR89)*AS77</f>
        <v>23.169782188361474</v>
      </c>
      <c r="AV89" s="219"/>
      <c r="AW89" s="90"/>
      <c r="AX89" s="90"/>
      <c r="AY89" s="90"/>
      <c r="AZ89" s="90"/>
      <c r="BA89" s="90"/>
      <c r="BB89" s="90"/>
      <c r="BC89" s="90"/>
      <c r="BD89" s="176"/>
      <c r="BE89" s="90"/>
      <c r="BF89" s="90"/>
      <c r="BG89" s="90"/>
      <c r="BH89" s="90"/>
      <c r="BI89" s="90"/>
      <c r="BJ89" s="90"/>
      <c r="BK89" s="90"/>
      <c r="BL89" s="90"/>
      <c r="BM89" s="90"/>
      <c r="BN89" s="90"/>
      <c r="BO89" s="90"/>
      <c r="BP89" s="90"/>
    </row>
    <row r="90" spans="1:68" ht="9.75" customHeight="1">
      <c r="A90" s="90"/>
      <c r="B90" s="570"/>
      <c r="C90" s="571"/>
      <c r="D90" s="572"/>
      <c r="E90" s="530"/>
      <c r="F90" s="530"/>
      <c r="G90" s="530"/>
      <c r="H90" s="530"/>
      <c r="I90" s="530"/>
      <c r="J90" s="530"/>
      <c r="K90" s="530"/>
      <c r="L90" s="530"/>
      <c r="M90" s="530"/>
      <c r="N90" s="53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175"/>
      <c r="AQ90" s="191" t="s">
        <v>1392</v>
      </c>
      <c r="AR90" s="257">
        <f>IFERROR(Input!E75/Input!C75,0)</f>
        <v>0</v>
      </c>
      <c r="AS90" s="267">
        <f>$AR90*AR$79+(1-$AR90)*AR78</f>
        <v>274.23564622818026</v>
      </c>
      <c r="AT90" s="267">
        <f t="shared" si="108"/>
        <v>23.169782188361474</v>
      </c>
      <c r="AV90" s="219"/>
      <c r="AW90" s="90"/>
      <c r="AX90" s="90"/>
      <c r="AY90" s="90"/>
      <c r="AZ90" s="90"/>
      <c r="BA90" s="90"/>
      <c r="BB90" s="90"/>
      <c r="BC90" s="90"/>
      <c r="BD90" s="176"/>
      <c r="BE90" s="90"/>
      <c r="BF90" s="90"/>
      <c r="BG90" s="90"/>
      <c r="BH90" s="90"/>
      <c r="BI90" s="90"/>
      <c r="BJ90" s="90"/>
      <c r="BK90" s="90"/>
      <c r="BL90" s="90"/>
      <c r="BM90" s="90"/>
      <c r="BN90" s="90"/>
      <c r="BO90" s="90"/>
      <c r="BP90" s="90"/>
    </row>
    <row r="91" spans="1:68" ht="9.75" customHeight="1">
      <c r="A91" s="90"/>
      <c r="B91" s="568" t="s">
        <v>423</v>
      </c>
      <c r="C91" s="569" t="s">
        <v>424</v>
      </c>
      <c r="D91" s="566">
        <v>0.84</v>
      </c>
      <c r="E91" s="530"/>
      <c r="F91" s="530"/>
      <c r="G91" s="530"/>
      <c r="H91" s="530"/>
      <c r="I91" s="530"/>
      <c r="J91" s="530"/>
      <c r="K91" s="530"/>
      <c r="L91" s="530"/>
      <c r="M91" s="530"/>
      <c r="N91" s="53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175"/>
      <c r="AV91" s="90"/>
      <c r="AW91" s="90"/>
      <c r="AX91" s="90"/>
      <c r="AY91" s="90"/>
      <c r="AZ91" s="90"/>
      <c r="BA91" s="90"/>
      <c r="BB91" s="90"/>
      <c r="BC91" s="90"/>
      <c r="BD91" s="176"/>
      <c r="BE91" s="90"/>
      <c r="BF91" s="90"/>
      <c r="BG91" s="90"/>
      <c r="BH91" s="90"/>
      <c r="BI91" s="90"/>
      <c r="BJ91" s="90"/>
      <c r="BK91" s="90"/>
      <c r="BL91" s="90"/>
      <c r="BM91" s="90"/>
      <c r="BN91" s="90"/>
      <c r="BO91" s="90"/>
      <c r="BP91" s="90"/>
    </row>
    <row r="92" spans="1:68" ht="9.75" customHeight="1">
      <c r="A92" s="90"/>
      <c r="B92" s="556" t="s">
        <v>425</v>
      </c>
      <c r="C92" s="178" t="s">
        <v>424</v>
      </c>
      <c r="D92" s="557">
        <v>0.84</v>
      </c>
      <c r="E92" s="530"/>
      <c r="F92" s="530"/>
      <c r="G92" s="530"/>
      <c r="H92" s="530"/>
      <c r="I92" s="530"/>
      <c r="J92" s="530"/>
      <c r="K92" s="530"/>
      <c r="L92" s="530"/>
      <c r="M92" s="530"/>
      <c r="N92" s="53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175"/>
      <c r="AQ92" s="675" t="s">
        <v>420</v>
      </c>
      <c r="AR92" s="676"/>
      <c r="AS92" s="676" t="s">
        <v>1460</v>
      </c>
      <c r="AT92" s="90"/>
      <c r="AU92" s="90"/>
      <c r="AV92" s="90"/>
      <c r="AW92" s="90"/>
      <c r="AX92" s="90"/>
      <c r="AY92" s="90"/>
      <c r="AZ92" s="90"/>
      <c r="BA92" s="90"/>
      <c r="BB92" s="90"/>
      <c r="BC92" s="90"/>
      <c r="BD92" s="176"/>
      <c r="BE92" s="90"/>
      <c r="BF92" s="90"/>
      <c r="BG92" s="90"/>
      <c r="BH92" s="90"/>
      <c r="BI92" s="90"/>
      <c r="BJ92" s="90"/>
      <c r="BK92" s="90"/>
      <c r="BL92" s="90"/>
      <c r="BM92" s="90"/>
      <c r="BN92" s="90"/>
      <c r="BO92" s="90"/>
      <c r="BP92" s="90"/>
    </row>
    <row r="93" spans="1:68" ht="9.75" customHeight="1">
      <c r="A93" s="90"/>
      <c r="B93" s="556" t="s">
        <v>426</v>
      </c>
      <c r="C93" s="191" t="s">
        <v>424</v>
      </c>
      <c r="D93" s="557">
        <v>0.89</v>
      </c>
      <c r="E93" s="530"/>
      <c r="F93" s="530"/>
      <c r="G93" s="530"/>
      <c r="H93" s="530"/>
      <c r="I93" s="530"/>
      <c r="J93" s="530"/>
      <c r="K93" s="530"/>
      <c r="L93" s="530"/>
      <c r="M93" s="530"/>
      <c r="N93" s="53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175"/>
      <c r="AQ93" s="677" t="s">
        <v>46</v>
      </c>
      <c r="AR93" s="678" t="str">
        <f>Results!C49</f>
        <v>HMA AC Bin/Base</v>
      </c>
      <c r="AS93" s="679"/>
      <c r="AU93" s="90"/>
      <c r="AV93" s="530"/>
      <c r="AW93" s="530"/>
      <c r="AX93" s="530"/>
      <c r="AY93" s="530"/>
      <c r="AZ93" s="530"/>
      <c r="BA93" s="530"/>
      <c r="BB93" s="530"/>
      <c r="BC93" s="530"/>
      <c r="BD93" s="176"/>
      <c r="BE93" s="90"/>
      <c r="BF93" s="90"/>
      <c r="BG93" s="90"/>
      <c r="BH93" s="90"/>
      <c r="BI93" s="90"/>
      <c r="BJ93" s="90"/>
      <c r="BK93" s="90"/>
      <c r="BL93" s="90"/>
      <c r="BM93" s="90"/>
      <c r="BN93" s="90"/>
      <c r="BO93" s="90"/>
      <c r="BP93" s="90"/>
    </row>
    <row r="94" spans="1:68" ht="9.75" customHeight="1">
      <c r="A94" s="90"/>
      <c r="B94" s="556" t="s">
        <v>427</v>
      </c>
      <c r="C94" s="191" t="s">
        <v>424</v>
      </c>
      <c r="D94" s="557">
        <f>AVERAGE(1.11,1.306)</f>
        <v>1.2080000000000002</v>
      </c>
      <c r="E94" s="530"/>
      <c r="F94" s="530"/>
      <c r="G94" s="530"/>
      <c r="H94" s="530"/>
      <c r="I94" s="530"/>
      <c r="J94" s="530"/>
      <c r="K94" s="530"/>
      <c r="L94" s="530"/>
      <c r="M94" s="530"/>
      <c r="N94" s="53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530"/>
      <c r="AQ94" s="677" t="s">
        <v>422</v>
      </c>
      <c r="AR94" s="680">
        <f>Results!C50</f>
        <v>0.14699999999999999</v>
      </c>
      <c r="AS94" s="679"/>
      <c r="AU94" s="90"/>
      <c r="AV94" s="530"/>
      <c r="AW94" s="530"/>
      <c r="AX94" s="530"/>
      <c r="AY94" s="530"/>
      <c r="AZ94" s="530"/>
      <c r="BA94" s="530"/>
      <c r="BB94" s="530"/>
      <c r="BC94" s="530"/>
      <c r="BD94" s="530"/>
      <c r="BE94" s="90"/>
      <c r="BF94" s="90"/>
      <c r="BG94" s="90"/>
      <c r="BH94" s="90"/>
      <c r="BI94" s="90"/>
      <c r="BJ94" s="90"/>
      <c r="BK94" s="90"/>
      <c r="BL94" s="90"/>
      <c r="BM94" s="90"/>
      <c r="BN94" s="90"/>
      <c r="BO94" s="90"/>
      <c r="BP94" s="90"/>
    </row>
    <row r="95" spans="1:68" ht="9.75" customHeight="1">
      <c r="A95" s="90"/>
      <c r="B95" s="556" t="s">
        <v>428</v>
      </c>
      <c r="C95" s="191" t="s">
        <v>429</v>
      </c>
      <c r="D95" s="557">
        <v>2260</v>
      </c>
      <c r="E95" s="530"/>
      <c r="F95" s="530"/>
      <c r="G95" s="530"/>
      <c r="H95" s="530"/>
      <c r="I95" s="530"/>
      <c r="J95" s="530"/>
      <c r="K95" s="530"/>
      <c r="L95" s="530"/>
      <c r="M95" s="530"/>
      <c r="N95" s="53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677" t="str">
        <f>Results!B51</f>
        <v>Mixture final temperature in mixer (°C)</v>
      </c>
      <c r="AR95" s="681">
        <f>Results!C51</f>
        <v>165</v>
      </c>
      <c r="AS95" s="679"/>
      <c r="AU95" s="90"/>
      <c r="AV95" s="90"/>
      <c r="AW95" s="90"/>
      <c r="AX95" s="90"/>
      <c r="AY95" s="90"/>
      <c r="AZ95" s="90"/>
      <c r="BA95" s="90"/>
      <c r="BB95" s="90"/>
      <c r="BC95" s="90"/>
      <c r="BD95" s="90"/>
      <c r="BE95" s="90"/>
      <c r="BF95" s="90"/>
      <c r="BG95" s="90"/>
      <c r="BH95" s="90"/>
      <c r="BI95" s="90"/>
      <c r="BJ95" s="90"/>
      <c r="BK95" s="90"/>
      <c r="BL95" s="90"/>
      <c r="BM95" s="90"/>
      <c r="BN95" s="90"/>
      <c r="BO95" s="90"/>
      <c r="BP95" s="90"/>
    </row>
    <row r="96" spans="1:68" ht="9.75" customHeight="1">
      <c r="A96" s="90"/>
      <c r="B96" s="556" t="s">
        <v>430</v>
      </c>
      <c r="C96" s="191" t="s">
        <v>424</v>
      </c>
      <c r="D96" s="557">
        <v>4.18</v>
      </c>
      <c r="E96" s="530"/>
      <c r="F96" s="530"/>
      <c r="G96" s="530"/>
      <c r="H96" s="530"/>
      <c r="I96" s="530"/>
      <c r="J96" s="530"/>
      <c r="K96" s="530"/>
      <c r="L96" s="530"/>
      <c r="M96" s="530"/>
      <c r="N96" s="53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677" t="str">
        <f>Results!B52</f>
        <v>Temperature RA just after parallel (RA) drum (°C)</v>
      </c>
      <c r="AR96" s="681">
        <f>Results!C52</f>
        <v>120</v>
      </c>
      <c r="AS96" s="679"/>
      <c r="AU96" s="90"/>
      <c r="AV96" s="90"/>
      <c r="AW96" s="90"/>
      <c r="AX96" s="90"/>
      <c r="AY96" s="90"/>
      <c r="AZ96" s="90"/>
      <c r="BA96" s="90"/>
      <c r="BB96" s="90"/>
      <c r="BC96" s="90"/>
      <c r="BD96" s="90"/>
      <c r="BE96" s="90"/>
      <c r="BF96" s="90"/>
      <c r="BG96" s="90"/>
      <c r="BH96" s="90"/>
      <c r="BI96" s="90"/>
      <c r="BJ96" s="90"/>
      <c r="BK96" s="90"/>
      <c r="BL96" s="90"/>
      <c r="BM96" s="90"/>
      <c r="BN96" s="90"/>
      <c r="BO96" s="90"/>
      <c r="BP96" s="90"/>
    </row>
    <row r="97" spans="1:68" ht="9.75" customHeight="1">
      <c r="A97" s="90"/>
      <c r="B97" s="556" t="s">
        <v>431</v>
      </c>
      <c r="C97" s="191" t="s">
        <v>424</v>
      </c>
      <c r="D97" s="557">
        <v>1.94</v>
      </c>
      <c r="E97" s="530"/>
      <c r="F97" s="530"/>
      <c r="G97" s="530"/>
      <c r="H97" s="530"/>
      <c r="I97" s="530"/>
      <c r="J97" s="530"/>
      <c r="K97" s="530"/>
      <c r="L97" s="530"/>
      <c r="M97" s="530"/>
      <c r="N97" s="53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677" t="str">
        <f>Results!B53</f>
        <v>Moisture in minerals (kg/ton)</v>
      </c>
      <c r="AR97" s="681">
        <f>Results!C53</f>
        <v>34.589999999999996</v>
      </c>
      <c r="AS97" s="679"/>
      <c r="AU97" s="90"/>
      <c r="AV97" s="90"/>
      <c r="AW97" s="90"/>
      <c r="AX97" s="90"/>
      <c r="AY97" s="90"/>
      <c r="AZ97" s="90"/>
      <c r="BA97" s="90"/>
      <c r="BB97" s="90"/>
      <c r="BC97" s="90"/>
      <c r="BD97" s="90"/>
      <c r="BE97" s="90"/>
      <c r="BF97" s="90"/>
      <c r="BG97" s="90"/>
      <c r="BH97" s="90"/>
      <c r="BI97" s="90"/>
      <c r="BJ97" s="90"/>
      <c r="BK97" s="90"/>
      <c r="BL97" s="90"/>
      <c r="BM97" s="90"/>
      <c r="BN97" s="90"/>
      <c r="BO97" s="90"/>
      <c r="BP97" s="90"/>
    </row>
    <row r="98" spans="1:68" ht="9.75" customHeight="1">
      <c r="A98" s="90"/>
      <c r="B98" s="556" t="s">
        <v>432</v>
      </c>
      <c r="C98" s="191" t="s">
        <v>424</v>
      </c>
      <c r="D98" s="557">
        <f>AVERAGE(1.21,1.38)</f>
        <v>1.2949999999999999</v>
      </c>
      <c r="E98" s="530"/>
      <c r="F98" s="530"/>
      <c r="G98" s="530"/>
      <c r="H98" s="530"/>
      <c r="I98" s="530"/>
      <c r="J98" s="530"/>
      <c r="K98" s="530"/>
      <c r="L98" s="530"/>
      <c r="M98" s="530"/>
      <c r="N98" s="53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677" t="str">
        <f>Results!B54</f>
        <v>Moisture in reclaimed asphalt (kg/ton)</v>
      </c>
      <c r="AR98" s="681">
        <f>Results!C54</f>
        <v>35</v>
      </c>
      <c r="AS98" s="679"/>
      <c r="AU98" s="90"/>
      <c r="AV98" s="90"/>
      <c r="AW98" s="90"/>
      <c r="AX98" s="90"/>
      <c r="AY98" s="90"/>
      <c r="AZ98" s="90"/>
      <c r="BA98" s="90"/>
      <c r="BB98" s="90"/>
      <c r="BC98" s="90"/>
      <c r="BD98" s="90"/>
      <c r="BE98" s="90"/>
      <c r="BF98" s="90"/>
      <c r="BG98" s="90"/>
      <c r="BH98" s="90"/>
      <c r="BI98" s="90"/>
      <c r="BJ98" s="90"/>
      <c r="BK98" s="90"/>
      <c r="BL98" s="90"/>
      <c r="BM98" s="90"/>
      <c r="BN98" s="90"/>
      <c r="BO98" s="90"/>
      <c r="BP98" s="90"/>
    </row>
    <row r="99" spans="1:68" ht="9.75" customHeight="1">
      <c r="A99" s="90"/>
      <c r="B99" s="556" t="s">
        <v>433</v>
      </c>
      <c r="C99" s="191" t="s">
        <v>424</v>
      </c>
      <c r="D99" s="557">
        <v>2.2000000000000002</v>
      </c>
      <c r="E99" s="530"/>
      <c r="F99" s="530"/>
      <c r="G99" s="530"/>
      <c r="H99" s="530"/>
      <c r="I99" s="530"/>
      <c r="J99" s="530"/>
      <c r="K99" s="530"/>
      <c r="L99" s="530"/>
      <c r="M99" s="530"/>
      <c r="N99" s="53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677" t="s">
        <v>400</v>
      </c>
      <c r="AR99" s="681">
        <f>VLOOKUP(AR93,$AQ$70:$AS$79,2,FALSE)*(1-AR94)+AR75*AR94</f>
        <v>312.73244417230444</v>
      </c>
      <c r="AS99" s="679"/>
      <c r="AU99" s="90"/>
      <c r="AV99" s="90"/>
      <c r="AW99" s="90"/>
      <c r="AX99" s="90"/>
      <c r="AY99" s="90"/>
      <c r="AZ99" s="90"/>
      <c r="BA99" s="90"/>
      <c r="BB99" s="90"/>
      <c r="BC99" s="90"/>
      <c r="BD99" s="90"/>
      <c r="BE99" s="90"/>
      <c r="BF99" s="90"/>
      <c r="BG99" s="90"/>
      <c r="BH99" s="90"/>
      <c r="BI99" s="90"/>
      <c r="BJ99" s="90"/>
      <c r="BK99" s="90"/>
      <c r="BL99" s="90"/>
      <c r="BM99" s="90"/>
      <c r="BN99" s="90"/>
      <c r="BO99" s="90"/>
      <c r="BP99" s="90"/>
    </row>
    <row r="100" spans="1:68" ht="9.75" customHeight="1">
      <c r="A100" s="90"/>
      <c r="B100" s="556" t="s">
        <v>434</v>
      </c>
      <c r="C100" s="191" t="s">
        <v>424</v>
      </c>
      <c r="D100" s="558">
        <v>2</v>
      </c>
      <c r="E100" s="530"/>
      <c r="F100" s="530"/>
      <c r="G100" s="530"/>
      <c r="H100" s="530"/>
      <c r="I100" s="530"/>
      <c r="J100" s="530"/>
      <c r="K100" s="530"/>
      <c r="L100" s="530"/>
      <c r="M100" s="530"/>
      <c r="N100" s="53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677" t="s">
        <v>401</v>
      </c>
      <c r="AR100" s="681">
        <f>VLOOKUP(AR93,$AQ$70:$AS$74,3,FALSE)*(1-AR94)+AS75*AR94</f>
        <v>19.497101399846731</v>
      </c>
      <c r="AS100" s="676"/>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row>
    <row r="101" spans="1:68" ht="9.75" customHeight="1">
      <c r="A101" s="90"/>
      <c r="B101" s="556" t="s">
        <v>435</v>
      </c>
      <c r="C101" s="191" t="s">
        <v>436</v>
      </c>
      <c r="D101" s="557">
        <v>1.18</v>
      </c>
      <c r="E101" s="530"/>
      <c r="F101" s="530"/>
      <c r="G101" s="530"/>
      <c r="H101" s="530"/>
      <c r="I101" s="530"/>
      <c r="J101" s="530"/>
      <c r="K101" s="530"/>
      <c r="L101" s="530"/>
      <c r="M101" s="530"/>
      <c r="N101" s="53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679"/>
      <c r="AR101" s="679"/>
      <c r="AS101" s="676"/>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row>
    <row r="102" spans="1:68" ht="9.75" customHeight="1">
      <c r="A102" s="90"/>
      <c r="B102" s="556" t="s">
        <v>437</v>
      </c>
      <c r="C102" s="191" t="s">
        <v>436</v>
      </c>
      <c r="D102" s="557">
        <v>1.1399999999999999</v>
      </c>
      <c r="E102" s="530"/>
      <c r="F102" s="530"/>
      <c r="G102" s="530"/>
      <c r="H102" s="530"/>
      <c r="I102" s="530"/>
      <c r="J102" s="530"/>
      <c r="K102" s="530"/>
      <c r="L102" s="530"/>
      <c r="M102" s="530"/>
      <c r="N102" s="53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679"/>
      <c r="AR102" s="679"/>
      <c r="AS102" s="676"/>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row>
    <row r="103" spans="1:68" ht="9.75" customHeight="1">
      <c r="A103" s="90"/>
      <c r="B103" s="556" t="s">
        <v>438</v>
      </c>
      <c r="C103" s="191" t="s">
        <v>439</v>
      </c>
      <c r="D103" s="557">
        <v>7.4999999999999997E-3</v>
      </c>
      <c r="E103" s="530"/>
      <c r="F103" s="530"/>
      <c r="G103" s="530"/>
      <c r="H103" s="530"/>
      <c r="I103" s="530"/>
      <c r="J103" s="530"/>
      <c r="K103" s="530"/>
      <c r="L103" s="530"/>
      <c r="M103" s="530"/>
      <c r="N103" s="53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682"/>
      <c r="AR103" s="682"/>
      <c r="AS103" s="682"/>
      <c r="AT103" s="530"/>
      <c r="AU103" s="530"/>
      <c r="AV103" s="90"/>
      <c r="AW103" s="90"/>
      <c r="AX103" s="90"/>
      <c r="AY103" s="90"/>
      <c r="AZ103" s="90"/>
      <c r="BA103" s="90"/>
      <c r="BB103" s="90"/>
      <c r="BC103" s="90"/>
      <c r="BD103" s="90"/>
      <c r="BE103" s="90"/>
      <c r="BF103" s="90"/>
      <c r="BG103" s="90"/>
      <c r="BH103" s="90"/>
      <c r="BI103" s="90"/>
      <c r="BJ103" s="90"/>
      <c r="BK103" s="90"/>
      <c r="BL103" s="90"/>
      <c r="BM103" s="90"/>
      <c r="BN103" s="90"/>
      <c r="BO103" s="90"/>
      <c r="BP103" s="90"/>
    </row>
    <row r="104" spans="1:68" ht="9.75" customHeight="1">
      <c r="A104" s="90"/>
      <c r="B104" s="556" t="s">
        <v>440</v>
      </c>
      <c r="C104" s="191" t="s">
        <v>441</v>
      </c>
      <c r="D104" s="559">
        <f>2/0.21/34.8</f>
        <v>0.27367268746579093</v>
      </c>
      <c r="E104" s="530"/>
      <c r="F104" s="530"/>
      <c r="G104" s="530"/>
      <c r="H104" s="530"/>
      <c r="I104" s="530"/>
      <c r="J104" s="530"/>
      <c r="K104" s="530"/>
      <c r="L104" s="530"/>
      <c r="M104" s="530"/>
      <c r="N104" s="53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682"/>
      <c r="AR104" s="682"/>
      <c r="AS104" s="682"/>
      <c r="AT104" s="530"/>
      <c r="AU104" s="530"/>
      <c r="AV104" s="90"/>
      <c r="AW104" s="90"/>
      <c r="AX104" s="90"/>
      <c r="AY104" s="90"/>
      <c r="AZ104" s="90"/>
      <c r="BA104" s="90"/>
      <c r="BB104" s="90"/>
      <c r="BC104" s="90"/>
      <c r="BD104" s="90"/>
      <c r="BE104" s="90"/>
      <c r="BF104" s="90"/>
      <c r="BG104" s="90"/>
      <c r="BH104" s="90"/>
      <c r="BI104" s="90"/>
      <c r="BJ104" s="90"/>
      <c r="BK104" s="90"/>
      <c r="BL104" s="90"/>
      <c r="BM104" s="90"/>
      <c r="BN104" s="90"/>
      <c r="BO104" s="90"/>
      <c r="BP104" s="90"/>
    </row>
    <row r="105" spans="1:68" ht="9.75" customHeight="1">
      <c r="A105" s="90"/>
      <c r="B105" s="556" t="s">
        <v>442</v>
      </c>
      <c r="C105" s="191" t="s">
        <v>443</v>
      </c>
      <c r="D105" s="559">
        <f>Energiedragers!D3</f>
        <v>1</v>
      </c>
      <c r="E105" s="530"/>
      <c r="F105" s="530"/>
      <c r="G105" s="530"/>
      <c r="H105" s="530"/>
      <c r="I105" s="530"/>
      <c r="J105" s="530"/>
      <c r="K105" s="530"/>
      <c r="L105" s="530"/>
      <c r="M105" s="530"/>
      <c r="N105" s="53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682"/>
      <c r="AR105" s="682"/>
      <c r="AS105" s="682"/>
      <c r="AT105" s="530"/>
      <c r="AU105" s="530"/>
      <c r="AV105" s="90"/>
      <c r="AW105" s="90"/>
      <c r="AX105" s="90"/>
      <c r="AY105" s="90"/>
      <c r="AZ105" s="90"/>
      <c r="BA105" s="90"/>
      <c r="BB105" s="90"/>
      <c r="BC105" s="90"/>
      <c r="BD105" s="90"/>
      <c r="BE105" s="90"/>
      <c r="BF105" s="90"/>
      <c r="BG105" s="90"/>
      <c r="BH105" s="90"/>
      <c r="BI105" s="90"/>
      <c r="BJ105" s="90"/>
      <c r="BK105" s="90"/>
      <c r="BL105" s="90"/>
      <c r="BM105" s="90"/>
      <c r="BN105" s="90"/>
      <c r="BO105" s="90"/>
      <c r="BP105" s="90"/>
    </row>
    <row r="106" spans="1:68" ht="9.75" customHeight="1">
      <c r="A106" s="90"/>
      <c r="B106" s="556" t="s">
        <v>444</v>
      </c>
      <c r="C106" s="191" t="s">
        <v>445</v>
      </c>
      <c r="D106" s="560">
        <f>Energiedragers!D50</f>
        <v>40.18</v>
      </c>
      <c r="E106" s="530"/>
      <c r="F106" s="530"/>
      <c r="G106" s="530"/>
      <c r="H106" s="530"/>
      <c r="I106" s="530"/>
      <c r="J106" s="530"/>
      <c r="K106" s="530"/>
      <c r="L106" s="530"/>
      <c r="M106" s="530"/>
      <c r="N106" s="53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530"/>
      <c r="AR106" s="530"/>
      <c r="AS106" s="530"/>
      <c r="AT106" s="530"/>
      <c r="AU106" s="530"/>
      <c r="AV106" s="90"/>
      <c r="AW106" s="90"/>
      <c r="AX106" s="90"/>
      <c r="AY106" s="90"/>
      <c r="AZ106" s="90"/>
      <c r="BA106" s="90"/>
      <c r="BB106" s="90"/>
      <c r="BC106" s="90"/>
      <c r="BD106" s="90"/>
      <c r="BE106" s="90"/>
      <c r="BF106" s="90"/>
      <c r="BG106" s="90"/>
      <c r="BH106" s="90"/>
      <c r="BI106" s="90"/>
      <c r="BJ106" s="90"/>
      <c r="BK106" s="90"/>
      <c r="BL106" s="90"/>
      <c r="BM106" s="90"/>
      <c r="BN106" s="90"/>
      <c r="BO106" s="90"/>
      <c r="BP106" s="90"/>
    </row>
    <row r="107" spans="1:68" ht="9.75" customHeight="1">
      <c r="A107" s="90"/>
      <c r="B107" s="556" t="s">
        <v>446</v>
      </c>
      <c r="C107" s="191" t="s">
        <v>447</v>
      </c>
      <c r="D107" s="557">
        <f>3600/1000</f>
        <v>3.6</v>
      </c>
      <c r="E107" s="530"/>
      <c r="F107" s="530"/>
      <c r="G107" s="530"/>
      <c r="H107" s="530"/>
      <c r="I107" s="530"/>
      <c r="J107" s="530"/>
      <c r="K107" s="530"/>
      <c r="L107" s="530"/>
      <c r="M107" s="530"/>
      <c r="N107" s="53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530"/>
      <c r="AR107" s="530"/>
      <c r="AS107" s="530"/>
      <c r="AT107" s="530"/>
      <c r="AU107" s="530"/>
      <c r="AV107" s="90"/>
      <c r="AW107" s="90"/>
      <c r="AX107" s="90"/>
      <c r="AY107" s="90"/>
      <c r="AZ107" s="90"/>
      <c r="BA107" s="90"/>
      <c r="BB107" s="90"/>
      <c r="BC107" s="90"/>
      <c r="BD107" s="90"/>
      <c r="BE107" s="90"/>
      <c r="BF107" s="90"/>
      <c r="BG107" s="90"/>
      <c r="BH107" s="90"/>
      <c r="BI107" s="90"/>
      <c r="BJ107" s="90"/>
      <c r="BK107" s="90"/>
      <c r="BL107" s="90"/>
      <c r="BM107" s="90"/>
      <c r="BN107" s="90"/>
      <c r="BO107" s="90"/>
      <c r="BP107" s="90"/>
    </row>
    <row r="108" spans="1:68" ht="9.75" customHeight="1">
      <c r="A108" s="90"/>
      <c r="B108" s="556" t="s">
        <v>448</v>
      </c>
      <c r="C108" s="191" t="s">
        <v>449</v>
      </c>
      <c r="D108" s="557">
        <v>1.78</v>
      </c>
      <c r="E108" s="530"/>
      <c r="F108" s="530"/>
      <c r="G108" s="530"/>
      <c r="H108" s="530"/>
      <c r="I108" s="530"/>
      <c r="J108" s="530"/>
      <c r="K108" s="530"/>
      <c r="L108" s="530"/>
      <c r="M108" s="530"/>
      <c r="N108" s="53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530"/>
      <c r="AR108" s="530"/>
      <c r="AS108" s="530"/>
      <c r="AT108" s="530"/>
      <c r="AU108" s="530"/>
      <c r="AV108" s="90"/>
      <c r="AW108" s="90"/>
      <c r="AX108" s="90"/>
      <c r="AY108" s="90"/>
      <c r="AZ108" s="90"/>
      <c r="BA108" s="90"/>
      <c r="BB108" s="90"/>
      <c r="BC108" s="90"/>
      <c r="BD108" s="90"/>
      <c r="BE108" s="90"/>
      <c r="BF108" s="90"/>
      <c r="BG108" s="90"/>
      <c r="BH108" s="90"/>
      <c r="BI108" s="90"/>
      <c r="BJ108" s="90"/>
      <c r="BK108" s="90"/>
      <c r="BL108" s="90"/>
      <c r="BM108" s="90"/>
      <c r="BN108" s="90"/>
      <c r="BO108" s="90"/>
      <c r="BP108" s="90"/>
    </row>
    <row r="109" spans="1:68" ht="9.75" customHeight="1">
      <c r="A109" s="90"/>
      <c r="B109" s="556" t="s">
        <v>450</v>
      </c>
      <c r="C109" s="191" t="s">
        <v>451</v>
      </c>
      <c r="D109" s="557">
        <v>0.56599999999999995</v>
      </c>
      <c r="E109" s="530"/>
      <c r="F109" s="530"/>
      <c r="G109" s="530"/>
      <c r="H109" s="530"/>
      <c r="I109" s="530"/>
      <c r="J109" s="530"/>
      <c r="K109" s="530"/>
      <c r="L109" s="530"/>
      <c r="M109" s="530"/>
      <c r="N109" s="53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530"/>
      <c r="AR109" s="530"/>
      <c r="AS109" s="530"/>
      <c r="AT109" s="530"/>
      <c r="AU109" s="530"/>
      <c r="AV109" s="90"/>
      <c r="AW109" s="90"/>
      <c r="AX109" s="90"/>
      <c r="AY109" s="90"/>
      <c r="AZ109" s="90"/>
      <c r="BA109" s="90"/>
      <c r="BB109" s="90"/>
      <c r="BC109" s="90"/>
      <c r="BD109" s="90"/>
      <c r="BE109" s="90"/>
      <c r="BF109" s="90"/>
      <c r="BG109" s="90"/>
      <c r="BH109" s="90"/>
      <c r="BI109" s="90"/>
      <c r="BJ109" s="90"/>
      <c r="BK109" s="90"/>
      <c r="BL109" s="90"/>
      <c r="BM109" s="90"/>
      <c r="BN109" s="90"/>
      <c r="BO109" s="90"/>
      <c r="BP109" s="90"/>
    </row>
    <row r="110" spans="1:68" ht="9.75" customHeight="1">
      <c r="A110" s="90"/>
      <c r="B110" s="556" t="s">
        <v>452</v>
      </c>
      <c r="C110" s="191" t="s">
        <v>383</v>
      </c>
      <c r="D110" s="557">
        <v>100</v>
      </c>
      <c r="E110" s="530"/>
      <c r="F110" s="530"/>
      <c r="G110" s="530"/>
      <c r="H110" s="530"/>
      <c r="I110" s="530"/>
      <c r="J110" s="530"/>
      <c r="K110" s="530"/>
      <c r="L110" s="530"/>
      <c r="M110" s="530"/>
      <c r="N110" s="53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530"/>
      <c r="AR110" s="530"/>
      <c r="AS110" s="530"/>
      <c r="AT110" s="530"/>
      <c r="AU110" s="530"/>
      <c r="AV110" s="90"/>
      <c r="AW110" s="90"/>
      <c r="AX110" s="90"/>
      <c r="AY110" s="90"/>
      <c r="AZ110" s="90"/>
      <c r="BA110" s="90"/>
      <c r="BB110" s="90"/>
      <c r="BC110" s="90"/>
      <c r="BD110" s="90"/>
      <c r="BE110" s="90"/>
      <c r="BF110" s="90"/>
      <c r="BG110" s="90"/>
      <c r="BH110" s="90"/>
      <c r="BI110" s="90"/>
      <c r="BJ110" s="90"/>
      <c r="BK110" s="90"/>
      <c r="BL110" s="90"/>
      <c r="BM110" s="90"/>
      <c r="BN110" s="90"/>
      <c r="BO110" s="90"/>
      <c r="BP110" s="90"/>
    </row>
    <row r="111" spans="1:68" ht="9.75" customHeight="1">
      <c r="A111" s="90"/>
      <c r="B111" s="556" t="s">
        <v>453</v>
      </c>
      <c r="C111" s="191" t="s">
        <v>381</v>
      </c>
      <c r="D111" s="561">
        <v>0.21</v>
      </c>
      <c r="E111" s="530"/>
      <c r="F111" s="530"/>
      <c r="G111" s="530"/>
      <c r="H111" s="530"/>
      <c r="I111" s="530"/>
      <c r="J111" s="530"/>
      <c r="K111" s="530"/>
      <c r="L111" s="530"/>
      <c r="M111" s="530"/>
      <c r="N111" s="53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530"/>
      <c r="AR111" s="530"/>
      <c r="AS111" s="530"/>
      <c r="AT111" s="530"/>
      <c r="AU111" s="530"/>
      <c r="AV111" s="90"/>
      <c r="AW111" s="90"/>
      <c r="AX111" s="90"/>
      <c r="AY111" s="90"/>
      <c r="AZ111" s="90"/>
      <c r="BA111" s="90"/>
      <c r="BB111" s="90"/>
      <c r="BC111" s="90"/>
      <c r="BD111" s="90"/>
      <c r="BE111" s="90"/>
      <c r="BF111" s="90"/>
      <c r="BG111" s="90"/>
      <c r="BH111" s="90"/>
      <c r="BI111" s="90"/>
      <c r="BJ111" s="90"/>
      <c r="BK111" s="90"/>
      <c r="BL111" s="90"/>
      <c r="BM111" s="90"/>
      <c r="BN111" s="90"/>
      <c r="BO111" s="90"/>
      <c r="BP111" s="90"/>
    </row>
    <row r="112" spans="1:68" ht="9.75" customHeight="1">
      <c r="A112" s="90"/>
      <c r="B112" s="556" t="s">
        <v>454</v>
      </c>
      <c r="C112" s="191" t="s">
        <v>455</v>
      </c>
      <c r="D112" s="557">
        <f>IF(Projectinformatie!C67="Drummixer",2000,4000)</f>
        <v>4000</v>
      </c>
      <c r="E112" s="530"/>
      <c r="F112" s="530"/>
      <c r="G112" s="530"/>
      <c r="H112" s="530"/>
      <c r="I112" s="530"/>
      <c r="J112" s="530"/>
      <c r="K112" s="530"/>
      <c r="L112" s="530"/>
      <c r="M112" s="530"/>
      <c r="N112" s="53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530"/>
      <c r="AR112" s="530"/>
      <c r="AS112" s="530"/>
      <c r="AT112" s="530"/>
      <c r="AU112" s="530"/>
      <c r="AV112" s="90"/>
      <c r="AW112" s="90"/>
      <c r="AX112" s="90"/>
      <c r="AY112" s="90"/>
      <c r="AZ112" s="90"/>
      <c r="BA112" s="90"/>
      <c r="BB112" s="90"/>
      <c r="BC112" s="90"/>
      <c r="BD112" s="90"/>
      <c r="BE112" s="90"/>
      <c r="BF112" s="90"/>
      <c r="BG112" s="90"/>
      <c r="BH112" s="90"/>
      <c r="BI112" s="90"/>
      <c r="BJ112" s="90"/>
      <c r="BK112" s="90"/>
      <c r="BL112" s="90"/>
      <c r="BM112" s="90"/>
      <c r="BN112" s="90"/>
      <c r="BO112" s="90"/>
      <c r="BP112" s="90"/>
    </row>
    <row r="113" spans="1:68" ht="9.75" customHeight="1">
      <c r="A113" s="90"/>
      <c r="B113" s="556" t="s">
        <v>287</v>
      </c>
      <c r="C113" s="191" t="s">
        <v>288</v>
      </c>
      <c r="D113" s="562">
        <f>Projectinformatie!C122</f>
        <v>1500</v>
      </c>
      <c r="E113" s="530"/>
      <c r="F113" s="530"/>
      <c r="G113" s="530"/>
      <c r="H113" s="530"/>
      <c r="I113" s="530"/>
      <c r="J113" s="530"/>
      <c r="K113" s="530"/>
      <c r="L113" s="530"/>
      <c r="M113" s="530"/>
      <c r="N113" s="53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530"/>
      <c r="AR113" s="530"/>
      <c r="AS113" s="530"/>
      <c r="AT113" s="530"/>
      <c r="AU113" s="530"/>
      <c r="AV113" s="90"/>
      <c r="AW113" s="90"/>
      <c r="AX113" s="90"/>
      <c r="AY113" s="90"/>
      <c r="AZ113" s="90"/>
      <c r="BA113" s="90"/>
      <c r="BB113" s="90"/>
      <c r="BC113" s="90"/>
      <c r="BD113" s="90"/>
      <c r="BE113" s="90"/>
      <c r="BF113" s="90"/>
      <c r="BG113" s="90"/>
      <c r="BH113" s="90"/>
      <c r="BI113" s="90"/>
      <c r="BJ113" s="90"/>
      <c r="BK113" s="90"/>
      <c r="BL113" s="90"/>
      <c r="BM113" s="90"/>
      <c r="BN113" s="90"/>
      <c r="BO113" s="90"/>
      <c r="BP113" s="90"/>
    </row>
    <row r="114" spans="1:68" ht="9.75" customHeight="1">
      <c r="A114" s="90"/>
      <c r="B114" s="556" t="s">
        <v>456</v>
      </c>
      <c r="C114" s="191" t="s">
        <v>381</v>
      </c>
      <c r="D114" s="557">
        <v>0.4</v>
      </c>
      <c r="E114" s="530"/>
      <c r="F114" s="530"/>
      <c r="G114" s="530"/>
      <c r="H114" s="530"/>
      <c r="I114" s="530"/>
      <c r="J114" s="530"/>
      <c r="K114" s="530"/>
      <c r="L114" s="530"/>
      <c r="M114" s="530"/>
      <c r="N114" s="53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530"/>
      <c r="AR114" s="530"/>
      <c r="AS114" s="530"/>
      <c r="AT114" s="530"/>
      <c r="AU114" s="530"/>
      <c r="AV114" s="90"/>
      <c r="AW114" s="90"/>
      <c r="AX114" s="90"/>
      <c r="AY114" s="90"/>
      <c r="AZ114" s="90"/>
      <c r="BA114" s="90"/>
      <c r="BB114" s="90"/>
      <c r="BC114" s="90"/>
      <c r="BD114" s="90"/>
      <c r="BE114" s="90"/>
      <c r="BF114" s="90"/>
      <c r="BG114" s="90"/>
      <c r="BH114" s="90"/>
      <c r="BI114" s="90"/>
      <c r="BJ114" s="90"/>
      <c r="BK114" s="90"/>
      <c r="BL114" s="90"/>
      <c r="BM114" s="90"/>
      <c r="BN114" s="90"/>
      <c r="BO114" s="90"/>
      <c r="BP114" s="90"/>
    </row>
    <row r="115" spans="1:68" ht="9.75" customHeight="1" thickBot="1">
      <c r="A115" s="90"/>
      <c r="B115" s="563"/>
      <c r="C115" s="564"/>
      <c r="D115" s="565"/>
      <c r="E115" s="530"/>
      <c r="F115" s="530"/>
      <c r="G115" s="530"/>
      <c r="H115" s="530"/>
      <c r="I115" s="554"/>
      <c r="J115" s="554"/>
      <c r="K115" s="554"/>
      <c r="L115" s="554"/>
      <c r="M115" s="554"/>
      <c r="N115" s="53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530"/>
      <c r="AR115" s="530"/>
      <c r="AS115" s="530"/>
      <c r="AT115" s="530"/>
      <c r="AU115" s="530"/>
      <c r="AV115" s="90"/>
      <c r="AW115" s="90"/>
      <c r="AX115" s="90"/>
      <c r="AY115" s="90"/>
      <c r="AZ115" s="90"/>
      <c r="BA115" s="90"/>
      <c r="BB115" s="90"/>
      <c r="BC115" s="90"/>
      <c r="BD115" s="90"/>
      <c r="BE115" s="90"/>
      <c r="BF115" s="90"/>
      <c r="BG115" s="90"/>
      <c r="BH115" s="90"/>
      <c r="BI115" s="90"/>
      <c r="BJ115" s="90"/>
      <c r="BK115" s="90"/>
      <c r="BL115" s="90"/>
      <c r="BM115" s="90"/>
      <c r="BN115" s="90"/>
      <c r="BO115" s="90"/>
      <c r="BP115" s="90"/>
    </row>
    <row r="116" spans="1:68" ht="9.75" customHeight="1">
      <c r="A116" s="90"/>
      <c r="B116" s="90"/>
      <c r="C116" s="90"/>
      <c r="D116" s="90"/>
      <c r="E116" s="90"/>
      <c r="F116" s="90"/>
      <c r="G116" s="90"/>
      <c r="H116" s="90"/>
      <c r="I116" s="173"/>
      <c r="J116" s="173"/>
      <c r="K116" s="173"/>
      <c r="L116" s="173"/>
      <c r="M116" s="173"/>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530"/>
      <c r="AR116" s="530"/>
      <c r="AS116" s="530"/>
      <c r="AT116" s="530"/>
      <c r="AU116" s="530"/>
      <c r="AV116" s="90"/>
      <c r="AW116" s="90"/>
      <c r="AX116" s="90"/>
      <c r="AY116" s="90"/>
      <c r="AZ116" s="90"/>
      <c r="BA116" s="90"/>
      <c r="BB116" s="90"/>
      <c r="BC116" s="90"/>
      <c r="BD116" s="90"/>
      <c r="BE116" s="90"/>
      <c r="BF116" s="90"/>
      <c r="BG116" s="90"/>
      <c r="BH116" s="90"/>
      <c r="BI116" s="90"/>
      <c r="BJ116" s="90"/>
      <c r="BK116" s="90"/>
      <c r="BL116" s="90"/>
      <c r="BM116" s="90"/>
      <c r="BN116" s="90"/>
      <c r="BO116" s="90"/>
      <c r="BP116" s="90"/>
    </row>
    <row r="117" spans="1:68" ht="9.75" customHeight="1">
      <c r="A117" s="90"/>
      <c r="B117" s="90"/>
      <c r="C117" s="90"/>
      <c r="D117" s="90"/>
      <c r="E117" s="90"/>
      <c r="F117" s="90"/>
      <c r="G117" s="90"/>
      <c r="H117" s="90"/>
      <c r="I117" s="173"/>
      <c r="J117" s="173"/>
      <c r="K117" s="173"/>
      <c r="L117" s="173"/>
      <c r="M117" s="173"/>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row>
    <row r="118" spans="1:68" ht="9.75" customHeight="1">
      <c r="A118" s="90"/>
      <c r="B118" s="90"/>
      <c r="C118" s="90"/>
      <c r="D118" s="90"/>
      <c r="E118" s="90"/>
      <c r="F118" s="90"/>
      <c r="G118" s="90"/>
      <c r="H118" s="90"/>
      <c r="I118" s="173"/>
      <c r="J118" s="173"/>
      <c r="K118" s="173"/>
      <c r="L118" s="173"/>
      <c r="M118" s="173"/>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row>
    <row r="119" spans="1:68" ht="9.75" customHeight="1">
      <c r="A119" s="90"/>
      <c r="B119" s="90"/>
      <c r="C119" s="90"/>
      <c r="D119" s="90"/>
      <c r="E119" s="90"/>
      <c r="F119" s="90"/>
      <c r="G119" s="90"/>
      <c r="H119" s="90"/>
      <c r="I119" s="173"/>
      <c r="J119" s="173"/>
      <c r="K119" s="173"/>
      <c r="L119" s="173"/>
      <c r="M119" s="173"/>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row>
    <row r="120" spans="1:68" ht="9.7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row>
    <row r="121" spans="1:68" ht="9.75" customHeight="1">
      <c r="A121" s="90"/>
      <c r="B121" s="90"/>
      <c r="C121" s="90"/>
      <c r="D121" s="90"/>
      <c r="E121" s="90"/>
      <c r="F121" s="90"/>
      <c r="G121" s="90"/>
      <c r="H121" s="90"/>
      <c r="I121" s="173"/>
      <c r="J121" s="173"/>
      <c r="K121" s="173"/>
      <c r="L121" s="173"/>
      <c r="M121" s="173"/>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row>
    <row r="122" spans="1:68" ht="9.75" customHeight="1">
      <c r="A122" s="90"/>
      <c r="B122" s="90"/>
      <c r="C122" s="90"/>
      <c r="D122" s="90"/>
      <c r="E122" s="90"/>
      <c r="F122" s="90"/>
      <c r="G122" s="90"/>
      <c r="H122" s="289"/>
      <c r="I122" s="289"/>
      <c r="J122" s="289"/>
      <c r="K122" s="289"/>
      <c r="L122" s="289"/>
      <c r="M122" s="289"/>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row>
    <row r="123" spans="1:68" ht="9.75" customHeight="1">
      <c r="A123" s="90"/>
      <c r="B123" s="90"/>
      <c r="C123" s="90"/>
      <c r="D123" s="90"/>
      <c r="E123" s="90"/>
      <c r="F123" s="90"/>
      <c r="G123" s="90"/>
      <c r="H123" s="90"/>
      <c r="I123" s="173"/>
      <c r="J123" s="173"/>
      <c r="K123" s="173"/>
      <c r="L123" s="173"/>
      <c r="M123" s="173"/>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row>
    <row r="124" spans="1:68" ht="9.75" customHeight="1">
      <c r="A124" s="90"/>
      <c r="B124" s="34"/>
      <c r="C124" s="34"/>
      <c r="D124" s="289"/>
      <c r="E124" s="289"/>
      <c r="F124" s="289"/>
      <c r="G124" s="289"/>
      <c r="H124" s="289"/>
      <c r="I124" s="289"/>
      <c r="J124" s="289"/>
      <c r="K124" s="289"/>
      <c r="L124" s="289"/>
      <c r="M124" s="289"/>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row>
    <row r="125" spans="1:68" ht="9.7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row>
    <row r="126" spans="1:68" ht="9.7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row>
    <row r="127" spans="1:68" ht="9.7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row>
    <row r="128" spans="1:68" ht="9.7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row>
    <row r="129" spans="1:68" ht="9.7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row>
    <row r="130" spans="1:68" ht="9.7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row>
    <row r="131" spans="1:68" ht="9.7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row>
    <row r="132" spans="1:68" ht="9.7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row>
    <row r="133" spans="1:68" ht="9.75" customHeight="1">
      <c r="A133" s="90"/>
      <c r="B133" s="34"/>
      <c r="C133" s="34"/>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row>
    <row r="134" spans="1:68" ht="9.7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row>
    <row r="135" spans="1:68" ht="9.7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row>
    <row r="136" spans="1:68" ht="9.75" customHeight="1">
      <c r="A136" s="90"/>
      <c r="B136" s="90"/>
      <c r="C136" s="90"/>
      <c r="D136" s="90"/>
      <c r="E136" s="34"/>
      <c r="F136" s="34"/>
      <c r="G136" s="34"/>
      <c r="H136" s="34"/>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row>
    <row r="137" spans="1:68" ht="9.7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row>
    <row r="138" spans="1:68" ht="9.7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row>
    <row r="139" spans="1:68" ht="9.7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row>
    <row r="140" spans="1:68" ht="9.7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row>
    <row r="141" spans="1:68" ht="9.7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row>
    <row r="142" spans="1:68" ht="9.7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row>
    <row r="143" spans="1:68" ht="9.7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row>
    <row r="144" spans="1:68" ht="9.7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row>
    <row r="145" spans="1:68" ht="9.7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row>
    <row r="146" spans="1:68" ht="9.75" customHeight="1">
      <c r="A146" s="90"/>
      <c r="B146" s="34"/>
      <c r="C146" s="34"/>
      <c r="D146" s="289"/>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row>
    <row r="147" spans="1:68" ht="9.7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row>
    <row r="148" spans="1:68" ht="9.7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row>
    <row r="149" spans="1:68" ht="9.7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row>
    <row r="150" spans="1:68" ht="9.7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row>
    <row r="151" spans="1:68" ht="9.7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row>
    <row r="152" spans="1:68" ht="9.7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row>
    <row r="153" spans="1:68" ht="9.7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row>
    <row r="154" spans="1:68" ht="9.7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row>
    <row r="155" spans="1:68" ht="9.7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row>
    <row r="156" spans="1:68" ht="9.7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row>
    <row r="157" spans="1:68" ht="9.7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row>
    <row r="158" spans="1:68" ht="9.7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row>
    <row r="159" spans="1:68" ht="9.7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row>
    <row r="160" spans="1:68" ht="9.7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row>
    <row r="161" spans="1:68" ht="9.7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row>
    <row r="162" spans="1:68" ht="9.7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row>
    <row r="163" spans="1:68" ht="9.7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row>
    <row r="164" spans="1:68" ht="9.7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row>
    <row r="165" spans="1:68" ht="9.7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row>
    <row r="166" spans="1:68" ht="9.7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row>
    <row r="167" spans="1:68" ht="9.7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row>
    <row r="168" spans="1:68" ht="9.7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row>
    <row r="169" spans="1:68" ht="9.7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row>
    <row r="170" spans="1:68" ht="9.7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row>
    <row r="171" spans="1:68" ht="9.7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row>
    <row r="172" spans="1:68" ht="9.7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row>
    <row r="173" spans="1:68" ht="9.7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row>
    <row r="174" spans="1:68" ht="9.7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row>
    <row r="175" spans="1:68" ht="9.7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row>
    <row r="176" spans="1:68" ht="9.7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row>
    <row r="177" spans="1:68" ht="9.7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row>
    <row r="178" spans="1:68" ht="9.7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row>
    <row r="179" spans="1:68" ht="9.7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row>
    <row r="180" spans="1:68" ht="9.7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row>
    <row r="181" spans="1:68" ht="9.7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row>
    <row r="182" spans="1:68" ht="9.7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c r="BP182" s="90"/>
    </row>
    <row r="183" spans="1:68" ht="9.7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row>
    <row r="184" spans="1:68" ht="9.7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90"/>
      <c r="BN184" s="90"/>
      <c r="BO184" s="90"/>
      <c r="BP184" s="90"/>
    </row>
    <row r="185" spans="1:68" ht="9.7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row>
    <row r="186" spans="1:68" ht="9.7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row>
    <row r="187" spans="1:68" ht="9.7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row>
    <row r="188" spans="1:68" ht="9.7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row>
    <row r="189" spans="1:68" ht="9.7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row>
    <row r="190" spans="1:68" ht="9.7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row>
    <row r="191" spans="1:68" ht="9.7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row>
    <row r="192" spans="1:68" ht="9.7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row>
    <row r="193" spans="1:68" ht="9.7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row>
    <row r="194" spans="1:68" ht="9.7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row>
    <row r="195" spans="1:68" ht="9.7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row>
    <row r="196" spans="1:68" ht="9.7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c r="BF196" s="90"/>
      <c r="BG196" s="90"/>
      <c r="BH196" s="90"/>
      <c r="BI196" s="90"/>
      <c r="BJ196" s="90"/>
      <c r="BK196" s="90"/>
      <c r="BL196" s="90"/>
      <c r="BM196" s="90"/>
      <c r="BN196" s="90"/>
      <c r="BO196" s="90"/>
      <c r="BP196" s="90"/>
    </row>
    <row r="197" spans="1:68" ht="9.7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row>
    <row r="198" spans="1:68" ht="9.7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row>
    <row r="199" spans="1:68" ht="9.7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row>
    <row r="200" spans="1:68" ht="9.7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c r="BM200" s="90"/>
      <c r="BN200" s="90"/>
      <c r="BO200" s="90"/>
      <c r="BP200" s="90"/>
    </row>
    <row r="201" spans="1:68" ht="9.7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row>
    <row r="202" spans="1:68" ht="9.7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row>
    <row r="203" spans="1:68" ht="9.7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row>
    <row r="204" spans="1:68" ht="9.7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row>
    <row r="205" spans="1:68" ht="9.7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row>
    <row r="206" spans="1:68" ht="9.7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row>
    <row r="207" spans="1:68" ht="9.7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row>
    <row r="208" spans="1:68" ht="9.7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row>
    <row r="209" spans="1:68" ht="9.7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row>
    <row r="210" spans="1:68" ht="9.7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row>
    <row r="211" spans="1:68" ht="9.7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row>
    <row r="212" spans="1:68" ht="9.7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row>
    <row r="213" spans="1:68" ht="9.7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row>
    <row r="214" spans="1:68" ht="9.7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row>
    <row r="215" spans="1:68" ht="9.7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row>
    <row r="216" spans="1:68" ht="9.7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row>
    <row r="217" spans="1:68" ht="9.7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row>
    <row r="218" spans="1:68" ht="9.7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row>
    <row r="219" spans="1:68" ht="9.7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row>
    <row r="220" spans="1:68" ht="9.7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row>
    <row r="221" spans="1:68" ht="9.7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row>
    <row r="222" spans="1:68" ht="9.7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c r="BM222" s="90"/>
      <c r="BN222" s="90"/>
      <c r="BO222" s="90"/>
      <c r="BP222" s="90"/>
    </row>
    <row r="223" spans="1:68" ht="9.7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row>
    <row r="224" spans="1:68" ht="9.7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row>
    <row r="225" spans="1:68" ht="9.7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row>
    <row r="226" spans="1:68" ht="9.7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0"/>
      <c r="BL226" s="90"/>
      <c r="BM226" s="90"/>
      <c r="BN226" s="90"/>
      <c r="BO226" s="90"/>
      <c r="BP226" s="90"/>
    </row>
    <row r="227" spans="1:68" ht="9.7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row>
    <row r="228" spans="1:68" ht="9.7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row>
    <row r="229" spans="1:68" ht="9.7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row>
    <row r="230" spans="1:68" ht="9.7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c r="BM230" s="90"/>
      <c r="BN230" s="90"/>
      <c r="BO230" s="90"/>
      <c r="BP230" s="90"/>
    </row>
    <row r="231" spans="1:68" ht="9.7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c r="BM231" s="90"/>
      <c r="BN231" s="90"/>
      <c r="BO231" s="90"/>
      <c r="BP231" s="90"/>
    </row>
    <row r="232" spans="1:68" ht="9.7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row>
    <row r="233" spans="1:68" ht="9.7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c r="BM233" s="90"/>
      <c r="BN233" s="90"/>
      <c r="BO233" s="90"/>
      <c r="BP233" s="90"/>
    </row>
    <row r="234" spans="1:68" ht="9.7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c r="BM234" s="90"/>
      <c r="BN234" s="90"/>
      <c r="BO234" s="90"/>
      <c r="BP234" s="90"/>
    </row>
    <row r="235" spans="1:68" ht="9.7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c r="BM235" s="90"/>
      <c r="BN235" s="90"/>
      <c r="BO235" s="90"/>
      <c r="BP235" s="90"/>
    </row>
    <row r="236" spans="1:68" ht="9.7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c r="BM236" s="90"/>
      <c r="BN236" s="90"/>
      <c r="BO236" s="90"/>
      <c r="BP236" s="90"/>
    </row>
    <row r="237" spans="1:68" ht="9.7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c r="BM237" s="90"/>
      <c r="BN237" s="90"/>
      <c r="BO237" s="90"/>
      <c r="BP237" s="90"/>
    </row>
    <row r="238" spans="1:68" ht="9.7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c r="BF238" s="90"/>
      <c r="BG238" s="90"/>
      <c r="BH238" s="90"/>
      <c r="BI238" s="90"/>
      <c r="BJ238" s="90"/>
      <c r="BK238" s="90"/>
      <c r="BL238" s="90"/>
      <c r="BM238" s="90"/>
      <c r="BN238" s="90"/>
      <c r="BO238" s="90"/>
      <c r="BP238" s="90"/>
    </row>
    <row r="239" spans="1:68" ht="9.7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row>
    <row r="240" spans="1:68" ht="9.7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c r="BK240" s="90"/>
      <c r="BL240" s="90"/>
      <c r="BM240" s="90"/>
      <c r="BN240" s="90"/>
      <c r="BO240" s="90"/>
      <c r="BP240" s="90"/>
    </row>
    <row r="241" spans="1:68" ht="9.7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row>
    <row r="242" spans="1:68" ht="9.7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row>
    <row r="243" spans="1:68" ht="9.7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row>
    <row r="244" spans="1:68" ht="9.7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row>
    <row r="245" spans="1:68" ht="9.7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row>
    <row r="246" spans="1:68" ht="9.7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row>
    <row r="247" spans="1:68" ht="9.7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row>
    <row r="248" spans="1:68" ht="9.7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row>
    <row r="249" spans="1:68" ht="9.7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row>
    <row r="250" spans="1:68" ht="9.7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row>
    <row r="251" spans="1:68" ht="9.7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row>
    <row r="252" spans="1:68" ht="9.7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row>
    <row r="253" spans="1:68" ht="9.7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row>
    <row r="254" spans="1:68" ht="9.7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c r="BK254" s="90"/>
      <c r="BL254" s="90"/>
      <c r="BM254" s="90"/>
      <c r="BN254" s="90"/>
      <c r="BO254" s="90"/>
      <c r="BP254" s="90"/>
    </row>
    <row r="255" spans="1:68" ht="9.7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row>
    <row r="256" spans="1:68" ht="9.7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c r="BM256" s="90"/>
      <c r="BN256" s="90"/>
      <c r="BO256" s="90"/>
      <c r="BP256" s="90"/>
    </row>
    <row r="257" spans="1:68" ht="9.7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row>
    <row r="258" spans="1:68" ht="9.7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row>
    <row r="259" spans="1:68" ht="9.7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row>
    <row r="260" spans="1:68" ht="9.7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row>
    <row r="261" spans="1:68" ht="9.7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row>
    <row r="262" spans="1:68" ht="9.7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row>
    <row r="263" spans="1:68" ht="9.7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c r="BL263" s="90"/>
      <c r="BM263" s="90"/>
      <c r="BN263" s="90"/>
      <c r="BO263" s="90"/>
      <c r="BP263" s="90"/>
    </row>
    <row r="264" spans="1:68" ht="9.7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row>
    <row r="265" spans="1:68" ht="9.7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c r="BM265" s="90"/>
      <c r="BN265" s="90"/>
      <c r="BO265" s="90"/>
      <c r="BP265" s="90"/>
    </row>
    <row r="266" spans="1:68" ht="9.7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row>
    <row r="267" spans="1:68" ht="9.7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row>
    <row r="268" spans="1:68" ht="9.7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row>
    <row r="269" spans="1:68" ht="9.7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row>
    <row r="270" spans="1:68" ht="9.7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row>
    <row r="271" spans="1:68" ht="9.7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row>
    <row r="272" spans="1:68" ht="9.7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row>
    <row r="273" spans="1:68" ht="9.7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c r="BK273" s="90"/>
      <c r="BL273" s="90"/>
      <c r="BM273" s="90"/>
      <c r="BN273" s="90"/>
      <c r="BO273" s="90"/>
      <c r="BP273" s="90"/>
    </row>
    <row r="274" spans="1:68" ht="9.7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c r="BI274" s="90"/>
      <c r="BJ274" s="90"/>
      <c r="BK274" s="90"/>
      <c r="BL274" s="90"/>
      <c r="BM274" s="90"/>
      <c r="BN274" s="90"/>
      <c r="BO274" s="90"/>
      <c r="BP274" s="90"/>
    </row>
    <row r="275" spans="1:68" ht="9.7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c r="BK275" s="90"/>
      <c r="BL275" s="90"/>
      <c r="BM275" s="90"/>
      <c r="BN275" s="90"/>
      <c r="BO275" s="90"/>
      <c r="BP275" s="90"/>
    </row>
    <row r="276" spans="1:68" ht="9.7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c r="BI276" s="90"/>
      <c r="BJ276" s="90"/>
      <c r="BK276" s="90"/>
      <c r="BL276" s="90"/>
      <c r="BM276" s="90"/>
      <c r="BN276" s="90"/>
      <c r="BO276" s="90"/>
      <c r="BP276" s="90"/>
    </row>
    <row r="277" spans="1:68" ht="9.7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row>
    <row r="278" spans="1:68" ht="9.7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c r="BF278" s="90"/>
      <c r="BG278" s="90"/>
      <c r="BH278" s="90"/>
      <c r="BI278" s="90"/>
      <c r="BJ278" s="90"/>
      <c r="BK278" s="90"/>
      <c r="BL278" s="90"/>
      <c r="BM278" s="90"/>
      <c r="BN278" s="90"/>
      <c r="BO278" s="90"/>
      <c r="BP278" s="90"/>
    </row>
    <row r="279" spans="1:68" ht="9.7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90"/>
      <c r="BJ279" s="90"/>
      <c r="BK279" s="90"/>
      <c r="BL279" s="90"/>
      <c r="BM279" s="90"/>
      <c r="BN279" s="90"/>
      <c r="BO279" s="90"/>
      <c r="BP279" s="90"/>
    </row>
    <row r="280" spans="1:68" ht="9.7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c r="BK280" s="90"/>
      <c r="BL280" s="90"/>
      <c r="BM280" s="90"/>
      <c r="BN280" s="90"/>
      <c r="BO280" s="90"/>
      <c r="BP280" s="90"/>
    </row>
    <row r="281" spans="1:68" ht="9.7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c r="BM281" s="90"/>
      <c r="BN281" s="90"/>
      <c r="BO281" s="90"/>
      <c r="BP281" s="90"/>
    </row>
    <row r="282" spans="1:68" ht="9.7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c r="BK282" s="90"/>
      <c r="BL282" s="90"/>
      <c r="BM282" s="90"/>
      <c r="BN282" s="90"/>
      <c r="BO282" s="90"/>
      <c r="BP282" s="90"/>
    </row>
    <row r="283" spans="1:68" ht="9.7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c r="BF283" s="90"/>
      <c r="BG283" s="90"/>
      <c r="BH283" s="90"/>
      <c r="BI283" s="90"/>
      <c r="BJ283" s="90"/>
      <c r="BK283" s="90"/>
      <c r="BL283" s="90"/>
      <c r="BM283" s="90"/>
      <c r="BN283" s="90"/>
      <c r="BO283" s="90"/>
      <c r="BP283" s="90"/>
    </row>
    <row r="284" spans="1:68" ht="9.7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c r="BH284" s="90"/>
      <c r="BI284" s="90"/>
      <c r="BJ284" s="90"/>
      <c r="BK284" s="90"/>
      <c r="BL284" s="90"/>
      <c r="BM284" s="90"/>
      <c r="BN284" s="90"/>
      <c r="BO284" s="90"/>
      <c r="BP284" s="90"/>
    </row>
    <row r="285" spans="1:68" ht="9.7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c r="BM285" s="90"/>
      <c r="BN285" s="90"/>
      <c r="BO285" s="90"/>
      <c r="BP285" s="90"/>
    </row>
    <row r="286" spans="1:68" ht="9.7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c r="BH286" s="90"/>
      <c r="BI286" s="90"/>
      <c r="BJ286" s="90"/>
      <c r="BK286" s="90"/>
      <c r="BL286" s="90"/>
      <c r="BM286" s="90"/>
      <c r="BN286" s="90"/>
      <c r="BO286" s="90"/>
      <c r="BP286" s="90"/>
    </row>
    <row r="287" spans="1:68" ht="9.7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row>
    <row r="288" spans="1:68" ht="9.7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row>
    <row r="289" spans="1:68" ht="9.7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c r="BP289" s="90"/>
    </row>
    <row r="290" spans="1:68" ht="9.7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c r="BP290" s="90"/>
    </row>
    <row r="291" spans="1:68" ht="9.7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c r="BM291" s="90"/>
      <c r="BN291" s="90"/>
      <c r="BO291" s="90"/>
      <c r="BP291" s="90"/>
    </row>
    <row r="292" spans="1:68" ht="9.7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row>
    <row r="293" spans="1:68" ht="9.7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c r="BM293" s="90"/>
      <c r="BN293" s="90"/>
      <c r="BO293" s="90"/>
      <c r="BP293" s="90"/>
    </row>
    <row r="294" spans="1:68" ht="9.7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c r="BB294" s="90"/>
      <c r="BC294" s="90"/>
      <c r="BD294" s="90"/>
      <c r="BE294" s="90"/>
      <c r="BF294" s="90"/>
      <c r="BG294" s="90"/>
      <c r="BH294" s="90"/>
      <c r="BI294" s="90"/>
      <c r="BJ294" s="90"/>
      <c r="BK294" s="90"/>
      <c r="BL294" s="90"/>
      <c r="BM294" s="90"/>
      <c r="BN294" s="90"/>
      <c r="BO294" s="90"/>
      <c r="BP294" s="90"/>
    </row>
    <row r="295" spans="1:68" ht="9.7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c r="BM295" s="90"/>
      <c r="BN295" s="90"/>
      <c r="BO295" s="90"/>
      <c r="BP295" s="90"/>
    </row>
    <row r="296" spans="1:68" ht="9.7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c r="BP296" s="90"/>
    </row>
    <row r="297" spans="1:68" ht="9.7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0"/>
    </row>
    <row r="298" spans="1:68" ht="9.7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c r="BB298" s="90"/>
      <c r="BC298" s="90"/>
      <c r="BD298" s="90"/>
      <c r="BE298" s="90"/>
      <c r="BF298" s="90"/>
      <c r="BG298" s="90"/>
      <c r="BH298" s="90"/>
      <c r="BI298" s="90"/>
      <c r="BJ298" s="90"/>
      <c r="BK298" s="90"/>
      <c r="BL298" s="90"/>
      <c r="BM298" s="90"/>
      <c r="BN298" s="90"/>
      <c r="BO298" s="90"/>
      <c r="BP298" s="90"/>
    </row>
    <row r="299" spans="1:68" ht="9.7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c r="BP299" s="90"/>
    </row>
    <row r="300" spans="1:68" ht="9.7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c r="BM300" s="90"/>
      <c r="BN300" s="90"/>
      <c r="BO300" s="90"/>
      <c r="BP300" s="90"/>
    </row>
    <row r="301" spans="1:68" ht="9.7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c r="BK301" s="90"/>
      <c r="BL301" s="90"/>
      <c r="BM301" s="90"/>
      <c r="BN301" s="90"/>
      <c r="BO301" s="90"/>
      <c r="BP301" s="90"/>
    </row>
    <row r="302" spans="1:68" ht="9.7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c r="BB302" s="90"/>
      <c r="BC302" s="90"/>
      <c r="BD302" s="90"/>
      <c r="BE302" s="90"/>
      <c r="BF302" s="90"/>
      <c r="BG302" s="90"/>
      <c r="BH302" s="90"/>
      <c r="BI302" s="90"/>
      <c r="BJ302" s="90"/>
      <c r="BK302" s="90"/>
      <c r="BL302" s="90"/>
      <c r="BM302" s="90"/>
      <c r="BN302" s="90"/>
      <c r="BO302" s="90"/>
      <c r="BP302" s="90"/>
    </row>
    <row r="303" spans="1:68" ht="9.7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c r="BM303" s="90"/>
      <c r="BN303" s="90"/>
      <c r="BO303" s="90"/>
      <c r="BP303" s="90"/>
    </row>
    <row r="304" spans="1:68" ht="9.7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c r="BM304" s="90"/>
      <c r="BN304" s="90"/>
      <c r="BO304" s="90"/>
      <c r="BP304" s="90"/>
    </row>
    <row r="305" spans="1:68" ht="9.7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c r="BP305" s="90"/>
    </row>
    <row r="306" spans="1:68" ht="9.7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c r="BP306" s="90"/>
    </row>
    <row r="307" spans="1:68" ht="9.7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c r="BK307" s="90"/>
      <c r="BL307" s="90"/>
      <c r="BM307" s="90"/>
      <c r="BN307" s="90"/>
      <c r="BO307" s="90"/>
      <c r="BP307" s="90"/>
    </row>
    <row r="308" spans="1:68" ht="9.7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c r="BK308" s="90"/>
      <c r="BL308" s="90"/>
      <c r="BM308" s="90"/>
      <c r="BN308" s="90"/>
      <c r="BO308" s="90"/>
      <c r="BP308" s="90"/>
    </row>
    <row r="309" spans="1:68" ht="9.7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c r="BM309" s="90"/>
      <c r="BN309" s="90"/>
      <c r="BO309" s="90"/>
      <c r="BP309" s="90"/>
    </row>
    <row r="310" spans="1:68" ht="9.7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c r="BH310" s="90"/>
      <c r="BI310" s="90"/>
      <c r="BJ310" s="90"/>
      <c r="BK310" s="90"/>
      <c r="BL310" s="90"/>
      <c r="BM310" s="90"/>
      <c r="BN310" s="90"/>
      <c r="BO310" s="90"/>
      <c r="BP310" s="90"/>
    </row>
    <row r="311" spans="1:68" ht="9.7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c r="BF311" s="90"/>
      <c r="BG311" s="90"/>
      <c r="BH311" s="90"/>
      <c r="BI311" s="90"/>
      <c r="BJ311" s="90"/>
      <c r="BK311" s="90"/>
      <c r="BL311" s="90"/>
      <c r="BM311" s="90"/>
      <c r="BN311" s="90"/>
      <c r="BO311" s="90"/>
      <c r="BP311" s="90"/>
    </row>
    <row r="312" spans="1:68" ht="9.7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c r="BH312" s="90"/>
      <c r="BI312" s="90"/>
      <c r="BJ312" s="90"/>
      <c r="BK312" s="90"/>
      <c r="BL312" s="90"/>
      <c r="BM312" s="90"/>
      <c r="BN312" s="90"/>
      <c r="BO312" s="90"/>
      <c r="BP312" s="90"/>
    </row>
    <row r="313" spans="1:68" ht="9.7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0"/>
      <c r="BH313" s="90"/>
      <c r="BI313" s="90"/>
      <c r="BJ313" s="90"/>
      <c r="BK313" s="90"/>
      <c r="BL313" s="90"/>
      <c r="BM313" s="90"/>
      <c r="BN313" s="90"/>
      <c r="BO313" s="90"/>
      <c r="BP313" s="90"/>
    </row>
    <row r="314" spans="1:68" ht="9.7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0"/>
      <c r="BH314" s="90"/>
      <c r="BI314" s="90"/>
      <c r="BJ314" s="90"/>
      <c r="BK314" s="90"/>
      <c r="BL314" s="90"/>
      <c r="BM314" s="90"/>
      <c r="BN314" s="90"/>
      <c r="BO314" s="90"/>
      <c r="BP314" s="90"/>
    </row>
    <row r="315" spans="1:68" ht="9.7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c r="BH315" s="90"/>
      <c r="BI315" s="90"/>
      <c r="BJ315" s="90"/>
      <c r="BK315" s="90"/>
      <c r="BL315" s="90"/>
      <c r="BM315" s="90"/>
      <c r="BN315" s="90"/>
      <c r="BO315" s="90"/>
      <c r="BP315" s="90"/>
    </row>
    <row r="316" spans="1:68" ht="9.7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c r="BF316" s="90"/>
      <c r="BG316" s="90"/>
      <c r="BH316" s="90"/>
      <c r="BI316" s="90"/>
      <c r="BJ316" s="90"/>
      <c r="BK316" s="90"/>
      <c r="BL316" s="90"/>
      <c r="BM316" s="90"/>
      <c r="BN316" s="90"/>
      <c r="BO316" s="90"/>
      <c r="BP316" s="90"/>
    </row>
    <row r="317" spans="1:68" ht="9.7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c r="BB317" s="90"/>
      <c r="BC317" s="90"/>
      <c r="BD317" s="90"/>
      <c r="BE317" s="90"/>
      <c r="BF317" s="90"/>
      <c r="BG317" s="90"/>
      <c r="BH317" s="90"/>
      <c r="BI317" s="90"/>
      <c r="BJ317" s="90"/>
      <c r="BK317" s="90"/>
      <c r="BL317" s="90"/>
      <c r="BM317" s="90"/>
      <c r="BN317" s="90"/>
      <c r="BO317" s="90"/>
      <c r="BP317" s="90"/>
    </row>
    <row r="318" spans="1:68" ht="9.7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c r="BH318" s="90"/>
      <c r="BI318" s="90"/>
      <c r="BJ318" s="90"/>
      <c r="BK318" s="90"/>
      <c r="BL318" s="90"/>
      <c r="BM318" s="90"/>
      <c r="BN318" s="90"/>
      <c r="BO318" s="90"/>
      <c r="BP318" s="90"/>
    </row>
    <row r="319" spans="1:68" ht="9.7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c r="BF319" s="90"/>
      <c r="BG319" s="90"/>
      <c r="BH319" s="90"/>
      <c r="BI319" s="90"/>
      <c r="BJ319" s="90"/>
      <c r="BK319" s="90"/>
      <c r="BL319" s="90"/>
      <c r="BM319" s="90"/>
      <c r="BN319" s="90"/>
      <c r="BO319" s="90"/>
      <c r="BP319" s="90"/>
    </row>
    <row r="320" spans="1:68" ht="9.7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c r="BF320" s="90"/>
      <c r="BG320" s="90"/>
      <c r="BH320" s="90"/>
      <c r="BI320" s="90"/>
      <c r="BJ320" s="90"/>
      <c r="BK320" s="90"/>
      <c r="BL320" s="90"/>
      <c r="BM320" s="90"/>
      <c r="BN320" s="90"/>
      <c r="BO320" s="90"/>
      <c r="BP320" s="90"/>
    </row>
    <row r="321" spans="1:68" ht="9.7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c r="BH321" s="90"/>
      <c r="BI321" s="90"/>
      <c r="BJ321" s="90"/>
      <c r="BK321" s="90"/>
      <c r="BL321" s="90"/>
      <c r="BM321" s="90"/>
      <c r="BN321" s="90"/>
      <c r="BO321" s="90"/>
      <c r="BP321" s="90"/>
    </row>
    <row r="322" spans="1:68" ht="9.7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row>
    <row r="323" spans="1:68" ht="9.7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c r="BF323" s="90"/>
      <c r="BG323" s="90"/>
      <c r="BH323" s="90"/>
      <c r="BI323" s="90"/>
      <c r="BJ323" s="90"/>
      <c r="BK323" s="90"/>
      <c r="BL323" s="90"/>
      <c r="BM323" s="90"/>
      <c r="BN323" s="90"/>
      <c r="BO323" s="90"/>
      <c r="BP323" s="90"/>
    </row>
    <row r="324" spans="1:68" ht="9.7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0"/>
      <c r="BF324" s="90"/>
      <c r="BG324" s="90"/>
      <c r="BH324" s="90"/>
      <c r="BI324" s="90"/>
      <c r="BJ324" s="90"/>
      <c r="BK324" s="90"/>
      <c r="BL324" s="90"/>
      <c r="BM324" s="90"/>
      <c r="BN324" s="90"/>
      <c r="BO324" s="90"/>
      <c r="BP324" s="90"/>
    </row>
    <row r="325" spans="1:68" ht="9.7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c r="BH325" s="90"/>
      <c r="BI325" s="90"/>
      <c r="BJ325" s="90"/>
      <c r="BK325" s="90"/>
      <c r="BL325" s="90"/>
      <c r="BM325" s="90"/>
      <c r="BN325" s="90"/>
      <c r="BO325" s="90"/>
      <c r="BP325" s="90"/>
    </row>
    <row r="326" spans="1:68" ht="9.7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c r="BI326" s="90"/>
      <c r="BJ326" s="90"/>
      <c r="BK326" s="90"/>
      <c r="BL326" s="90"/>
      <c r="BM326" s="90"/>
      <c r="BN326" s="90"/>
      <c r="BO326" s="90"/>
      <c r="BP326" s="90"/>
    </row>
    <row r="327" spans="1:68" ht="9.7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row>
    <row r="328" spans="1:68" ht="9.7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c r="BM328" s="90"/>
      <c r="BN328" s="90"/>
      <c r="BO328" s="90"/>
      <c r="BP328" s="90"/>
    </row>
    <row r="329" spans="1:68" ht="9.7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c r="BB329" s="90"/>
      <c r="BC329" s="90"/>
      <c r="BD329" s="90"/>
      <c r="BE329" s="90"/>
      <c r="BF329" s="90"/>
      <c r="BG329" s="90"/>
      <c r="BH329" s="90"/>
      <c r="BI329" s="90"/>
      <c r="BJ329" s="90"/>
      <c r="BK329" s="90"/>
      <c r="BL329" s="90"/>
      <c r="BM329" s="90"/>
      <c r="BN329" s="90"/>
      <c r="BO329" s="90"/>
      <c r="BP329" s="90"/>
    </row>
    <row r="330" spans="1:68" ht="9.7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90"/>
      <c r="BL330" s="90"/>
      <c r="BM330" s="90"/>
      <c r="BN330" s="90"/>
      <c r="BO330" s="90"/>
      <c r="BP330" s="90"/>
    </row>
    <row r="331" spans="1:68" ht="9.7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c r="BB331" s="90"/>
      <c r="BC331" s="90"/>
      <c r="BD331" s="90"/>
      <c r="BE331" s="90"/>
      <c r="BF331" s="90"/>
      <c r="BG331" s="90"/>
      <c r="BH331" s="90"/>
      <c r="BI331" s="90"/>
      <c r="BJ331" s="90"/>
      <c r="BK331" s="90"/>
      <c r="BL331" s="90"/>
      <c r="BM331" s="90"/>
      <c r="BN331" s="90"/>
      <c r="BO331" s="90"/>
      <c r="BP331" s="90"/>
    </row>
    <row r="332" spans="1:68" ht="9.7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c r="BF332" s="90"/>
      <c r="BG332" s="90"/>
      <c r="BH332" s="90"/>
      <c r="BI332" s="90"/>
      <c r="BJ332" s="90"/>
      <c r="BK332" s="90"/>
      <c r="BL332" s="90"/>
      <c r="BM332" s="90"/>
      <c r="BN332" s="90"/>
      <c r="BO332" s="90"/>
      <c r="BP332" s="90"/>
    </row>
    <row r="333" spans="1:68" ht="9.7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c r="BM333" s="90"/>
      <c r="BN333" s="90"/>
      <c r="BO333" s="90"/>
      <c r="BP333" s="90"/>
    </row>
    <row r="334" spans="1:68" ht="9.7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c r="BB334" s="90"/>
      <c r="BC334" s="90"/>
      <c r="BD334" s="90"/>
      <c r="BE334" s="90"/>
      <c r="BF334" s="90"/>
      <c r="BG334" s="90"/>
      <c r="BH334" s="90"/>
      <c r="BI334" s="90"/>
      <c r="BJ334" s="90"/>
      <c r="BK334" s="90"/>
      <c r="BL334" s="90"/>
      <c r="BM334" s="90"/>
      <c r="BN334" s="90"/>
      <c r="BO334" s="90"/>
      <c r="BP334" s="90"/>
    </row>
    <row r="335" spans="1:68" ht="9.7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c r="BK335" s="90"/>
      <c r="BL335" s="90"/>
      <c r="BM335" s="90"/>
      <c r="BN335" s="90"/>
      <c r="BO335" s="90"/>
      <c r="BP335" s="90"/>
    </row>
    <row r="336" spans="1:68" ht="9.7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90"/>
      <c r="BL336" s="90"/>
      <c r="BM336" s="90"/>
      <c r="BN336" s="90"/>
      <c r="BO336" s="90"/>
      <c r="BP336" s="90"/>
    </row>
    <row r="337" spans="1:68" ht="9.7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c r="BB337" s="90"/>
      <c r="BC337" s="90"/>
      <c r="BD337" s="90"/>
      <c r="BE337" s="90"/>
      <c r="BF337" s="90"/>
      <c r="BG337" s="90"/>
      <c r="BH337" s="90"/>
      <c r="BI337" s="90"/>
      <c r="BJ337" s="90"/>
      <c r="BK337" s="90"/>
      <c r="BL337" s="90"/>
      <c r="BM337" s="90"/>
      <c r="BN337" s="90"/>
      <c r="BO337" s="90"/>
      <c r="BP337" s="90"/>
    </row>
    <row r="338" spans="1:68" ht="9.7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c r="BP338" s="90"/>
    </row>
    <row r="339" spans="1:68" ht="9.7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0"/>
      <c r="BH339" s="90"/>
      <c r="BI339" s="90"/>
      <c r="BJ339" s="90"/>
      <c r="BK339" s="90"/>
      <c r="BL339" s="90"/>
      <c r="BM339" s="90"/>
      <c r="BN339" s="90"/>
      <c r="BO339" s="90"/>
      <c r="BP339" s="90"/>
    </row>
    <row r="340" spans="1:68" ht="9.7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c r="BH340" s="90"/>
      <c r="BI340" s="90"/>
      <c r="BJ340" s="90"/>
      <c r="BK340" s="90"/>
      <c r="BL340" s="90"/>
      <c r="BM340" s="90"/>
      <c r="BN340" s="90"/>
      <c r="BO340" s="90"/>
      <c r="BP340" s="90"/>
    </row>
    <row r="341" spans="1:68" ht="9.7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c r="BF341" s="90"/>
      <c r="BG341" s="90"/>
      <c r="BH341" s="90"/>
      <c r="BI341" s="90"/>
      <c r="BJ341" s="90"/>
      <c r="BK341" s="90"/>
      <c r="BL341" s="90"/>
      <c r="BM341" s="90"/>
      <c r="BN341" s="90"/>
      <c r="BO341" s="90"/>
      <c r="BP341" s="90"/>
    </row>
    <row r="342" spans="1:68" ht="9.7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c r="BH342" s="90"/>
      <c r="BI342" s="90"/>
      <c r="BJ342" s="90"/>
      <c r="BK342" s="90"/>
      <c r="BL342" s="90"/>
      <c r="BM342" s="90"/>
      <c r="BN342" s="90"/>
      <c r="BO342" s="90"/>
      <c r="BP342" s="90"/>
    </row>
    <row r="343" spans="1:68" ht="9.7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c r="BK343" s="90"/>
      <c r="BL343" s="90"/>
      <c r="BM343" s="90"/>
      <c r="BN343" s="90"/>
      <c r="BO343" s="90"/>
      <c r="BP343" s="90"/>
    </row>
    <row r="344" spans="1:68" ht="9.7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c r="BH344" s="90"/>
      <c r="BI344" s="90"/>
      <c r="BJ344" s="90"/>
      <c r="BK344" s="90"/>
      <c r="BL344" s="90"/>
      <c r="BM344" s="90"/>
      <c r="BN344" s="90"/>
      <c r="BO344" s="90"/>
      <c r="BP344" s="90"/>
    </row>
    <row r="345" spans="1:68" ht="9.7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row>
    <row r="346" spans="1:68" ht="9.7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row>
    <row r="347" spans="1:68" ht="9.7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c r="BK347" s="90"/>
      <c r="BL347" s="90"/>
      <c r="BM347" s="90"/>
      <c r="BN347" s="90"/>
      <c r="BO347" s="90"/>
      <c r="BP347" s="90"/>
    </row>
    <row r="348" spans="1:68" ht="9.7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c r="BP348" s="90"/>
    </row>
    <row r="349" spans="1:68" ht="9.7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c r="BH349" s="90"/>
      <c r="BI349" s="90"/>
      <c r="BJ349" s="90"/>
      <c r="BK349" s="90"/>
      <c r="BL349" s="90"/>
      <c r="BM349" s="90"/>
      <c r="BN349" s="90"/>
      <c r="BO349" s="90"/>
      <c r="BP349" s="90"/>
    </row>
    <row r="350" spans="1:68" ht="9.7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c r="BF350" s="90"/>
      <c r="BG350" s="90"/>
      <c r="BH350" s="90"/>
      <c r="BI350" s="90"/>
      <c r="BJ350" s="90"/>
      <c r="BK350" s="90"/>
      <c r="BL350" s="90"/>
      <c r="BM350" s="90"/>
      <c r="BN350" s="90"/>
      <c r="BO350" s="90"/>
      <c r="BP350" s="90"/>
    </row>
    <row r="351" spans="1:68" ht="9.7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c r="BB351" s="90"/>
      <c r="BC351" s="90"/>
      <c r="BD351" s="90"/>
      <c r="BE351" s="90"/>
      <c r="BF351" s="90"/>
      <c r="BG351" s="90"/>
      <c r="BH351" s="90"/>
      <c r="BI351" s="90"/>
      <c r="BJ351" s="90"/>
      <c r="BK351" s="90"/>
      <c r="BL351" s="90"/>
      <c r="BM351" s="90"/>
      <c r="BN351" s="90"/>
      <c r="BO351" s="90"/>
      <c r="BP351" s="90"/>
    </row>
    <row r="352" spans="1:68" ht="9.7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c r="BH352" s="90"/>
      <c r="BI352" s="90"/>
      <c r="BJ352" s="90"/>
      <c r="BK352" s="90"/>
      <c r="BL352" s="90"/>
      <c r="BM352" s="90"/>
      <c r="BN352" s="90"/>
      <c r="BO352" s="90"/>
      <c r="BP352" s="90"/>
    </row>
    <row r="353" spans="1:68" ht="9.7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0"/>
      <c r="BL353" s="90"/>
      <c r="BM353" s="90"/>
      <c r="BN353" s="90"/>
      <c r="BO353" s="90"/>
      <c r="BP353" s="90"/>
    </row>
    <row r="354" spans="1:68" ht="9.7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c r="BF354" s="90"/>
      <c r="BG354" s="90"/>
      <c r="BH354" s="90"/>
      <c r="BI354" s="90"/>
      <c r="BJ354" s="90"/>
      <c r="BK354" s="90"/>
      <c r="BL354" s="90"/>
      <c r="BM354" s="90"/>
      <c r="BN354" s="90"/>
      <c r="BO354" s="90"/>
      <c r="BP354" s="90"/>
    </row>
    <row r="355" spans="1:68" ht="9.7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c r="BH355" s="90"/>
      <c r="BI355" s="90"/>
      <c r="BJ355" s="90"/>
      <c r="BK355" s="90"/>
      <c r="BL355" s="90"/>
      <c r="BM355" s="90"/>
      <c r="BN355" s="90"/>
      <c r="BO355" s="90"/>
      <c r="BP355" s="90"/>
    </row>
    <row r="356" spans="1:68" ht="9.7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c r="BK356" s="90"/>
      <c r="BL356" s="90"/>
      <c r="BM356" s="90"/>
      <c r="BN356" s="90"/>
      <c r="BO356" s="90"/>
      <c r="BP356" s="90"/>
    </row>
    <row r="357" spans="1:68" ht="9.7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0"/>
      <c r="BH357" s="90"/>
      <c r="BI357" s="90"/>
      <c r="BJ357" s="90"/>
      <c r="BK357" s="90"/>
      <c r="BL357" s="90"/>
      <c r="BM357" s="90"/>
      <c r="BN357" s="90"/>
      <c r="BO357" s="90"/>
      <c r="BP357" s="90"/>
    </row>
    <row r="358" spans="1:68" ht="9.7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c r="BH358" s="90"/>
      <c r="BI358" s="90"/>
      <c r="BJ358" s="90"/>
      <c r="BK358" s="90"/>
      <c r="BL358" s="90"/>
      <c r="BM358" s="90"/>
      <c r="BN358" s="90"/>
      <c r="BO358" s="90"/>
      <c r="BP358" s="90"/>
    </row>
    <row r="359" spans="1:68" ht="9.7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0"/>
      <c r="BL359" s="90"/>
      <c r="BM359" s="90"/>
      <c r="BN359" s="90"/>
      <c r="BO359" s="90"/>
      <c r="BP359" s="90"/>
    </row>
    <row r="360" spans="1:68" ht="9.7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c r="BK360" s="90"/>
      <c r="BL360" s="90"/>
      <c r="BM360" s="90"/>
      <c r="BN360" s="90"/>
      <c r="BO360" s="90"/>
      <c r="BP360" s="90"/>
    </row>
    <row r="361" spans="1:68" ht="9.7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c r="BP361" s="90"/>
    </row>
    <row r="362" spans="1:68" ht="9.7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row>
    <row r="363" spans="1:68" ht="9.7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c r="BM363" s="90"/>
      <c r="BN363" s="90"/>
      <c r="BO363" s="90"/>
      <c r="BP363" s="90"/>
    </row>
    <row r="364" spans="1:68" ht="9.7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c r="BB364" s="90"/>
      <c r="BC364" s="90"/>
      <c r="BD364" s="90"/>
      <c r="BE364" s="90"/>
      <c r="BF364" s="90"/>
      <c r="BG364" s="90"/>
      <c r="BH364" s="90"/>
      <c r="BI364" s="90"/>
      <c r="BJ364" s="90"/>
      <c r="BK364" s="90"/>
      <c r="BL364" s="90"/>
      <c r="BM364" s="90"/>
      <c r="BN364" s="90"/>
      <c r="BO364" s="90"/>
      <c r="BP364" s="90"/>
    </row>
    <row r="365" spans="1:68" ht="9.7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row>
    <row r="366" spans="1:68" ht="9.7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c r="BB366" s="90"/>
      <c r="BC366" s="90"/>
      <c r="BD366" s="90"/>
      <c r="BE366" s="90"/>
      <c r="BF366" s="90"/>
      <c r="BG366" s="90"/>
      <c r="BH366" s="90"/>
      <c r="BI366" s="90"/>
      <c r="BJ366" s="90"/>
      <c r="BK366" s="90"/>
      <c r="BL366" s="90"/>
      <c r="BM366" s="90"/>
      <c r="BN366" s="90"/>
      <c r="BO366" s="90"/>
      <c r="BP366" s="90"/>
    </row>
    <row r="367" spans="1:68" ht="9.7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c r="BB367" s="90"/>
      <c r="BC367" s="90"/>
      <c r="BD367" s="90"/>
      <c r="BE367" s="90"/>
      <c r="BF367" s="90"/>
      <c r="BG367" s="90"/>
      <c r="BH367" s="90"/>
      <c r="BI367" s="90"/>
      <c r="BJ367" s="90"/>
      <c r="BK367" s="90"/>
      <c r="BL367" s="90"/>
      <c r="BM367" s="90"/>
      <c r="BN367" s="90"/>
      <c r="BO367" s="90"/>
      <c r="BP367" s="90"/>
    </row>
    <row r="368" spans="1:68" ht="9.7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c r="BP368" s="90"/>
    </row>
    <row r="369" spans="1:68" ht="9.7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c r="BP369" s="90"/>
    </row>
    <row r="370" spans="1:68" ht="9.7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c r="BP370" s="90"/>
    </row>
    <row r="371" spans="1:68" ht="9.7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c r="BB371" s="90"/>
      <c r="BC371" s="90"/>
      <c r="BD371" s="90"/>
      <c r="BE371" s="90"/>
      <c r="BF371" s="90"/>
      <c r="BG371" s="90"/>
      <c r="BH371" s="90"/>
      <c r="BI371" s="90"/>
      <c r="BJ371" s="90"/>
      <c r="BK371" s="90"/>
      <c r="BL371" s="90"/>
      <c r="BM371" s="90"/>
      <c r="BN371" s="90"/>
      <c r="BO371" s="90"/>
      <c r="BP371" s="90"/>
    </row>
    <row r="372" spans="1:68" ht="9.7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c r="BB372" s="90"/>
      <c r="BC372" s="90"/>
      <c r="BD372" s="90"/>
      <c r="BE372" s="90"/>
      <c r="BF372" s="90"/>
      <c r="BG372" s="90"/>
      <c r="BH372" s="90"/>
      <c r="BI372" s="90"/>
      <c r="BJ372" s="90"/>
      <c r="BK372" s="90"/>
      <c r="BL372" s="90"/>
      <c r="BM372" s="90"/>
      <c r="BN372" s="90"/>
      <c r="BO372" s="90"/>
      <c r="BP372" s="90"/>
    </row>
    <row r="373" spans="1:68" ht="9.7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c r="BP373" s="90"/>
    </row>
    <row r="374" spans="1:68" ht="9.7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row>
    <row r="375" spans="1:68" ht="9.7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90"/>
      <c r="BI375" s="90"/>
      <c r="BJ375" s="90"/>
      <c r="BK375" s="90"/>
      <c r="BL375" s="90"/>
      <c r="BM375" s="90"/>
      <c r="BN375" s="90"/>
      <c r="BO375" s="90"/>
      <c r="BP375" s="90"/>
    </row>
    <row r="376" spans="1:68" ht="9.7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c r="BK376" s="90"/>
      <c r="BL376" s="90"/>
      <c r="BM376" s="90"/>
      <c r="BN376" s="90"/>
      <c r="BO376" s="90"/>
      <c r="BP376" s="90"/>
    </row>
    <row r="377" spans="1:68" ht="9.7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c r="BF377" s="90"/>
      <c r="BG377" s="90"/>
      <c r="BH377" s="90"/>
      <c r="BI377" s="90"/>
      <c r="BJ377" s="90"/>
      <c r="BK377" s="90"/>
      <c r="BL377" s="90"/>
      <c r="BM377" s="90"/>
      <c r="BN377" s="90"/>
      <c r="BO377" s="90"/>
      <c r="BP377" s="90"/>
    </row>
    <row r="378" spans="1:68" ht="9.7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c r="BB378" s="90"/>
      <c r="BC378" s="90"/>
      <c r="BD378" s="90"/>
      <c r="BE378" s="90"/>
      <c r="BF378" s="90"/>
      <c r="BG378" s="90"/>
      <c r="BH378" s="90"/>
      <c r="BI378" s="90"/>
      <c r="BJ378" s="90"/>
      <c r="BK378" s="90"/>
      <c r="BL378" s="90"/>
      <c r="BM378" s="90"/>
      <c r="BN378" s="90"/>
      <c r="BO378" s="90"/>
      <c r="BP378" s="90"/>
    </row>
    <row r="379" spans="1:68" ht="9.7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c r="BH379" s="90"/>
      <c r="BI379" s="90"/>
      <c r="BJ379" s="90"/>
      <c r="BK379" s="90"/>
      <c r="BL379" s="90"/>
      <c r="BM379" s="90"/>
      <c r="BN379" s="90"/>
      <c r="BO379" s="90"/>
      <c r="BP379" s="90"/>
    </row>
    <row r="380" spans="1:68" ht="9.7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c r="BH380" s="90"/>
      <c r="BI380" s="90"/>
      <c r="BJ380" s="90"/>
      <c r="BK380" s="90"/>
      <c r="BL380" s="90"/>
      <c r="BM380" s="90"/>
      <c r="BN380" s="90"/>
      <c r="BO380" s="90"/>
      <c r="BP380" s="90"/>
    </row>
    <row r="381" spans="1:68" ht="9.7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row>
    <row r="382" spans="1:68" ht="9.7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c r="BF382" s="90"/>
      <c r="BG382" s="90"/>
      <c r="BH382" s="90"/>
      <c r="BI382" s="90"/>
      <c r="BJ382" s="90"/>
      <c r="BK382" s="90"/>
      <c r="BL382" s="90"/>
      <c r="BM382" s="90"/>
      <c r="BN382" s="90"/>
      <c r="BO382" s="90"/>
      <c r="BP382" s="90"/>
    </row>
    <row r="383" spans="1:68" ht="9.7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c r="BF383" s="90"/>
      <c r="BG383" s="90"/>
      <c r="BH383" s="90"/>
      <c r="BI383" s="90"/>
      <c r="BJ383" s="90"/>
      <c r="BK383" s="90"/>
      <c r="BL383" s="90"/>
      <c r="BM383" s="90"/>
      <c r="BN383" s="90"/>
      <c r="BO383" s="90"/>
      <c r="BP383" s="90"/>
    </row>
    <row r="384" spans="1:68" ht="9.7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c r="BB384" s="90"/>
      <c r="BC384" s="90"/>
      <c r="BD384" s="90"/>
      <c r="BE384" s="90"/>
      <c r="BF384" s="90"/>
      <c r="BG384" s="90"/>
      <c r="BH384" s="90"/>
      <c r="BI384" s="90"/>
      <c r="BJ384" s="90"/>
      <c r="BK384" s="90"/>
      <c r="BL384" s="90"/>
      <c r="BM384" s="90"/>
      <c r="BN384" s="90"/>
      <c r="BO384" s="90"/>
      <c r="BP384" s="90"/>
    </row>
    <row r="385" spans="1:68" ht="9.7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0"/>
      <c r="BH385" s="90"/>
      <c r="BI385" s="90"/>
      <c r="BJ385" s="90"/>
      <c r="BK385" s="90"/>
      <c r="BL385" s="90"/>
      <c r="BM385" s="90"/>
      <c r="BN385" s="90"/>
      <c r="BO385" s="90"/>
      <c r="BP385" s="90"/>
    </row>
    <row r="386" spans="1:68" ht="9.7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c r="BH386" s="90"/>
      <c r="BI386" s="90"/>
      <c r="BJ386" s="90"/>
      <c r="BK386" s="90"/>
      <c r="BL386" s="90"/>
      <c r="BM386" s="90"/>
      <c r="BN386" s="90"/>
      <c r="BO386" s="90"/>
      <c r="BP386" s="90"/>
    </row>
    <row r="387" spans="1:68" ht="9.7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0"/>
      <c r="BH387" s="90"/>
      <c r="BI387" s="90"/>
      <c r="BJ387" s="90"/>
      <c r="BK387" s="90"/>
      <c r="BL387" s="90"/>
      <c r="BM387" s="90"/>
      <c r="BN387" s="90"/>
      <c r="BO387" s="90"/>
      <c r="BP387" s="90"/>
    </row>
    <row r="388" spans="1:68" ht="9.7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c r="BB388" s="90"/>
      <c r="BC388" s="90"/>
      <c r="BD388" s="90"/>
      <c r="BE388" s="90"/>
      <c r="BF388" s="90"/>
      <c r="BG388" s="90"/>
      <c r="BH388" s="90"/>
      <c r="BI388" s="90"/>
      <c r="BJ388" s="90"/>
      <c r="BK388" s="90"/>
      <c r="BL388" s="90"/>
      <c r="BM388" s="90"/>
      <c r="BN388" s="90"/>
      <c r="BO388" s="90"/>
      <c r="BP388" s="90"/>
    </row>
    <row r="389" spans="1:68" ht="9.7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c r="BB389" s="90"/>
      <c r="BC389" s="90"/>
      <c r="BD389" s="90"/>
      <c r="BE389" s="90"/>
      <c r="BF389" s="90"/>
      <c r="BG389" s="90"/>
      <c r="BH389" s="90"/>
      <c r="BI389" s="90"/>
      <c r="BJ389" s="90"/>
      <c r="BK389" s="90"/>
      <c r="BL389" s="90"/>
      <c r="BM389" s="90"/>
      <c r="BN389" s="90"/>
      <c r="BO389" s="90"/>
      <c r="BP389" s="90"/>
    </row>
    <row r="390" spans="1:68" ht="9.7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c r="BF390" s="90"/>
      <c r="BG390" s="90"/>
      <c r="BH390" s="90"/>
      <c r="BI390" s="90"/>
      <c r="BJ390" s="90"/>
      <c r="BK390" s="90"/>
      <c r="BL390" s="90"/>
      <c r="BM390" s="90"/>
      <c r="BN390" s="90"/>
      <c r="BO390" s="90"/>
      <c r="BP390" s="90"/>
    </row>
    <row r="391" spans="1:68" ht="9.7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c r="BB391" s="90"/>
      <c r="BC391" s="90"/>
      <c r="BD391" s="90"/>
      <c r="BE391" s="90"/>
      <c r="BF391" s="90"/>
      <c r="BG391" s="90"/>
      <c r="BH391" s="90"/>
      <c r="BI391" s="90"/>
      <c r="BJ391" s="90"/>
      <c r="BK391" s="90"/>
      <c r="BL391" s="90"/>
      <c r="BM391" s="90"/>
      <c r="BN391" s="90"/>
      <c r="BO391" s="90"/>
      <c r="BP391" s="90"/>
    </row>
    <row r="392" spans="1:68" ht="9.7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c r="BH392" s="90"/>
      <c r="BI392" s="90"/>
      <c r="BJ392" s="90"/>
      <c r="BK392" s="90"/>
      <c r="BL392" s="90"/>
      <c r="BM392" s="90"/>
      <c r="BN392" s="90"/>
      <c r="BO392" s="90"/>
      <c r="BP392" s="90"/>
    </row>
    <row r="393" spans="1:68" ht="9.7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c r="BF393" s="90"/>
      <c r="BG393" s="90"/>
      <c r="BH393" s="90"/>
      <c r="BI393" s="90"/>
      <c r="BJ393" s="90"/>
      <c r="BK393" s="90"/>
      <c r="BL393" s="90"/>
      <c r="BM393" s="90"/>
      <c r="BN393" s="90"/>
      <c r="BO393" s="90"/>
      <c r="BP393" s="90"/>
    </row>
    <row r="394" spans="1:68" ht="9.7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c r="BF394" s="90"/>
      <c r="BG394" s="90"/>
      <c r="BH394" s="90"/>
      <c r="BI394" s="90"/>
      <c r="BJ394" s="90"/>
      <c r="BK394" s="90"/>
      <c r="BL394" s="90"/>
      <c r="BM394" s="90"/>
      <c r="BN394" s="90"/>
      <c r="BO394" s="90"/>
      <c r="BP394" s="90"/>
    </row>
    <row r="395" spans="1:68" ht="9.7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c r="BB395" s="90"/>
      <c r="BC395" s="90"/>
      <c r="BD395" s="90"/>
      <c r="BE395" s="90"/>
      <c r="BF395" s="90"/>
      <c r="BG395" s="90"/>
      <c r="BH395" s="90"/>
      <c r="BI395" s="90"/>
      <c r="BJ395" s="90"/>
      <c r="BK395" s="90"/>
      <c r="BL395" s="90"/>
      <c r="BM395" s="90"/>
      <c r="BN395" s="90"/>
      <c r="BO395" s="90"/>
      <c r="BP395" s="90"/>
    </row>
    <row r="396" spans="1:68" ht="9.7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c r="BF396" s="90"/>
      <c r="BG396" s="90"/>
      <c r="BH396" s="90"/>
      <c r="BI396" s="90"/>
      <c r="BJ396" s="90"/>
      <c r="BK396" s="90"/>
      <c r="BL396" s="90"/>
      <c r="BM396" s="90"/>
      <c r="BN396" s="90"/>
      <c r="BO396" s="90"/>
      <c r="BP396" s="90"/>
    </row>
    <row r="397" spans="1:68" ht="9.7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row>
    <row r="398" spans="1:68" ht="9.7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c r="BB398" s="90"/>
      <c r="BC398" s="90"/>
      <c r="BD398" s="90"/>
      <c r="BE398" s="90"/>
      <c r="BF398" s="90"/>
      <c r="BG398" s="90"/>
      <c r="BH398" s="90"/>
      <c r="BI398" s="90"/>
      <c r="BJ398" s="90"/>
      <c r="BK398" s="90"/>
      <c r="BL398" s="90"/>
      <c r="BM398" s="90"/>
      <c r="BN398" s="90"/>
      <c r="BO398" s="90"/>
      <c r="BP398" s="90"/>
    </row>
    <row r="399" spans="1:68" ht="9.7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c r="BB399" s="90"/>
      <c r="BC399" s="90"/>
      <c r="BD399" s="90"/>
      <c r="BE399" s="90"/>
      <c r="BF399" s="90"/>
      <c r="BG399" s="90"/>
      <c r="BH399" s="90"/>
      <c r="BI399" s="90"/>
      <c r="BJ399" s="90"/>
      <c r="BK399" s="90"/>
      <c r="BL399" s="90"/>
      <c r="BM399" s="90"/>
      <c r="BN399" s="90"/>
      <c r="BO399" s="90"/>
      <c r="BP399" s="90"/>
    </row>
    <row r="400" spans="1:68" ht="9.7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c r="BB400" s="90"/>
      <c r="BC400" s="90"/>
      <c r="BD400" s="90"/>
      <c r="BE400" s="90"/>
      <c r="BF400" s="90"/>
      <c r="BG400" s="90"/>
      <c r="BH400" s="90"/>
      <c r="BI400" s="90"/>
      <c r="BJ400" s="90"/>
      <c r="BK400" s="90"/>
      <c r="BL400" s="90"/>
      <c r="BM400" s="90"/>
      <c r="BN400" s="90"/>
      <c r="BO400" s="90"/>
      <c r="BP400" s="90"/>
    </row>
    <row r="401" spans="1:68" ht="9.7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c r="BB401" s="90"/>
      <c r="BC401" s="90"/>
      <c r="BD401" s="90"/>
      <c r="BE401" s="90"/>
      <c r="BF401" s="90"/>
      <c r="BG401" s="90"/>
      <c r="BH401" s="90"/>
      <c r="BI401" s="90"/>
      <c r="BJ401" s="90"/>
      <c r="BK401" s="90"/>
      <c r="BL401" s="90"/>
      <c r="BM401" s="90"/>
      <c r="BN401" s="90"/>
      <c r="BO401" s="90"/>
      <c r="BP401" s="90"/>
    </row>
    <row r="402" spans="1:68" ht="9.7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c r="BB402" s="90"/>
      <c r="BC402" s="90"/>
      <c r="BD402" s="90"/>
      <c r="BE402" s="90"/>
      <c r="BF402" s="90"/>
      <c r="BG402" s="90"/>
      <c r="BH402" s="90"/>
      <c r="BI402" s="90"/>
      <c r="BJ402" s="90"/>
      <c r="BK402" s="90"/>
      <c r="BL402" s="90"/>
      <c r="BM402" s="90"/>
      <c r="BN402" s="90"/>
      <c r="BO402" s="90"/>
      <c r="BP402" s="90"/>
    </row>
    <row r="403" spans="1:68" ht="9.7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c r="BB403" s="90"/>
      <c r="BC403" s="90"/>
      <c r="BD403" s="90"/>
      <c r="BE403" s="90"/>
      <c r="BF403" s="90"/>
      <c r="BG403" s="90"/>
      <c r="BH403" s="90"/>
      <c r="BI403" s="90"/>
      <c r="BJ403" s="90"/>
      <c r="BK403" s="90"/>
      <c r="BL403" s="90"/>
      <c r="BM403" s="90"/>
      <c r="BN403" s="90"/>
      <c r="BO403" s="90"/>
      <c r="BP403" s="90"/>
    </row>
    <row r="404" spans="1:68" ht="9.7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c r="BB404" s="90"/>
      <c r="BC404" s="90"/>
      <c r="BD404" s="90"/>
      <c r="BE404" s="90"/>
      <c r="BF404" s="90"/>
      <c r="BG404" s="90"/>
      <c r="BH404" s="90"/>
      <c r="BI404" s="90"/>
      <c r="BJ404" s="90"/>
      <c r="BK404" s="90"/>
      <c r="BL404" s="90"/>
      <c r="BM404" s="90"/>
      <c r="BN404" s="90"/>
      <c r="BO404" s="90"/>
      <c r="BP404" s="90"/>
    </row>
    <row r="405" spans="1:68" ht="9.7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c r="BB405" s="90"/>
      <c r="BC405" s="90"/>
      <c r="BD405" s="90"/>
      <c r="BE405" s="90"/>
      <c r="BF405" s="90"/>
      <c r="BG405" s="90"/>
      <c r="BH405" s="90"/>
      <c r="BI405" s="90"/>
      <c r="BJ405" s="90"/>
      <c r="BK405" s="90"/>
      <c r="BL405" s="90"/>
      <c r="BM405" s="90"/>
      <c r="BN405" s="90"/>
      <c r="BO405" s="90"/>
      <c r="BP405" s="90"/>
    </row>
    <row r="406" spans="1:68" ht="9.7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c r="BK406" s="90"/>
      <c r="BL406" s="90"/>
      <c r="BM406" s="90"/>
      <c r="BN406" s="90"/>
      <c r="BO406" s="90"/>
      <c r="BP406" s="90"/>
    </row>
    <row r="407" spans="1:68" ht="9.7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c r="BF407" s="90"/>
      <c r="BG407" s="90"/>
      <c r="BH407" s="90"/>
      <c r="BI407" s="90"/>
      <c r="BJ407" s="90"/>
      <c r="BK407" s="90"/>
      <c r="BL407" s="90"/>
      <c r="BM407" s="90"/>
      <c r="BN407" s="90"/>
      <c r="BO407" s="90"/>
      <c r="BP407" s="90"/>
    </row>
    <row r="408" spans="1:68" ht="9.7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c r="BF408" s="90"/>
      <c r="BG408" s="90"/>
      <c r="BH408" s="90"/>
      <c r="BI408" s="90"/>
      <c r="BJ408" s="90"/>
      <c r="BK408" s="90"/>
      <c r="BL408" s="90"/>
      <c r="BM408" s="90"/>
      <c r="BN408" s="90"/>
      <c r="BO408" s="90"/>
      <c r="BP408" s="90"/>
    </row>
    <row r="409" spans="1:68" ht="9.7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c r="BB409" s="90"/>
      <c r="BC409" s="90"/>
      <c r="BD409" s="90"/>
      <c r="BE409" s="90"/>
      <c r="BF409" s="90"/>
      <c r="BG409" s="90"/>
      <c r="BH409" s="90"/>
      <c r="BI409" s="90"/>
      <c r="BJ409" s="90"/>
      <c r="BK409" s="90"/>
      <c r="BL409" s="90"/>
      <c r="BM409" s="90"/>
      <c r="BN409" s="90"/>
      <c r="BO409" s="90"/>
      <c r="BP409" s="90"/>
    </row>
    <row r="410" spans="1:68" ht="9.7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c r="BH410" s="90"/>
      <c r="BI410" s="90"/>
      <c r="BJ410" s="90"/>
      <c r="BK410" s="90"/>
      <c r="BL410" s="90"/>
      <c r="BM410" s="90"/>
      <c r="BN410" s="90"/>
      <c r="BO410" s="90"/>
      <c r="BP410" s="90"/>
    </row>
    <row r="411" spans="1:68" ht="9.7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c r="BB411" s="90"/>
      <c r="BC411" s="90"/>
      <c r="BD411" s="90"/>
      <c r="BE411" s="90"/>
      <c r="BF411" s="90"/>
      <c r="BG411" s="90"/>
      <c r="BH411" s="90"/>
      <c r="BI411" s="90"/>
      <c r="BJ411" s="90"/>
      <c r="BK411" s="90"/>
      <c r="BL411" s="90"/>
      <c r="BM411" s="90"/>
      <c r="BN411" s="90"/>
      <c r="BO411" s="90"/>
      <c r="BP411" s="90"/>
    </row>
    <row r="412" spans="1:68" ht="9.7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c r="BF412" s="90"/>
      <c r="BG412" s="90"/>
      <c r="BH412" s="90"/>
      <c r="BI412" s="90"/>
      <c r="BJ412" s="90"/>
      <c r="BK412" s="90"/>
      <c r="BL412" s="90"/>
      <c r="BM412" s="90"/>
      <c r="BN412" s="90"/>
      <c r="BO412" s="90"/>
      <c r="BP412" s="90"/>
    </row>
    <row r="413" spans="1:68" ht="9.7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c r="BB413" s="90"/>
      <c r="BC413" s="90"/>
      <c r="BD413" s="90"/>
      <c r="BE413" s="90"/>
      <c r="BF413" s="90"/>
      <c r="BG413" s="90"/>
      <c r="BH413" s="90"/>
      <c r="BI413" s="90"/>
      <c r="BJ413" s="90"/>
      <c r="BK413" s="90"/>
      <c r="BL413" s="90"/>
      <c r="BM413" s="90"/>
      <c r="BN413" s="90"/>
      <c r="BO413" s="90"/>
      <c r="BP413" s="90"/>
    </row>
    <row r="414" spans="1:68" ht="9.7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c r="BF414" s="90"/>
      <c r="BG414" s="90"/>
      <c r="BH414" s="90"/>
      <c r="BI414" s="90"/>
      <c r="BJ414" s="90"/>
      <c r="BK414" s="90"/>
      <c r="BL414" s="90"/>
      <c r="BM414" s="90"/>
      <c r="BN414" s="90"/>
      <c r="BO414" s="90"/>
      <c r="BP414" s="90"/>
    </row>
    <row r="415" spans="1:68" ht="9.7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c r="BH415" s="90"/>
      <c r="BI415" s="90"/>
      <c r="BJ415" s="90"/>
      <c r="BK415" s="90"/>
      <c r="BL415" s="90"/>
      <c r="BM415" s="90"/>
      <c r="BN415" s="90"/>
      <c r="BO415" s="90"/>
      <c r="BP415" s="90"/>
    </row>
    <row r="416" spans="1:68" ht="9.7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c r="BH416" s="90"/>
      <c r="BI416" s="90"/>
      <c r="BJ416" s="90"/>
      <c r="BK416" s="90"/>
      <c r="BL416" s="90"/>
      <c r="BM416" s="90"/>
      <c r="BN416" s="90"/>
      <c r="BO416" s="90"/>
      <c r="BP416" s="90"/>
    </row>
    <row r="417" spans="1:68" ht="9.7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c r="BB417" s="90"/>
      <c r="BC417" s="90"/>
      <c r="BD417" s="90"/>
      <c r="BE417" s="90"/>
      <c r="BF417" s="90"/>
      <c r="BG417" s="90"/>
      <c r="BH417" s="90"/>
      <c r="BI417" s="90"/>
      <c r="BJ417" s="90"/>
      <c r="BK417" s="90"/>
      <c r="BL417" s="90"/>
      <c r="BM417" s="90"/>
      <c r="BN417" s="90"/>
      <c r="BO417" s="90"/>
      <c r="BP417" s="90"/>
    </row>
    <row r="418" spans="1:68" ht="9.7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c r="BH418" s="90"/>
      <c r="BI418" s="90"/>
      <c r="BJ418" s="90"/>
      <c r="BK418" s="90"/>
      <c r="BL418" s="90"/>
      <c r="BM418" s="90"/>
      <c r="BN418" s="90"/>
      <c r="BO418" s="90"/>
      <c r="BP418" s="90"/>
    </row>
    <row r="419" spans="1:68" ht="9.7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c r="BB419" s="90"/>
      <c r="BC419" s="90"/>
      <c r="BD419" s="90"/>
      <c r="BE419" s="90"/>
      <c r="BF419" s="90"/>
      <c r="BG419" s="90"/>
      <c r="BH419" s="90"/>
      <c r="BI419" s="90"/>
      <c r="BJ419" s="90"/>
      <c r="BK419" s="90"/>
      <c r="BL419" s="90"/>
      <c r="BM419" s="90"/>
      <c r="BN419" s="90"/>
      <c r="BO419" s="90"/>
      <c r="BP419" s="90"/>
    </row>
    <row r="420" spans="1:68" ht="9.7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c r="BB420" s="90"/>
      <c r="BC420" s="90"/>
      <c r="BD420" s="90"/>
      <c r="BE420" s="90"/>
      <c r="BF420" s="90"/>
      <c r="BG420" s="90"/>
      <c r="BH420" s="90"/>
      <c r="BI420" s="90"/>
      <c r="BJ420" s="90"/>
      <c r="BK420" s="90"/>
      <c r="BL420" s="90"/>
      <c r="BM420" s="90"/>
      <c r="BN420" s="90"/>
      <c r="BO420" s="90"/>
      <c r="BP420" s="90"/>
    </row>
    <row r="421" spans="1:68" ht="9.7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c r="BH421" s="90"/>
      <c r="BI421" s="90"/>
      <c r="BJ421" s="90"/>
      <c r="BK421" s="90"/>
      <c r="BL421" s="90"/>
      <c r="BM421" s="90"/>
      <c r="BN421" s="90"/>
      <c r="BO421" s="90"/>
      <c r="BP421" s="90"/>
    </row>
    <row r="422" spans="1:68" ht="9.7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c r="BH422" s="90"/>
      <c r="BI422" s="90"/>
      <c r="BJ422" s="90"/>
      <c r="BK422" s="90"/>
      <c r="BL422" s="90"/>
      <c r="BM422" s="90"/>
      <c r="BN422" s="90"/>
      <c r="BO422" s="90"/>
      <c r="BP422" s="90"/>
    </row>
    <row r="423" spans="1:68" ht="9.7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c r="BF423" s="90"/>
      <c r="BG423" s="90"/>
      <c r="BH423" s="90"/>
      <c r="BI423" s="90"/>
      <c r="BJ423" s="90"/>
      <c r="BK423" s="90"/>
      <c r="BL423" s="90"/>
      <c r="BM423" s="90"/>
      <c r="BN423" s="90"/>
      <c r="BO423" s="90"/>
      <c r="BP423" s="90"/>
    </row>
    <row r="424" spans="1:68" ht="9.7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c r="BF424" s="90"/>
      <c r="BG424" s="90"/>
      <c r="BH424" s="90"/>
      <c r="BI424" s="90"/>
      <c r="BJ424" s="90"/>
      <c r="BK424" s="90"/>
      <c r="BL424" s="90"/>
      <c r="BM424" s="90"/>
      <c r="BN424" s="90"/>
      <c r="BO424" s="90"/>
      <c r="BP424" s="90"/>
    </row>
    <row r="425" spans="1:68" ht="9.7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0"/>
      <c r="BL425" s="90"/>
      <c r="BM425" s="90"/>
      <c r="BN425" s="90"/>
      <c r="BO425" s="90"/>
      <c r="BP425" s="90"/>
    </row>
    <row r="426" spans="1:68" ht="9.7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c r="BB426" s="90"/>
      <c r="BC426" s="90"/>
      <c r="BD426" s="90"/>
      <c r="BE426" s="90"/>
      <c r="BF426" s="90"/>
      <c r="BG426" s="90"/>
      <c r="BH426" s="90"/>
      <c r="BI426" s="90"/>
      <c r="BJ426" s="90"/>
      <c r="BK426" s="90"/>
      <c r="BL426" s="90"/>
      <c r="BM426" s="90"/>
      <c r="BN426" s="90"/>
      <c r="BO426" s="90"/>
      <c r="BP426" s="90"/>
    </row>
    <row r="427" spans="1:68" ht="9.7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c r="BH427" s="90"/>
      <c r="BI427" s="90"/>
      <c r="BJ427" s="90"/>
      <c r="BK427" s="90"/>
      <c r="BL427" s="90"/>
      <c r="BM427" s="90"/>
      <c r="BN427" s="90"/>
      <c r="BO427" s="90"/>
      <c r="BP427" s="90"/>
    </row>
    <row r="428" spans="1:68" ht="9.7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c r="BB428" s="90"/>
      <c r="BC428" s="90"/>
      <c r="BD428" s="90"/>
      <c r="BE428" s="90"/>
      <c r="BF428" s="90"/>
      <c r="BG428" s="90"/>
      <c r="BH428" s="90"/>
      <c r="BI428" s="90"/>
      <c r="BJ428" s="90"/>
      <c r="BK428" s="90"/>
      <c r="BL428" s="90"/>
      <c r="BM428" s="90"/>
      <c r="BN428" s="90"/>
      <c r="BO428" s="90"/>
      <c r="BP428" s="90"/>
    </row>
    <row r="429" spans="1:68" ht="9.7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c r="BH429" s="90"/>
      <c r="BI429" s="90"/>
      <c r="BJ429" s="90"/>
      <c r="BK429" s="90"/>
      <c r="BL429" s="90"/>
      <c r="BM429" s="90"/>
      <c r="BN429" s="90"/>
      <c r="BO429" s="90"/>
      <c r="BP429" s="90"/>
    </row>
    <row r="430" spans="1:68" ht="9.7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c r="BB430" s="90"/>
      <c r="BC430" s="90"/>
      <c r="BD430" s="90"/>
      <c r="BE430" s="90"/>
      <c r="BF430" s="90"/>
      <c r="BG430" s="90"/>
      <c r="BH430" s="90"/>
      <c r="BI430" s="90"/>
      <c r="BJ430" s="90"/>
      <c r="BK430" s="90"/>
      <c r="BL430" s="90"/>
      <c r="BM430" s="90"/>
      <c r="BN430" s="90"/>
      <c r="BO430" s="90"/>
      <c r="BP430" s="90"/>
    </row>
    <row r="431" spans="1:68" ht="9.7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c r="BF431" s="90"/>
      <c r="BG431" s="90"/>
      <c r="BH431" s="90"/>
      <c r="BI431" s="90"/>
      <c r="BJ431" s="90"/>
      <c r="BK431" s="90"/>
      <c r="BL431" s="90"/>
      <c r="BM431" s="90"/>
      <c r="BN431" s="90"/>
      <c r="BO431" s="90"/>
      <c r="BP431" s="90"/>
    </row>
    <row r="432" spans="1:68" ht="9.7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c r="BH432" s="90"/>
      <c r="BI432" s="90"/>
      <c r="BJ432" s="90"/>
      <c r="BK432" s="90"/>
      <c r="BL432" s="90"/>
      <c r="BM432" s="90"/>
      <c r="BN432" s="90"/>
      <c r="BO432" s="90"/>
      <c r="BP432" s="90"/>
    </row>
    <row r="433" spans="1:68" ht="9.7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row>
    <row r="434" spans="1:68" ht="9.7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c r="BH434" s="90"/>
      <c r="BI434" s="90"/>
      <c r="BJ434" s="90"/>
      <c r="BK434" s="90"/>
      <c r="BL434" s="90"/>
      <c r="BM434" s="90"/>
      <c r="BN434" s="90"/>
      <c r="BO434" s="90"/>
      <c r="BP434" s="90"/>
    </row>
    <row r="435" spans="1:68" ht="9.7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c r="BF435" s="90"/>
      <c r="BG435" s="90"/>
      <c r="BH435" s="90"/>
      <c r="BI435" s="90"/>
      <c r="BJ435" s="90"/>
      <c r="BK435" s="90"/>
      <c r="BL435" s="90"/>
      <c r="BM435" s="90"/>
      <c r="BN435" s="90"/>
      <c r="BO435" s="90"/>
      <c r="BP435" s="90"/>
    </row>
    <row r="436" spans="1:68" ht="9.7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c r="BF436" s="90"/>
      <c r="BG436" s="90"/>
      <c r="BH436" s="90"/>
      <c r="BI436" s="90"/>
      <c r="BJ436" s="90"/>
      <c r="BK436" s="90"/>
      <c r="BL436" s="90"/>
      <c r="BM436" s="90"/>
      <c r="BN436" s="90"/>
      <c r="BO436" s="90"/>
      <c r="BP436" s="90"/>
    </row>
    <row r="437" spans="1:68" ht="9.7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c r="BF437" s="90"/>
      <c r="BG437" s="90"/>
      <c r="BH437" s="90"/>
      <c r="BI437" s="90"/>
      <c r="BJ437" s="90"/>
      <c r="BK437" s="90"/>
      <c r="BL437" s="90"/>
      <c r="BM437" s="90"/>
      <c r="BN437" s="90"/>
      <c r="BO437" s="90"/>
      <c r="BP437" s="90"/>
    </row>
    <row r="438" spans="1:68" ht="9.7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c r="BB438" s="90"/>
      <c r="BC438" s="90"/>
      <c r="BD438" s="90"/>
      <c r="BE438" s="90"/>
      <c r="BF438" s="90"/>
      <c r="BG438" s="90"/>
      <c r="BH438" s="90"/>
      <c r="BI438" s="90"/>
      <c r="BJ438" s="90"/>
      <c r="BK438" s="90"/>
      <c r="BL438" s="90"/>
      <c r="BM438" s="90"/>
      <c r="BN438" s="90"/>
      <c r="BO438" s="90"/>
      <c r="BP438" s="90"/>
    </row>
    <row r="439" spans="1:68" ht="9.7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c r="BF439" s="90"/>
      <c r="BG439" s="90"/>
      <c r="BH439" s="90"/>
      <c r="BI439" s="90"/>
      <c r="BJ439" s="90"/>
      <c r="BK439" s="90"/>
      <c r="BL439" s="90"/>
      <c r="BM439" s="90"/>
      <c r="BN439" s="90"/>
      <c r="BO439" s="90"/>
      <c r="BP439" s="90"/>
    </row>
    <row r="440" spans="1:68" ht="9.7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c r="BB440" s="90"/>
      <c r="BC440" s="90"/>
      <c r="BD440" s="90"/>
      <c r="BE440" s="90"/>
      <c r="BF440" s="90"/>
      <c r="BG440" s="90"/>
      <c r="BH440" s="90"/>
      <c r="BI440" s="90"/>
      <c r="BJ440" s="90"/>
      <c r="BK440" s="90"/>
      <c r="BL440" s="90"/>
      <c r="BM440" s="90"/>
      <c r="BN440" s="90"/>
      <c r="BO440" s="90"/>
      <c r="BP440" s="90"/>
    </row>
    <row r="441" spans="1:68" ht="9.7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c r="BB441" s="90"/>
      <c r="BC441" s="90"/>
      <c r="BD441" s="90"/>
      <c r="BE441" s="90"/>
      <c r="BF441" s="90"/>
      <c r="BG441" s="90"/>
      <c r="BH441" s="90"/>
      <c r="BI441" s="90"/>
      <c r="BJ441" s="90"/>
      <c r="BK441" s="90"/>
      <c r="BL441" s="90"/>
      <c r="BM441" s="90"/>
      <c r="BN441" s="90"/>
      <c r="BO441" s="90"/>
      <c r="BP441" s="90"/>
    </row>
    <row r="442" spans="1:68" ht="9.7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c r="BB442" s="90"/>
      <c r="BC442" s="90"/>
      <c r="BD442" s="90"/>
      <c r="BE442" s="90"/>
      <c r="BF442" s="90"/>
      <c r="BG442" s="90"/>
      <c r="BH442" s="90"/>
      <c r="BI442" s="90"/>
      <c r="BJ442" s="90"/>
      <c r="BK442" s="90"/>
      <c r="BL442" s="90"/>
      <c r="BM442" s="90"/>
      <c r="BN442" s="90"/>
      <c r="BO442" s="90"/>
      <c r="BP442" s="90"/>
    </row>
    <row r="443" spans="1:68" ht="9.7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c r="BH443" s="90"/>
      <c r="BI443" s="90"/>
      <c r="BJ443" s="90"/>
      <c r="BK443" s="90"/>
      <c r="BL443" s="90"/>
      <c r="BM443" s="90"/>
      <c r="BN443" s="90"/>
      <c r="BO443" s="90"/>
      <c r="BP443" s="90"/>
    </row>
    <row r="444" spans="1:68" ht="9.7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c r="BH444" s="90"/>
      <c r="BI444" s="90"/>
      <c r="BJ444" s="90"/>
      <c r="BK444" s="90"/>
      <c r="BL444" s="90"/>
      <c r="BM444" s="90"/>
      <c r="BN444" s="90"/>
      <c r="BO444" s="90"/>
      <c r="BP444" s="90"/>
    </row>
    <row r="445" spans="1:68" ht="9.7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c r="BF445" s="90"/>
      <c r="BG445" s="90"/>
      <c r="BH445" s="90"/>
      <c r="BI445" s="90"/>
      <c r="BJ445" s="90"/>
      <c r="BK445" s="90"/>
      <c r="BL445" s="90"/>
      <c r="BM445" s="90"/>
      <c r="BN445" s="90"/>
      <c r="BO445" s="90"/>
      <c r="BP445" s="90"/>
    </row>
    <row r="446" spans="1:68" ht="9.7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c r="BB446" s="90"/>
      <c r="BC446" s="90"/>
      <c r="BD446" s="90"/>
      <c r="BE446" s="90"/>
      <c r="BF446" s="90"/>
      <c r="BG446" s="90"/>
      <c r="BH446" s="90"/>
      <c r="BI446" s="90"/>
      <c r="BJ446" s="90"/>
      <c r="BK446" s="90"/>
      <c r="BL446" s="90"/>
      <c r="BM446" s="90"/>
      <c r="BN446" s="90"/>
      <c r="BO446" s="90"/>
      <c r="BP446" s="90"/>
    </row>
    <row r="447" spans="1:68" ht="9.7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c r="BF447" s="90"/>
      <c r="BG447" s="90"/>
      <c r="BH447" s="90"/>
      <c r="BI447" s="90"/>
      <c r="BJ447" s="90"/>
      <c r="BK447" s="90"/>
      <c r="BL447" s="90"/>
      <c r="BM447" s="90"/>
      <c r="BN447" s="90"/>
      <c r="BO447" s="90"/>
      <c r="BP447" s="90"/>
    </row>
    <row r="448" spans="1:68" ht="9.7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c r="BB448" s="90"/>
      <c r="BC448" s="90"/>
      <c r="BD448" s="90"/>
      <c r="BE448" s="90"/>
      <c r="BF448" s="90"/>
      <c r="BG448" s="90"/>
      <c r="BH448" s="90"/>
      <c r="BI448" s="90"/>
      <c r="BJ448" s="90"/>
      <c r="BK448" s="90"/>
      <c r="BL448" s="90"/>
      <c r="BM448" s="90"/>
      <c r="BN448" s="90"/>
      <c r="BO448" s="90"/>
      <c r="BP448" s="90"/>
    </row>
    <row r="449" spans="1:68" ht="9.7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c r="BB449" s="90"/>
      <c r="BC449" s="90"/>
      <c r="BD449" s="90"/>
      <c r="BE449" s="90"/>
      <c r="BF449" s="90"/>
      <c r="BG449" s="90"/>
      <c r="BH449" s="90"/>
      <c r="BI449" s="90"/>
      <c r="BJ449" s="90"/>
      <c r="BK449" s="90"/>
      <c r="BL449" s="90"/>
      <c r="BM449" s="90"/>
      <c r="BN449" s="90"/>
      <c r="BO449" s="90"/>
      <c r="BP449" s="90"/>
    </row>
    <row r="450" spans="1:68" ht="9.7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0"/>
      <c r="BH450" s="90"/>
      <c r="BI450" s="90"/>
      <c r="BJ450" s="90"/>
      <c r="BK450" s="90"/>
      <c r="BL450" s="90"/>
      <c r="BM450" s="90"/>
      <c r="BN450" s="90"/>
      <c r="BO450" s="90"/>
      <c r="BP450" s="90"/>
    </row>
    <row r="451" spans="1:68" ht="9.7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c r="BB451" s="90"/>
      <c r="BC451" s="90"/>
      <c r="BD451" s="90"/>
      <c r="BE451" s="90"/>
      <c r="BF451" s="90"/>
      <c r="BG451" s="90"/>
      <c r="BH451" s="90"/>
      <c r="BI451" s="90"/>
      <c r="BJ451" s="90"/>
      <c r="BK451" s="90"/>
      <c r="BL451" s="90"/>
      <c r="BM451" s="90"/>
      <c r="BN451" s="90"/>
      <c r="BO451" s="90"/>
      <c r="BP451" s="90"/>
    </row>
    <row r="452" spans="1:68" ht="9.7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c r="BB452" s="90"/>
      <c r="BC452" s="90"/>
      <c r="BD452" s="90"/>
      <c r="BE452" s="90"/>
      <c r="BF452" s="90"/>
      <c r="BG452" s="90"/>
      <c r="BH452" s="90"/>
      <c r="BI452" s="90"/>
      <c r="BJ452" s="90"/>
      <c r="BK452" s="90"/>
      <c r="BL452" s="90"/>
      <c r="BM452" s="90"/>
      <c r="BN452" s="90"/>
      <c r="BO452" s="90"/>
      <c r="BP452" s="90"/>
    </row>
    <row r="453" spans="1:68" ht="9.7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0"/>
      <c r="BH453" s="90"/>
      <c r="BI453" s="90"/>
      <c r="BJ453" s="90"/>
      <c r="BK453" s="90"/>
      <c r="BL453" s="90"/>
      <c r="BM453" s="90"/>
      <c r="BN453" s="90"/>
      <c r="BO453" s="90"/>
      <c r="BP453" s="90"/>
    </row>
    <row r="454" spans="1:68" ht="9.7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90"/>
      <c r="BJ454" s="90"/>
      <c r="BK454" s="90"/>
      <c r="BL454" s="90"/>
      <c r="BM454" s="90"/>
      <c r="BN454" s="90"/>
      <c r="BO454" s="90"/>
      <c r="BP454" s="90"/>
    </row>
    <row r="455" spans="1:68" ht="9.7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c r="BK455" s="90"/>
      <c r="BL455" s="90"/>
      <c r="BM455" s="90"/>
      <c r="BN455" s="90"/>
      <c r="BO455" s="90"/>
      <c r="BP455" s="90"/>
    </row>
    <row r="456" spans="1:68" ht="9.7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c r="BF456" s="90"/>
      <c r="BG456" s="90"/>
      <c r="BH456" s="90"/>
      <c r="BI456" s="90"/>
      <c r="BJ456" s="90"/>
      <c r="BK456" s="90"/>
      <c r="BL456" s="90"/>
      <c r="BM456" s="90"/>
      <c r="BN456" s="90"/>
      <c r="BO456" s="90"/>
      <c r="BP456" s="90"/>
    </row>
    <row r="457" spans="1:68" ht="9.7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c r="BK457" s="90"/>
      <c r="BL457" s="90"/>
      <c r="BM457" s="90"/>
      <c r="BN457" s="90"/>
      <c r="BO457" s="90"/>
      <c r="BP457" s="90"/>
    </row>
    <row r="458" spans="1:68" ht="9.7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c r="BF458" s="90"/>
      <c r="BG458" s="90"/>
      <c r="BH458" s="90"/>
      <c r="BI458" s="90"/>
      <c r="BJ458" s="90"/>
      <c r="BK458" s="90"/>
      <c r="BL458" s="90"/>
      <c r="BM458" s="90"/>
      <c r="BN458" s="90"/>
      <c r="BO458" s="90"/>
      <c r="BP458" s="90"/>
    </row>
    <row r="459" spans="1:68" ht="9.7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row>
    <row r="460" spans="1:68" ht="9.7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c r="BF460" s="90"/>
      <c r="BG460" s="90"/>
      <c r="BH460" s="90"/>
      <c r="BI460" s="90"/>
      <c r="BJ460" s="90"/>
      <c r="BK460" s="90"/>
      <c r="BL460" s="90"/>
      <c r="BM460" s="90"/>
      <c r="BN460" s="90"/>
      <c r="BO460" s="90"/>
      <c r="BP460" s="90"/>
    </row>
    <row r="461" spans="1:68" ht="9.7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c r="BP461" s="90"/>
    </row>
    <row r="462" spans="1:68" ht="9.7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90"/>
      <c r="BJ462" s="90"/>
      <c r="BK462" s="90"/>
      <c r="BL462" s="90"/>
      <c r="BM462" s="90"/>
      <c r="BN462" s="90"/>
      <c r="BO462" s="90"/>
      <c r="BP462" s="90"/>
    </row>
    <row r="463" spans="1:68" ht="9.7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c r="BP463" s="90"/>
    </row>
    <row r="464" spans="1:68" ht="9.7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c r="BB464" s="90"/>
      <c r="BC464" s="90"/>
      <c r="BD464" s="90"/>
      <c r="BE464" s="90"/>
      <c r="BF464" s="90"/>
      <c r="BG464" s="90"/>
      <c r="BH464" s="90"/>
      <c r="BI464" s="90"/>
      <c r="BJ464" s="90"/>
      <c r="BK464" s="90"/>
      <c r="BL464" s="90"/>
      <c r="BM464" s="90"/>
      <c r="BN464" s="90"/>
      <c r="BO464" s="90"/>
      <c r="BP464" s="90"/>
    </row>
    <row r="465" spans="1:68" ht="9.7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c r="BH465" s="90"/>
      <c r="BI465" s="90"/>
      <c r="BJ465" s="90"/>
      <c r="BK465" s="90"/>
      <c r="BL465" s="90"/>
      <c r="BM465" s="90"/>
      <c r="BN465" s="90"/>
      <c r="BO465" s="90"/>
      <c r="BP465" s="90"/>
    </row>
    <row r="466" spans="1:68" ht="9.7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c r="BB466" s="90"/>
      <c r="BC466" s="90"/>
      <c r="BD466" s="90"/>
      <c r="BE466" s="90"/>
      <c r="BF466" s="90"/>
      <c r="BG466" s="90"/>
      <c r="BH466" s="90"/>
      <c r="BI466" s="90"/>
      <c r="BJ466" s="90"/>
      <c r="BK466" s="90"/>
      <c r="BL466" s="90"/>
      <c r="BM466" s="90"/>
      <c r="BN466" s="90"/>
      <c r="BO466" s="90"/>
      <c r="BP466" s="90"/>
    </row>
    <row r="467" spans="1:68" ht="9.7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c r="BF467" s="90"/>
      <c r="BG467" s="90"/>
      <c r="BH467" s="90"/>
      <c r="BI467" s="90"/>
      <c r="BJ467" s="90"/>
      <c r="BK467" s="90"/>
      <c r="BL467" s="90"/>
      <c r="BM467" s="90"/>
      <c r="BN467" s="90"/>
      <c r="BO467" s="90"/>
      <c r="BP467" s="90"/>
    </row>
    <row r="468" spans="1:68" ht="9.7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c r="BK468" s="90"/>
      <c r="BL468" s="90"/>
      <c r="BM468" s="90"/>
      <c r="BN468" s="90"/>
      <c r="BO468" s="90"/>
      <c r="BP468" s="90"/>
    </row>
    <row r="469" spans="1:68" ht="9.7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c r="BK469" s="90"/>
      <c r="BL469" s="90"/>
      <c r="BM469" s="90"/>
      <c r="BN469" s="90"/>
      <c r="BO469" s="90"/>
      <c r="BP469" s="90"/>
    </row>
    <row r="470" spans="1:68" ht="9.7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c r="BK470" s="90"/>
      <c r="BL470" s="90"/>
      <c r="BM470" s="90"/>
      <c r="BN470" s="90"/>
      <c r="BO470" s="90"/>
      <c r="BP470" s="90"/>
    </row>
    <row r="471" spans="1:68" ht="9.7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c r="BK471" s="90"/>
      <c r="BL471" s="90"/>
      <c r="BM471" s="90"/>
      <c r="BN471" s="90"/>
      <c r="BO471" s="90"/>
      <c r="BP471" s="90"/>
    </row>
    <row r="472" spans="1:68" ht="9.7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c r="BB472" s="90"/>
      <c r="BC472" s="90"/>
      <c r="BD472" s="90"/>
      <c r="BE472" s="90"/>
      <c r="BF472" s="90"/>
      <c r="BG472" s="90"/>
      <c r="BH472" s="90"/>
      <c r="BI472" s="90"/>
      <c r="BJ472" s="90"/>
      <c r="BK472" s="90"/>
      <c r="BL472" s="90"/>
      <c r="BM472" s="90"/>
      <c r="BN472" s="90"/>
      <c r="BO472" s="90"/>
      <c r="BP472" s="90"/>
    </row>
    <row r="473" spans="1:68" ht="9.7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c r="BH473" s="90"/>
      <c r="BI473" s="90"/>
      <c r="BJ473" s="90"/>
      <c r="BK473" s="90"/>
      <c r="BL473" s="90"/>
      <c r="BM473" s="90"/>
      <c r="BN473" s="90"/>
      <c r="BO473" s="90"/>
      <c r="BP473" s="90"/>
    </row>
    <row r="474" spans="1:68" ht="9.7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c r="BF474" s="90"/>
      <c r="BG474" s="90"/>
      <c r="BH474" s="90"/>
      <c r="BI474" s="90"/>
      <c r="BJ474" s="90"/>
      <c r="BK474" s="90"/>
      <c r="BL474" s="90"/>
      <c r="BM474" s="90"/>
      <c r="BN474" s="90"/>
      <c r="BO474" s="90"/>
      <c r="BP474" s="90"/>
    </row>
    <row r="475" spans="1:68" ht="9.7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c r="BF475" s="90"/>
      <c r="BG475" s="90"/>
      <c r="BH475" s="90"/>
      <c r="BI475" s="90"/>
      <c r="BJ475" s="90"/>
      <c r="BK475" s="90"/>
      <c r="BL475" s="90"/>
      <c r="BM475" s="90"/>
      <c r="BN475" s="90"/>
      <c r="BO475" s="90"/>
      <c r="BP475" s="90"/>
    </row>
    <row r="476" spans="1:68" ht="9.7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c r="BB476" s="90"/>
      <c r="BC476" s="90"/>
      <c r="BD476" s="90"/>
      <c r="BE476" s="90"/>
      <c r="BF476" s="90"/>
      <c r="BG476" s="90"/>
      <c r="BH476" s="90"/>
      <c r="BI476" s="90"/>
      <c r="BJ476" s="90"/>
      <c r="BK476" s="90"/>
      <c r="BL476" s="90"/>
      <c r="BM476" s="90"/>
      <c r="BN476" s="90"/>
      <c r="BO476" s="90"/>
      <c r="BP476" s="90"/>
    </row>
    <row r="477" spans="1:68" ht="9.7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c r="BH477" s="90"/>
      <c r="BI477" s="90"/>
      <c r="BJ477" s="90"/>
      <c r="BK477" s="90"/>
      <c r="BL477" s="90"/>
      <c r="BM477" s="90"/>
      <c r="BN477" s="90"/>
      <c r="BO477" s="90"/>
      <c r="BP477" s="90"/>
    </row>
    <row r="478" spans="1:68" ht="9.7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c r="BB478" s="90"/>
      <c r="BC478" s="90"/>
      <c r="BD478" s="90"/>
      <c r="BE478" s="90"/>
      <c r="BF478" s="90"/>
      <c r="BG478" s="90"/>
      <c r="BH478" s="90"/>
      <c r="BI478" s="90"/>
      <c r="BJ478" s="90"/>
      <c r="BK478" s="90"/>
      <c r="BL478" s="90"/>
      <c r="BM478" s="90"/>
      <c r="BN478" s="90"/>
      <c r="BO478" s="90"/>
      <c r="BP478" s="90"/>
    </row>
    <row r="479" spans="1:68" ht="9.7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c r="BF479" s="90"/>
      <c r="BG479" s="90"/>
      <c r="BH479" s="90"/>
      <c r="BI479" s="90"/>
      <c r="BJ479" s="90"/>
      <c r="BK479" s="90"/>
      <c r="BL479" s="90"/>
      <c r="BM479" s="90"/>
      <c r="BN479" s="90"/>
      <c r="BO479" s="90"/>
      <c r="BP479" s="90"/>
    </row>
    <row r="480" spans="1:68" ht="9.7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c r="BB480" s="90"/>
      <c r="BC480" s="90"/>
      <c r="BD480" s="90"/>
      <c r="BE480" s="90"/>
      <c r="BF480" s="90"/>
      <c r="BG480" s="90"/>
      <c r="BH480" s="90"/>
      <c r="BI480" s="90"/>
      <c r="BJ480" s="90"/>
      <c r="BK480" s="90"/>
      <c r="BL480" s="90"/>
      <c r="BM480" s="90"/>
      <c r="BN480" s="90"/>
      <c r="BO480" s="90"/>
      <c r="BP480" s="90"/>
    </row>
    <row r="481" spans="1:68" ht="9.7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c r="BF481" s="90"/>
      <c r="BG481" s="90"/>
      <c r="BH481" s="90"/>
      <c r="BI481" s="90"/>
      <c r="BJ481" s="90"/>
      <c r="BK481" s="90"/>
      <c r="BL481" s="90"/>
      <c r="BM481" s="90"/>
      <c r="BN481" s="90"/>
      <c r="BO481" s="90"/>
      <c r="BP481" s="90"/>
    </row>
    <row r="482" spans="1:68" ht="9.7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c r="BH482" s="90"/>
      <c r="BI482" s="90"/>
      <c r="BJ482" s="90"/>
      <c r="BK482" s="90"/>
      <c r="BL482" s="90"/>
      <c r="BM482" s="90"/>
      <c r="BN482" s="90"/>
      <c r="BO482" s="90"/>
      <c r="BP482" s="90"/>
    </row>
    <row r="483" spans="1:68" ht="9.7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row>
    <row r="484" spans="1:68" ht="9.7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0"/>
      <c r="BH484" s="90"/>
      <c r="BI484" s="90"/>
      <c r="BJ484" s="90"/>
      <c r="BK484" s="90"/>
      <c r="BL484" s="90"/>
      <c r="BM484" s="90"/>
      <c r="BN484" s="90"/>
      <c r="BO484" s="90"/>
      <c r="BP484" s="90"/>
    </row>
    <row r="485" spans="1:68" ht="9.7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c r="BK485" s="90"/>
      <c r="BL485" s="90"/>
      <c r="BM485" s="90"/>
      <c r="BN485" s="90"/>
      <c r="BO485" s="90"/>
      <c r="BP485" s="90"/>
    </row>
    <row r="486" spans="1:68" ht="9.7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0"/>
      <c r="BL486" s="90"/>
      <c r="BM486" s="90"/>
      <c r="BN486" s="90"/>
      <c r="BO486" s="90"/>
      <c r="BP486" s="90"/>
    </row>
    <row r="487" spans="1:68" ht="9.7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c r="BP487" s="90"/>
    </row>
    <row r="488" spans="1:68" ht="9.7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c r="BF488" s="90"/>
      <c r="BG488" s="90"/>
      <c r="BH488" s="90"/>
      <c r="BI488" s="90"/>
      <c r="BJ488" s="90"/>
      <c r="BK488" s="90"/>
      <c r="BL488" s="90"/>
      <c r="BM488" s="90"/>
      <c r="BN488" s="90"/>
      <c r="BO488" s="90"/>
      <c r="BP488" s="90"/>
    </row>
    <row r="489" spans="1:68" ht="9.7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c r="BP489" s="90"/>
    </row>
    <row r="490" spans="1:68" ht="9.7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c r="BB490" s="90"/>
      <c r="BC490" s="90"/>
      <c r="BD490" s="90"/>
      <c r="BE490" s="90"/>
      <c r="BF490" s="90"/>
      <c r="BG490" s="90"/>
      <c r="BH490" s="90"/>
      <c r="BI490" s="90"/>
      <c r="BJ490" s="90"/>
      <c r="BK490" s="90"/>
      <c r="BL490" s="90"/>
      <c r="BM490" s="90"/>
      <c r="BN490" s="90"/>
      <c r="BO490" s="90"/>
      <c r="BP490" s="90"/>
    </row>
    <row r="491" spans="1:68" ht="9.7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c r="BB491" s="90"/>
      <c r="BC491" s="90"/>
      <c r="BD491" s="90"/>
      <c r="BE491" s="90"/>
      <c r="BF491" s="90"/>
      <c r="BG491" s="90"/>
      <c r="BH491" s="90"/>
      <c r="BI491" s="90"/>
      <c r="BJ491" s="90"/>
      <c r="BK491" s="90"/>
      <c r="BL491" s="90"/>
      <c r="BM491" s="90"/>
      <c r="BN491" s="90"/>
      <c r="BO491" s="90"/>
      <c r="BP491" s="90"/>
    </row>
    <row r="492" spans="1:68" ht="9.7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c r="BF492" s="90"/>
      <c r="BG492" s="90"/>
      <c r="BH492" s="90"/>
      <c r="BI492" s="90"/>
      <c r="BJ492" s="90"/>
      <c r="BK492" s="90"/>
      <c r="BL492" s="90"/>
      <c r="BM492" s="90"/>
      <c r="BN492" s="90"/>
      <c r="BO492" s="90"/>
      <c r="BP492" s="90"/>
    </row>
    <row r="493" spans="1:68" ht="9.7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c r="BF493" s="90"/>
      <c r="BG493" s="90"/>
      <c r="BH493" s="90"/>
      <c r="BI493" s="90"/>
      <c r="BJ493" s="90"/>
      <c r="BK493" s="90"/>
      <c r="BL493" s="90"/>
      <c r="BM493" s="90"/>
      <c r="BN493" s="90"/>
      <c r="BO493" s="90"/>
      <c r="BP493" s="90"/>
    </row>
    <row r="494" spans="1:68" ht="9.7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c r="BB494" s="90"/>
      <c r="BC494" s="90"/>
      <c r="BD494" s="90"/>
      <c r="BE494" s="90"/>
      <c r="BF494" s="90"/>
      <c r="BG494" s="90"/>
      <c r="BH494" s="90"/>
      <c r="BI494" s="90"/>
      <c r="BJ494" s="90"/>
      <c r="BK494" s="90"/>
      <c r="BL494" s="90"/>
      <c r="BM494" s="90"/>
      <c r="BN494" s="90"/>
      <c r="BO494" s="90"/>
      <c r="BP494" s="90"/>
    </row>
    <row r="495" spans="1:68" ht="9.7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c r="BH495" s="90"/>
      <c r="BI495" s="90"/>
      <c r="BJ495" s="90"/>
      <c r="BK495" s="90"/>
      <c r="BL495" s="90"/>
      <c r="BM495" s="90"/>
      <c r="BN495" s="90"/>
      <c r="BO495" s="90"/>
      <c r="BP495" s="90"/>
    </row>
    <row r="496" spans="1:68" ht="9.7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c r="BH496" s="90"/>
      <c r="BI496" s="90"/>
      <c r="BJ496" s="90"/>
      <c r="BK496" s="90"/>
      <c r="BL496" s="90"/>
      <c r="BM496" s="90"/>
      <c r="BN496" s="90"/>
      <c r="BO496" s="90"/>
      <c r="BP496" s="90"/>
    </row>
    <row r="497" spans="1:68" ht="9.7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c r="BF497" s="90"/>
      <c r="BG497" s="90"/>
      <c r="BH497" s="90"/>
      <c r="BI497" s="90"/>
      <c r="BJ497" s="90"/>
      <c r="BK497" s="90"/>
      <c r="BL497" s="90"/>
      <c r="BM497" s="90"/>
      <c r="BN497" s="90"/>
      <c r="BO497" s="90"/>
      <c r="BP497" s="90"/>
    </row>
    <row r="498" spans="1:68" ht="9.7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c r="BH498" s="90"/>
      <c r="BI498" s="90"/>
      <c r="BJ498" s="90"/>
      <c r="BK498" s="90"/>
      <c r="BL498" s="90"/>
      <c r="BM498" s="90"/>
      <c r="BN498" s="90"/>
      <c r="BO498" s="90"/>
      <c r="BP498" s="90"/>
    </row>
    <row r="499" spans="1:68" ht="9.7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0"/>
      <c r="BI499" s="90"/>
      <c r="BJ499" s="90"/>
      <c r="BK499" s="90"/>
      <c r="BL499" s="90"/>
      <c r="BM499" s="90"/>
      <c r="BN499" s="90"/>
      <c r="BO499" s="90"/>
      <c r="BP499" s="90"/>
    </row>
    <row r="500" spans="1:68" ht="9.7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90"/>
      <c r="BH500" s="90"/>
      <c r="BI500" s="90"/>
      <c r="BJ500" s="90"/>
      <c r="BK500" s="90"/>
      <c r="BL500" s="90"/>
      <c r="BM500" s="90"/>
      <c r="BN500" s="90"/>
      <c r="BO500" s="90"/>
      <c r="BP500" s="90"/>
    </row>
    <row r="501" spans="1:68" ht="9.7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90"/>
      <c r="BH501" s="90"/>
      <c r="BI501" s="90"/>
      <c r="BJ501" s="90"/>
      <c r="BK501" s="90"/>
      <c r="BL501" s="90"/>
      <c r="BM501" s="90"/>
      <c r="BN501" s="90"/>
      <c r="BO501" s="90"/>
      <c r="BP501" s="90"/>
    </row>
    <row r="502" spans="1:68" ht="9.7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c r="BB502" s="90"/>
      <c r="BC502" s="90"/>
      <c r="BD502" s="90"/>
      <c r="BE502" s="90"/>
      <c r="BF502" s="90"/>
      <c r="BG502" s="90"/>
      <c r="BH502" s="90"/>
      <c r="BI502" s="90"/>
      <c r="BJ502" s="90"/>
      <c r="BK502" s="90"/>
      <c r="BL502" s="90"/>
      <c r="BM502" s="90"/>
      <c r="BN502" s="90"/>
      <c r="BO502" s="90"/>
      <c r="BP502" s="90"/>
    </row>
    <row r="503" spans="1:68" ht="9.7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90"/>
      <c r="BH503" s="90"/>
      <c r="BI503" s="90"/>
      <c r="BJ503" s="90"/>
      <c r="BK503" s="90"/>
      <c r="BL503" s="90"/>
      <c r="BM503" s="90"/>
      <c r="BN503" s="90"/>
      <c r="BO503" s="90"/>
      <c r="BP503" s="90"/>
    </row>
    <row r="504" spans="1:68" ht="9.7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c r="BF504" s="90"/>
      <c r="BG504" s="90"/>
      <c r="BH504" s="90"/>
      <c r="BI504" s="90"/>
      <c r="BJ504" s="90"/>
      <c r="BK504" s="90"/>
      <c r="BL504" s="90"/>
      <c r="BM504" s="90"/>
      <c r="BN504" s="90"/>
      <c r="BO504" s="90"/>
      <c r="BP504" s="90"/>
    </row>
    <row r="505" spans="1:68" ht="9.7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c r="BF505" s="90"/>
      <c r="BG505" s="90"/>
      <c r="BH505" s="90"/>
      <c r="BI505" s="90"/>
      <c r="BJ505" s="90"/>
      <c r="BK505" s="90"/>
      <c r="BL505" s="90"/>
      <c r="BM505" s="90"/>
      <c r="BN505" s="90"/>
      <c r="BO505" s="90"/>
      <c r="BP505" s="90"/>
    </row>
    <row r="506" spans="1:68" ht="9.7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c r="BF506" s="90"/>
      <c r="BG506" s="90"/>
      <c r="BH506" s="90"/>
      <c r="BI506" s="90"/>
      <c r="BJ506" s="90"/>
      <c r="BK506" s="90"/>
      <c r="BL506" s="90"/>
      <c r="BM506" s="90"/>
      <c r="BN506" s="90"/>
      <c r="BO506" s="90"/>
      <c r="BP506" s="90"/>
    </row>
    <row r="507" spans="1:68" ht="9.7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c r="BK507" s="90"/>
      <c r="BL507" s="90"/>
      <c r="BM507" s="90"/>
      <c r="BN507" s="90"/>
      <c r="BO507" s="90"/>
      <c r="BP507" s="90"/>
    </row>
    <row r="508" spans="1:68" ht="9.7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c r="BB508" s="90"/>
      <c r="BC508" s="90"/>
      <c r="BD508" s="90"/>
      <c r="BE508" s="90"/>
      <c r="BF508" s="90"/>
      <c r="BG508" s="90"/>
      <c r="BH508" s="90"/>
      <c r="BI508" s="90"/>
      <c r="BJ508" s="90"/>
      <c r="BK508" s="90"/>
      <c r="BL508" s="90"/>
      <c r="BM508" s="90"/>
      <c r="BN508" s="90"/>
      <c r="BO508" s="90"/>
      <c r="BP508" s="90"/>
    </row>
    <row r="509" spans="1:68" ht="9.7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c r="BB509" s="90"/>
      <c r="BC509" s="90"/>
      <c r="BD509" s="90"/>
      <c r="BE509" s="90"/>
      <c r="BF509" s="90"/>
      <c r="BG509" s="90"/>
      <c r="BH509" s="90"/>
      <c r="BI509" s="90"/>
      <c r="BJ509" s="90"/>
      <c r="BK509" s="90"/>
      <c r="BL509" s="90"/>
      <c r="BM509" s="90"/>
      <c r="BN509" s="90"/>
      <c r="BO509" s="90"/>
      <c r="BP509" s="90"/>
    </row>
    <row r="510" spans="1:68" ht="9.7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c r="BB510" s="90"/>
      <c r="BC510" s="90"/>
      <c r="BD510" s="90"/>
      <c r="BE510" s="90"/>
      <c r="BF510" s="90"/>
      <c r="BG510" s="90"/>
      <c r="BH510" s="90"/>
      <c r="BI510" s="90"/>
      <c r="BJ510" s="90"/>
      <c r="BK510" s="90"/>
      <c r="BL510" s="90"/>
      <c r="BM510" s="90"/>
      <c r="BN510" s="90"/>
      <c r="BO510" s="90"/>
      <c r="BP510" s="90"/>
    </row>
    <row r="511" spans="1:68" ht="9.7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c r="BF511" s="90"/>
      <c r="BG511" s="90"/>
      <c r="BH511" s="90"/>
      <c r="BI511" s="90"/>
      <c r="BJ511" s="90"/>
      <c r="BK511" s="90"/>
      <c r="BL511" s="90"/>
      <c r="BM511" s="90"/>
      <c r="BN511" s="90"/>
      <c r="BO511" s="90"/>
      <c r="BP511" s="90"/>
    </row>
    <row r="512" spans="1:68" ht="9.7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90"/>
      <c r="BD512" s="90"/>
      <c r="BE512" s="90"/>
      <c r="BF512" s="90"/>
      <c r="BG512" s="90"/>
      <c r="BH512" s="90"/>
      <c r="BI512" s="90"/>
      <c r="BJ512" s="90"/>
      <c r="BK512" s="90"/>
      <c r="BL512" s="90"/>
      <c r="BM512" s="90"/>
      <c r="BN512" s="90"/>
      <c r="BO512" s="90"/>
      <c r="BP512" s="90"/>
    </row>
    <row r="513" spans="1:68" ht="9.7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c r="BB513" s="90"/>
      <c r="BC513" s="90"/>
      <c r="BD513" s="90"/>
      <c r="BE513" s="90"/>
      <c r="BF513" s="90"/>
      <c r="BG513" s="90"/>
      <c r="BH513" s="90"/>
      <c r="BI513" s="90"/>
      <c r="BJ513" s="90"/>
      <c r="BK513" s="90"/>
      <c r="BL513" s="90"/>
      <c r="BM513" s="90"/>
      <c r="BN513" s="90"/>
      <c r="BO513" s="90"/>
      <c r="BP513" s="90"/>
    </row>
    <row r="514" spans="1:68" ht="9.7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c r="BB514" s="90"/>
      <c r="BC514" s="90"/>
      <c r="BD514" s="90"/>
      <c r="BE514" s="90"/>
      <c r="BF514" s="90"/>
      <c r="BG514" s="90"/>
      <c r="BH514" s="90"/>
      <c r="BI514" s="90"/>
      <c r="BJ514" s="90"/>
      <c r="BK514" s="90"/>
      <c r="BL514" s="90"/>
      <c r="BM514" s="90"/>
      <c r="BN514" s="90"/>
      <c r="BO514" s="90"/>
      <c r="BP514" s="90"/>
    </row>
    <row r="515" spans="1:68" ht="9.7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c r="BB515" s="90"/>
      <c r="BC515" s="90"/>
      <c r="BD515" s="90"/>
      <c r="BE515" s="90"/>
      <c r="BF515" s="90"/>
      <c r="BG515" s="90"/>
      <c r="BH515" s="90"/>
      <c r="BI515" s="90"/>
      <c r="BJ515" s="90"/>
      <c r="BK515" s="90"/>
      <c r="BL515" s="90"/>
      <c r="BM515" s="90"/>
      <c r="BN515" s="90"/>
      <c r="BO515" s="90"/>
      <c r="BP515" s="90"/>
    </row>
    <row r="516" spans="1:68" ht="9.7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c r="BB516" s="90"/>
      <c r="BC516" s="90"/>
      <c r="BD516" s="90"/>
      <c r="BE516" s="90"/>
      <c r="BF516" s="90"/>
      <c r="BG516" s="90"/>
      <c r="BH516" s="90"/>
      <c r="BI516" s="90"/>
      <c r="BJ516" s="90"/>
      <c r="BK516" s="90"/>
      <c r="BL516" s="90"/>
      <c r="BM516" s="90"/>
      <c r="BN516" s="90"/>
      <c r="BO516" s="90"/>
      <c r="BP516" s="90"/>
    </row>
    <row r="517" spans="1:68" ht="9.7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row>
    <row r="518" spans="1:68" ht="9.7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row>
    <row r="519" spans="1:68" ht="9.7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c r="BH519" s="90"/>
      <c r="BI519" s="90"/>
      <c r="BJ519" s="90"/>
      <c r="BK519" s="90"/>
      <c r="BL519" s="90"/>
      <c r="BM519" s="90"/>
      <c r="BN519" s="90"/>
      <c r="BO519" s="90"/>
      <c r="BP519" s="90"/>
    </row>
    <row r="520" spans="1:68" ht="9.7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c r="BB520" s="90"/>
      <c r="BC520" s="90"/>
      <c r="BD520" s="90"/>
      <c r="BE520" s="90"/>
      <c r="BF520" s="90"/>
      <c r="BG520" s="90"/>
      <c r="BH520" s="90"/>
      <c r="BI520" s="90"/>
      <c r="BJ520" s="90"/>
      <c r="BK520" s="90"/>
      <c r="BL520" s="90"/>
      <c r="BM520" s="90"/>
      <c r="BN520" s="90"/>
      <c r="BO520" s="90"/>
      <c r="BP520" s="90"/>
    </row>
    <row r="521" spans="1:68" ht="9.7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c r="BF521" s="90"/>
      <c r="BG521" s="90"/>
      <c r="BH521" s="90"/>
      <c r="BI521" s="90"/>
      <c r="BJ521" s="90"/>
      <c r="BK521" s="90"/>
      <c r="BL521" s="90"/>
      <c r="BM521" s="90"/>
      <c r="BN521" s="90"/>
      <c r="BO521" s="90"/>
      <c r="BP521" s="90"/>
    </row>
    <row r="522" spans="1:68" ht="9.7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c r="BF522" s="90"/>
      <c r="BG522" s="90"/>
      <c r="BH522" s="90"/>
      <c r="BI522" s="90"/>
      <c r="BJ522" s="90"/>
      <c r="BK522" s="90"/>
      <c r="BL522" s="90"/>
      <c r="BM522" s="90"/>
      <c r="BN522" s="90"/>
      <c r="BO522" s="90"/>
      <c r="BP522" s="90"/>
    </row>
    <row r="523" spans="1:68" ht="9.7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90"/>
      <c r="BH523" s="90"/>
      <c r="BI523" s="90"/>
      <c r="BJ523" s="90"/>
      <c r="BK523" s="90"/>
      <c r="BL523" s="90"/>
      <c r="BM523" s="90"/>
      <c r="BN523" s="90"/>
      <c r="BO523" s="90"/>
      <c r="BP523" s="90"/>
    </row>
    <row r="524" spans="1:68" ht="9.7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c r="BF524" s="90"/>
      <c r="BG524" s="90"/>
      <c r="BH524" s="90"/>
      <c r="BI524" s="90"/>
      <c r="BJ524" s="90"/>
      <c r="BK524" s="90"/>
      <c r="BL524" s="90"/>
      <c r="BM524" s="90"/>
      <c r="BN524" s="90"/>
      <c r="BO524" s="90"/>
      <c r="BP524" s="90"/>
    </row>
    <row r="525" spans="1:68" ht="9.7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row>
    <row r="526" spans="1:68" ht="9.7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c r="BF526" s="90"/>
      <c r="BG526" s="90"/>
      <c r="BH526" s="90"/>
      <c r="BI526" s="90"/>
      <c r="BJ526" s="90"/>
      <c r="BK526" s="90"/>
      <c r="BL526" s="90"/>
      <c r="BM526" s="90"/>
      <c r="BN526" s="90"/>
      <c r="BO526" s="90"/>
      <c r="BP526" s="90"/>
    </row>
    <row r="527" spans="1:68" ht="9.7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c r="BH527" s="90"/>
      <c r="BI527" s="90"/>
      <c r="BJ527" s="90"/>
      <c r="BK527" s="90"/>
      <c r="BL527" s="90"/>
      <c r="BM527" s="90"/>
      <c r="BN527" s="90"/>
      <c r="BO527" s="90"/>
      <c r="BP527" s="90"/>
    </row>
    <row r="528" spans="1:68" ht="9.7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c r="BH528" s="90"/>
      <c r="BI528" s="90"/>
      <c r="BJ528" s="90"/>
      <c r="BK528" s="90"/>
      <c r="BL528" s="90"/>
      <c r="BM528" s="90"/>
      <c r="BN528" s="90"/>
      <c r="BO528" s="90"/>
      <c r="BP528" s="90"/>
    </row>
    <row r="529" spans="1:68" ht="9.7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90"/>
      <c r="BL529" s="90"/>
      <c r="BM529" s="90"/>
      <c r="BN529" s="90"/>
      <c r="BO529" s="90"/>
      <c r="BP529" s="90"/>
    </row>
    <row r="530" spans="1:68" ht="9.7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c r="BB530" s="90"/>
      <c r="BC530" s="90"/>
      <c r="BD530" s="90"/>
      <c r="BE530" s="90"/>
      <c r="BF530" s="90"/>
      <c r="BG530" s="90"/>
      <c r="BH530" s="90"/>
      <c r="BI530" s="90"/>
      <c r="BJ530" s="90"/>
      <c r="BK530" s="90"/>
      <c r="BL530" s="90"/>
      <c r="BM530" s="90"/>
      <c r="BN530" s="90"/>
      <c r="BO530" s="90"/>
      <c r="BP530" s="90"/>
    </row>
    <row r="531" spans="1:68" ht="9.7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90"/>
      <c r="BH531" s="90"/>
      <c r="BI531" s="90"/>
      <c r="BJ531" s="90"/>
      <c r="BK531" s="90"/>
      <c r="BL531" s="90"/>
      <c r="BM531" s="90"/>
      <c r="BN531" s="90"/>
      <c r="BO531" s="90"/>
      <c r="BP531" s="90"/>
    </row>
    <row r="532" spans="1:68" ht="9.7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c r="BF532" s="90"/>
      <c r="BG532" s="90"/>
      <c r="BH532" s="90"/>
      <c r="BI532" s="90"/>
      <c r="BJ532" s="90"/>
      <c r="BK532" s="90"/>
      <c r="BL532" s="90"/>
      <c r="BM532" s="90"/>
      <c r="BN532" s="90"/>
      <c r="BO532" s="90"/>
      <c r="BP532" s="90"/>
    </row>
    <row r="533" spans="1:68" ht="9.7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c r="BH533" s="90"/>
      <c r="BI533" s="90"/>
      <c r="BJ533" s="90"/>
      <c r="BK533" s="90"/>
      <c r="BL533" s="90"/>
      <c r="BM533" s="90"/>
      <c r="BN533" s="90"/>
      <c r="BO533" s="90"/>
      <c r="BP533" s="90"/>
    </row>
    <row r="534" spans="1:68" ht="9.7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c r="BB534" s="90"/>
      <c r="BC534" s="90"/>
      <c r="BD534" s="90"/>
      <c r="BE534" s="90"/>
      <c r="BF534" s="90"/>
      <c r="BG534" s="90"/>
      <c r="BH534" s="90"/>
      <c r="BI534" s="90"/>
      <c r="BJ534" s="90"/>
      <c r="BK534" s="90"/>
      <c r="BL534" s="90"/>
      <c r="BM534" s="90"/>
      <c r="BN534" s="90"/>
      <c r="BO534" s="90"/>
      <c r="BP534" s="90"/>
    </row>
    <row r="535" spans="1:68" ht="9.7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c r="BF535" s="90"/>
      <c r="BG535" s="90"/>
      <c r="BH535" s="90"/>
      <c r="BI535" s="90"/>
      <c r="BJ535" s="90"/>
      <c r="BK535" s="90"/>
      <c r="BL535" s="90"/>
      <c r="BM535" s="90"/>
      <c r="BN535" s="90"/>
      <c r="BO535" s="90"/>
      <c r="BP535" s="90"/>
    </row>
    <row r="536" spans="1:68" ht="9.7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c r="BF536" s="90"/>
      <c r="BG536" s="90"/>
      <c r="BH536" s="90"/>
      <c r="BI536" s="90"/>
      <c r="BJ536" s="90"/>
      <c r="BK536" s="90"/>
      <c r="BL536" s="90"/>
      <c r="BM536" s="90"/>
      <c r="BN536" s="90"/>
      <c r="BO536" s="90"/>
      <c r="BP536" s="90"/>
    </row>
    <row r="537" spans="1:68" ht="9.7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c r="BF537" s="90"/>
      <c r="BG537" s="90"/>
      <c r="BH537" s="90"/>
      <c r="BI537" s="90"/>
      <c r="BJ537" s="90"/>
      <c r="BK537" s="90"/>
      <c r="BL537" s="90"/>
      <c r="BM537" s="90"/>
      <c r="BN537" s="90"/>
      <c r="BO537" s="90"/>
      <c r="BP537" s="90"/>
    </row>
    <row r="538" spans="1:68" ht="9.7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c r="BB538" s="90"/>
      <c r="BC538" s="90"/>
      <c r="BD538" s="90"/>
      <c r="BE538" s="90"/>
      <c r="BF538" s="90"/>
      <c r="BG538" s="90"/>
      <c r="BH538" s="90"/>
      <c r="BI538" s="90"/>
      <c r="BJ538" s="90"/>
      <c r="BK538" s="90"/>
      <c r="BL538" s="90"/>
      <c r="BM538" s="90"/>
      <c r="BN538" s="90"/>
      <c r="BO538" s="90"/>
      <c r="BP538" s="90"/>
    </row>
    <row r="539" spans="1:68" ht="9.7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c r="BF539" s="90"/>
      <c r="BG539" s="90"/>
      <c r="BH539" s="90"/>
      <c r="BI539" s="90"/>
      <c r="BJ539" s="90"/>
      <c r="BK539" s="90"/>
      <c r="BL539" s="90"/>
      <c r="BM539" s="90"/>
      <c r="BN539" s="90"/>
      <c r="BO539" s="90"/>
      <c r="BP539" s="90"/>
    </row>
    <row r="540" spans="1:68" ht="9.7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c r="BB540" s="90"/>
      <c r="BC540" s="90"/>
      <c r="BD540" s="90"/>
      <c r="BE540" s="90"/>
      <c r="BF540" s="90"/>
      <c r="BG540" s="90"/>
      <c r="BH540" s="90"/>
      <c r="BI540" s="90"/>
      <c r="BJ540" s="90"/>
      <c r="BK540" s="90"/>
      <c r="BL540" s="90"/>
      <c r="BM540" s="90"/>
      <c r="BN540" s="90"/>
      <c r="BO540" s="90"/>
      <c r="BP540" s="90"/>
    </row>
    <row r="541" spans="1:68" ht="9.7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90"/>
      <c r="BH541" s="90"/>
      <c r="BI541" s="90"/>
      <c r="BJ541" s="90"/>
      <c r="BK541" s="90"/>
      <c r="BL541" s="90"/>
      <c r="BM541" s="90"/>
      <c r="BN541" s="90"/>
      <c r="BO541" s="90"/>
      <c r="BP541" s="90"/>
    </row>
    <row r="542" spans="1:68" ht="9.7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c r="BF542" s="90"/>
      <c r="BG542" s="90"/>
      <c r="BH542" s="90"/>
      <c r="BI542" s="90"/>
      <c r="BJ542" s="90"/>
      <c r="BK542" s="90"/>
      <c r="BL542" s="90"/>
      <c r="BM542" s="90"/>
      <c r="BN542" s="90"/>
      <c r="BO542" s="90"/>
      <c r="BP542" s="90"/>
    </row>
    <row r="543" spans="1:68" ht="9.7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90"/>
      <c r="BH543" s="90"/>
      <c r="BI543" s="90"/>
      <c r="BJ543" s="90"/>
      <c r="BK543" s="90"/>
      <c r="BL543" s="90"/>
      <c r="BM543" s="90"/>
      <c r="BN543" s="90"/>
      <c r="BO543" s="90"/>
      <c r="BP543" s="90"/>
    </row>
    <row r="544" spans="1:68" ht="9.7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90"/>
      <c r="BH544" s="90"/>
      <c r="BI544" s="90"/>
      <c r="BJ544" s="90"/>
      <c r="BK544" s="90"/>
      <c r="BL544" s="90"/>
      <c r="BM544" s="90"/>
      <c r="BN544" s="90"/>
      <c r="BO544" s="90"/>
      <c r="BP544" s="90"/>
    </row>
    <row r="545" spans="1:68" ht="9.7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90"/>
      <c r="BK545" s="90"/>
      <c r="BL545" s="90"/>
      <c r="BM545" s="90"/>
      <c r="BN545" s="90"/>
      <c r="BO545" s="90"/>
      <c r="BP545" s="90"/>
    </row>
    <row r="546" spans="1:68" ht="9.7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c r="BF546" s="90"/>
      <c r="BG546" s="90"/>
      <c r="BH546" s="90"/>
      <c r="BI546" s="90"/>
      <c r="BJ546" s="90"/>
      <c r="BK546" s="90"/>
      <c r="BL546" s="90"/>
      <c r="BM546" s="90"/>
      <c r="BN546" s="90"/>
      <c r="BO546" s="90"/>
      <c r="BP546" s="90"/>
    </row>
    <row r="547" spans="1:68" ht="9.7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c r="BF547" s="90"/>
      <c r="BG547" s="90"/>
      <c r="BH547" s="90"/>
      <c r="BI547" s="90"/>
      <c r="BJ547" s="90"/>
      <c r="BK547" s="90"/>
      <c r="BL547" s="90"/>
      <c r="BM547" s="90"/>
      <c r="BN547" s="90"/>
      <c r="BO547" s="90"/>
      <c r="BP547" s="90"/>
    </row>
    <row r="548" spans="1:68" ht="9.7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c r="BB548" s="90"/>
      <c r="BC548" s="90"/>
      <c r="BD548" s="90"/>
      <c r="BE548" s="90"/>
      <c r="BF548" s="90"/>
      <c r="BG548" s="90"/>
      <c r="BH548" s="90"/>
      <c r="BI548" s="90"/>
      <c r="BJ548" s="90"/>
      <c r="BK548" s="90"/>
      <c r="BL548" s="90"/>
      <c r="BM548" s="90"/>
      <c r="BN548" s="90"/>
      <c r="BO548" s="90"/>
      <c r="BP548" s="90"/>
    </row>
    <row r="549" spans="1:68" ht="9.7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c r="BB549" s="90"/>
      <c r="BC549" s="90"/>
      <c r="BD549" s="90"/>
      <c r="BE549" s="90"/>
      <c r="BF549" s="90"/>
      <c r="BG549" s="90"/>
      <c r="BH549" s="90"/>
      <c r="BI549" s="90"/>
      <c r="BJ549" s="90"/>
      <c r="BK549" s="90"/>
      <c r="BL549" s="90"/>
      <c r="BM549" s="90"/>
      <c r="BN549" s="90"/>
      <c r="BO549" s="90"/>
      <c r="BP549" s="90"/>
    </row>
    <row r="550" spans="1:68" ht="9.7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c r="BB550" s="90"/>
      <c r="BC550" s="90"/>
      <c r="BD550" s="90"/>
      <c r="BE550" s="90"/>
      <c r="BF550" s="90"/>
      <c r="BG550" s="90"/>
      <c r="BH550" s="90"/>
      <c r="BI550" s="90"/>
      <c r="BJ550" s="90"/>
      <c r="BK550" s="90"/>
      <c r="BL550" s="90"/>
      <c r="BM550" s="90"/>
      <c r="BN550" s="90"/>
      <c r="BO550" s="90"/>
      <c r="BP550" s="90"/>
    </row>
    <row r="551" spans="1:68" ht="9.7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90"/>
      <c r="BH551" s="90"/>
      <c r="BI551" s="90"/>
      <c r="BJ551" s="90"/>
      <c r="BK551" s="90"/>
      <c r="BL551" s="90"/>
      <c r="BM551" s="90"/>
      <c r="BN551" s="90"/>
      <c r="BO551" s="90"/>
      <c r="BP551" s="90"/>
    </row>
    <row r="552" spans="1:68" ht="9.7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c r="BH552" s="90"/>
      <c r="BI552" s="90"/>
      <c r="BJ552" s="90"/>
      <c r="BK552" s="90"/>
      <c r="BL552" s="90"/>
      <c r="BM552" s="90"/>
      <c r="BN552" s="90"/>
      <c r="BO552" s="90"/>
      <c r="BP552" s="90"/>
    </row>
    <row r="553" spans="1:68" ht="9.7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row>
    <row r="554" spans="1:68" ht="9.7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c r="BH554" s="90"/>
      <c r="BI554" s="90"/>
      <c r="BJ554" s="90"/>
      <c r="BK554" s="90"/>
      <c r="BL554" s="90"/>
      <c r="BM554" s="90"/>
      <c r="BN554" s="90"/>
      <c r="BO554" s="90"/>
      <c r="BP554" s="90"/>
    </row>
    <row r="555" spans="1:68" ht="9.7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90"/>
      <c r="BH555" s="90"/>
      <c r="BI555" s="90"/>
      <c r="BJ555" s="90"/>
      <c r="BK555" s="90"/>
      <c r="BL555" s="90"/>
      <c r="BM555" s="90"/>
      <c r="BN555" s="90"/>
      <c r="BO555" s="90"/>
      <c r="BP555" s="90"/>
    </row>
    <row r="556" spans="1:68" ht="9.7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c r="BF556" s="90"/>
      <c r="BG556" s="90"/>
      <c r="BH556" s="90"/>
      <c r="BI556" s="90"/>
      <c r="BJ556" s="90"/>
      <c r="BK556" s="90"/>
      <c r="BL556" s="90"/>
      <c r="BM556" s="90"/>
      <c r="BN556" s="90"/>
      <c r="BO556" s="90"/>
      <c r="BP556" s="90"/>
    </row>
    <row r="557" spans="1:68" ht="9.7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c r="BF557" s="90"/>
      <c r="BG557" s="90"/>
      <c r="BH557" s="90"/>
      <c r="BI557" s="90"/>
      <c r="BJ557" s="90"/>
      <c r="BK557" s="90"/>
      <c r="BL557" s="90"/>
      <c r="BM557" s="90"/>
      <c r="BN557" s="90"/>
      <c r="BO557" s="90"/>
      <c r="BP557" s="90"/>
    </row>
    <row r="558" spans="1:68" ht="9.7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c r="BF558" s="90"/>
      <c r="BG558" s="90"/>
      <c r="BH558" s="90"/>
      <c r="BI558" s="90"/>
      <c r="BJ558" s="90"/>
      <c r="BK558" s="90"/>
      <c r="BL558" s="90"/>
      <c r="BM558" s="90"/>
      <c r="BN558" s="90"/>
      <c r="BO558" s="90"/>
      <c r="BP558" s="90"/>
    </row>
    <row r="559" spans="1:68" ht="9.7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90"/>
      <c r="BH559" s="90"/>
      <c r="BI559" s="90"/>
      <c r="BJ559" s="90"/>
      <c r="BK559" s="90"/>
      <c r="BL559" s="90"/>
      <c r="BM559" s="90"/>
      <c r="BN559" s="90"/>
      <c r="BO559" s="90"/>
      <c r="BP559" s="90"/>
    </row>
    <row r="560" spans="1:68" ht="9.7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90"/>
      <c r="BH560" s="90"/>
      <c r="BI560" s="90"/>
      <c r="BJ560" s="90"/>
      <c r="BK560" s="90"/>
      <c r="BL560" s="90"/>
      <c r="BM560" s="90"/>
      <c r="BN560" s="90"/>
      <c r="BO560" s="90"/>
      <c r="BP560" s="90"/>
    </row>
    <row r="561" spans="1:68" ht="9.7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row>
    <row r="562" spans="1:68" ht="9.7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row>
    <row r="563" spans="1:68" ht="9.7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c r="BB563" s="90"/>
      <c r="BC563" s="90"/>
      <c r="BD563" s="90"/>
      <c r="BE563" s="90"/>
      <c r="BF563" s="90"/>
      <c r="BG563" s="90"/>
      <c r="BH563" s="90"/>
      <c r="BI563" s="90"/>
      <c r="BJ563" s="90"/>
      <c r="BK563" s="90"/>
      <c r="BL563" s="90"/>
      <c r="BM563" s="90"/>
      <c r="BN563" s="90"/>
      <c r="BO563" s="90"/>
      <c r="BP563" s="90"/>
    </row>
    <row r="564" spans="1:68" ht="9.7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90"/>
      <c r="BH564" s="90"/>
      <c r="BI564" s="90"/>
      <c r="BJ564" s="90"/>
      <c r="BK564" s="90"/>
      <c r="BL564" s="90"/>
      <c r="BM564" s="90"/>
      <c r="BN564" s="90"/>
      <c r="BO564" s="90"/>
      <c r="BP564" s="90"/>
    </row>
    <row r="565" spans="1:68" ht="9.7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c r="BH565" s="90"/>
      <c r="BI565" s="90"/>
      <c r="BJ565" s="90"/>
      <c r="BK565" s="90"/>
      <c r="BL565" s="90"/>
      <c r="BM565" s="90"/>
      <c r="BN565" s="90"/>
      <c r="BO565" s="90"/>
      <c r="BP565" s="90"/>
    </row>
    <row r="566" spans="1:68" ht="9.7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90"/>
      <c r="BH566" s="90"/>
      <c r="BI566" s="90"/>
      <c r="BJ566" s="90"/>
      <c r="BK566" s="90"/>
      <c r="BL566" s="90"/>
      <c r="BM566" s="90"/>
      <c r="BN566" s="90"/>
      <c r="BO566" s="90"/>
      <c r="BP566" s="90"/>
    </row>
    <row r="567" spans="1:68" ht="9.7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90"/>
      <c r="BH567" s="90"/>
      <c r="BI567" s="90"/>
      <c r="BJ567" s="90"/>
      <c r="BK567" s="90"/>
      <c r="BL567" s="90"/>
      <c r="BM567" s="90"/>
      <c r="BN567" s="90"/>
      <c r="BO567" s="90"/>
      <c r="BP567" s="90"/>
    </row>
    <row r="568" spans="1:68" ht="9.7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c r="BF568" s="90"/>
      <c r="BG568" s="90"/>
      <c r="BH568" s="90"/>
      <c r="BI568" s="90"/>
      <c r="BJ568" s="90"/>
      <c r="BK568" s="90"/>
      <c r="BL568" s="90"/>
      <c r="BM568" s="90"/>
      <c r="BN568" s="90"/>
      <c r="BO568" s="90"/>
      <c r="BP568" s="90"/>
    </row>
    <row r="569" spans="1:68" ht="9.7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90"/>
      <c r="BH569" s="90"/>
      <c r="BI569" s="90"/>
      <c r="BJ569" s="90"/>
      <c r="BK569" s="90"/>
      <c r="BL569" s="90"/>
      <c r="BM569" s="90"/>
      <c r="BN569" s="90"/>
      <c r="BO569" s="90"/>
      <c r="BP569" s="90"/>
    </row>
    <row r="570" spans="1:68" ht="9.7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c r="BB570" s="90"/>
      <c r="BC570" s="90"/>
      <c r="BD570" s="90"/>
      <c r="BE570" s="90"/>
      <c r="BF570" s="90"/>
      <c r="BG570" s="90"/>
      <c r="BH570" s="90"/>
      <c r="BI570" s="90"/>
      <c r="BJ570" s="90"/>
      <c r="BK570" s="90"/>
      <c r="BL570" s="90"/>
      <c r="BM570" s="90"/>
      <c r="BN570" s="90"/>
      <c r="BO570" s="90"/>
      <c r="BP570" s="90"/>
    </row>
    <row r="571" spans="1:68" ht="9.7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c r="BF571" s="90"/>
      <c r="BG571" s="90"/>
      <c r="BH571" s="90"/>
      <c r="BI571" s="90"/>
      <c r="BJ571" s="90"/>
      <c r="BK571" s="90"/>
      <c r="BL571" s="90"/>
      <c r="BM571" s="90"/>
      <c r="BN571" s="90"/>
      <c r="BO571" s="90"/>
      <c r="BP571" s="90"/>
    </row>
    <row r="572" spans="1:68" ht="9.7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c r="BB572" s="90"/>
      <c r="BC572" s="90"/>
      <c r="BD572" s="90"/>
      <c r="BE572" s="90"/>
      <c r="BF572" s="90"/>
      <c r="BG572" s="90"/>
      <c r="BH572" s="90"/>
      <c r="BI572" s="90"/>
      <c r="BJ572" s="90"/>
      <c r="BK572" s="90"/>
      <c r="BL572" s="90"/>
      <c r="BM572" s="90"/>
      <c r="BN572" s="90"/>
      <c r="BO572" s="90"/>
      <c r="BP572" s="90"/>
    </row>
    <row r="573" spans="1:68" ht="9.7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c r="BF573" s="90"/>
      <c r="BG573" s="90"/>
      <c r="BH573" s="90"/>
      <c r="BI573" s="90"/>
      <c r="BJ573" s="90"/>
      <c r="BK573" s="90"/>
      <c r="BL573" s="90"/>
      <c r="BM573" s="90"/>
      <c r="BN573" s="90"/>
      <c r="BO573" s="90"/>
      <c r="BP573" s="90"/>
    </row>
    <row r="574" spans="1:68" ht="9.7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c r="BB574" s="90"/>
      <c r="BC574" s="90"/>
      <c r="BD574" s="90"/>
      <c r="BE574" s="90"/>
      <c r="BF574" s="90"/>
      <c r="BG574" s="90"/>
      <c r="BH574" s="90"/>
      <c r="BI574" s="90"/>
      <c r="BJ574" s="90"/>
      <c r="BK574" s="90"/>
      <c r="BL574" s="90"/>
      <c r="BM574" s="90"/>
      <c r="BN574" s="90"/>
      <c r="BO574" s="90"/>
      <c r="BP574" s="90"/>
    </row>
    <row r="575" spans="1:68" ht="9.7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90"/>
      <c r="BH575" s="90"/>
      <c r="BI575" s="90"/>
      <c r="BJ575" s="90"/>
      <c r="BK575" s="90"/>
      <c r="BL575" s="90"/>
      <c r="BM575" s="90"/>
      <c r="BN575" s="90"/>
      <c r="BO575" s="90"/>
      <c r="BP575" s="90"/>
    </row>
    <row r="576" spans="1:68" ht="9.7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c r="BF576" s="90"/>
      <c r="BG576" s="90"/>
      <c r="BH576" s="90"/>
      <c r="BI576" s="90"/>
      <c r="BJ576" s="90"/>
      <c r="BK576" s="90"/>
      <c r="BL576" s="90"/>
      <c r="BM576" s="90"/>
      <c r="BN576" s="90"/>
      <c r="BO576" s="90"/>
      <c r="BP576" s="90"/>
    </row>
    <row r="577" spans="1:68" ht="9.7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c r="BF577" s="90"/>
      <c r="BG577" s="90"/>
      <c r="BH577" s="90"/>
      <c r="BI577" s="90"/>
      <c r="BJ577" s="90"/>
      <c r="BK577" s="90"/>
      <c r="BL577" s="90"/>
      <c r="BM577" s="90"/>
      <c r="BN577" s="90"/>
      <c r="BO577" s="90"/>
      <c r="BP577" s="90"/>
    </row>
    <row r="578" spans="1:68" ht="9.7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c r="BF578" s="90"/>
      <c r="BG578" s="90"/>
      <c r="BH578" s="90"/>
      <c r="BI578" s="90"/>
      <c r="BJ578" s="90"/>
      <c r="BK578" s="90"/>
      <c r="BL578" s="90"/>
      <c r="BM578" s="90"/>
      <c r="BN578" s="90"/>
      <c r="BO578" s="90"/>
      <c r="BP578" s="90"/>
    </row>
    <row r="579" spans="1:68" ht="9.7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c r="BB579" s="90"/>
      <c r="BC579" s="90"/>
      <c r="BD579" s="90"/>
      <c r="BE579" s="90"/>
      <c r="BF579" s="90"/>
      <c r="BG579" s="90"/>
      <c r="BH579" s="90"/>
      <c r="BI579" s="90"/>
      <c r="BJ579" s="90"/>
      <c r="BK579" s="90"/>
      <c r="BL579" s="90"/>
      <c r="BM579" s="90"/>
      <c r="BN579" s="90"/>
      <c r="BO579" s="90"/>
      <c r="BP579" s="90"/>
    </row>
    <row r="580" spans="1:68" ht="9.7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c r="BB580" s="90"/>
      <c r="BC580" s="90"/>
      <c r="BD580" s="90"/>
      <c r="BE580" s="90"/>
      <c r="BF580" s="90"/>
      <c r="BG580" s="90"/>
      <c r="BH580" s="90"/>
      <c r="BI580" s="90"/>
      <c r="BJ580" s="90"/>
      <c r="BK580" s="90"/>
      <c r="BL580" s="90"/>
      <c r="BM580" s="90"/>
      <c r="BN580" s="90"/>
      <c r="BO580" s="90"/>
      <c r="BP580" s="90"/>
    </row>
    <row r="581" spans="1:68" ht="9.7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c r="BF581" s="90"/>
      <c r="BG581" s="90"/>
      <c r="BH581" s="90"/>
      <c r="BI581" s="90"/>
      <c r="BJ581" s="90"/>
      <c r="BK581" s="90"/>
      <c r="BL581" s="90"/>
      <c r="BM581" s="90"/>
      <c r="BN581" s="90"/>
      <c r="BO581" s="90"/>
      <c r="BP581" s="90"/>
    </row>
    <row r="582" spans="1:68" ht="9.7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c r="BF582" s="90"/>
      <c r="BG582" s="90"/>
      <c r="BH582" s="90"/>
      <c r="BI582" s="90"/>
      <c r="BJ582" s="90"/>
      <c r="BK582" s="90"/>
      <c r="BL582" s="90"/>
      <c r="BM582" s="90"/>
      <c r="BN582" s="90"/>
      <c r="BO582" s="90"/>
      <c r="BP582" s="90"/>
    </row>
    <row r="583" spans="1:68" ht="9.7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c r="BB583" s="90"/>
      <c r="BC583" s="90"/>
      <c r="BD583" s="90"/>
      <c r="BE583" s="90"/>
      <c r="BF583" s="90"/>
      <c r="BG583" s="90"/>
      <c r="BH583" s="90"/>
      <c r="BI583" s="90"/>
      <c r="BJ583" s="90"/>
      <c r="BK583" s="90"/>
      <c r="BL583" s="90"/>
      <c r="BM583" s="90"/>
      <c r="BN583" s="90"/>
      <c r="BO583" s="90"/>
      <c r="BP583" s="90"/>
    </row>
    <row r="584" spans="1:68" ht="9.7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c r="BB584" s="90"/>
      <c r="BC584" s="90"/>
      <c r="BD584" s="90"/>
      <c r="BE584" s="90"/>
      <c r="BF584" s="90"/>
      <c r="BG584" s="90"/>
      <c r="BH584" s="90"/>
      <c r="BI584" s="90"/>
      <c r="BJ584" s="90"/>
      <c r="BK584" s="90"/>
      <c r="BL584" s="90"/>
      <c r="BM584" s="90"/>
      <c r="BN584" s="90"/>
      <c r="BO584" s="90"/>
      <c r="BP584" s="90"/>
    </row>
    <row r="585" spans="1:68" ht="9.7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c r="BB585" s="90"/>
      <c r="BC585" s="90"/>
      <c r="BD585" s="90"/>
      <c r="BE585" s="90"/>
      <c r="BF585" s="90"/>
      <c r="BG585" s="90"/>
      <c r="BH585" s="90"/>
      <c r="BI585" s="90"/>
      <c r="BJ585" s="90"/>
      <c r="BK585" s="90"/>
      <c r="BL585" s="90"/>
      <c r="BM585" s="90"/>
      <c r="BN585" s="90"/>
      <c r="BO585" s="90"/>
      <c r="BP585" s="90"/>
    </row>
    <row r="586" spans="1:68" ht="9.7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c r="BF586" s="90"/>
      <c r="BG586" s="90"/>
      <c r="BH586" s="90"/>
      <c r="BI586" s="90"/>
      <c r="BJ586" s="90"/>
      <c r="BK586" s="90"/>
      <c r="BL586" s="90"/>
      <c r="BM586" s="90"/>
      <c r="BN586" s="90"/>
      <c r="BO586" s="90"/>
      <c r="BP586" s="90"/>
    </row>
    <row r="587" spans="1:68" ht="9.7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row>
    <row r="588" spans="1:68" ht="9.7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row>
    <row r="589" spans="1:68" ht="9.7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c r="BP589" s="90"/>
    </row>
    <row r="590" spans="1:68" ht="9.7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c r="BB590" s="90"/>
      <c r="BC590" s="90"/>
      <c r="BD590" s="90"/>
      <c r="BE590" s="90"/>
      <c r="BF590" s="90"/>
      <c r="BG590" s="90"/>
      <c r="BH590" s="90"/>
      <c r="BI590" s="90"/>
      <c r="BJ590" s="90"/>
      <c r="BK590" s="90"/>
      <c r="BL590" s="90"/>
      <c r="BM590" s="90"/>
      <c r="BN590" s="90"/>
      <c r="BO590" s="90"/>
      <c r="BP590" s="90"/>
    </row>
    <row r="591" spans="1:68" ht="9.7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c r="BB591" s="90"/>
      <c r="BC591" s="90"/>
      <c r="BD591" s="90"/>
      <c r="BE591" s="90"/>
      <c r="BF591" s="90"/>
      <c r="BG591" s="90"/>
      <c r="BH591" s="90"/>
      <c r="BI591" s="90"/>
      <c r="BJ591" s="90"/>
      <c r="BK591" s="90"/>
      <c r="BL591" s="90"/>
      <c r="BM591" s="90"/>
      <c r="BN591" s="90"/>
      <c r="BO591" s="90"/>
      <c r="BP591" s="90"/>
    </row>
    <row r="592" spans="1:68" ht="9.7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c r="BB592" s="90"/>
      <c r="BC592" s="90"/>
      <c r="BD592" s="90"/>
      <c r="BE592" s="90"/>
      <c r="BF592" s="90"/>
      <c r="BG592" s="90"/>
      <c r="BH592" s="90"/>
      <c r="BI592" s="90"/>
      <c r="BJ592" s="90"/>
      <c r="BK592" s="90"/>
      <c r="BL592" s="90"/>
      <c r="BM592" s="90"/>
      <c r="BN592" s="90"/>
      <c r="BO592" s="90"/>
      <c r="BP592" s="90"/>
    </row>
    <row r="593" spans="1:68" ht="9.7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90"/>
      <c r="BH593" s="90"/>
      <c r="BI593" s="90"/>
      <c r="BJ593" s="90"/>
      <c r="BK593" s="90"/>
      <c r="BL593" s="90"/>
      <c r="BM593" s="90"/>
      <c r="BN593" s="90"/>
      <c r="BO593" s="90"/>
      <c r="BP593" s="90"/>
    </row>
    <row r="594" spans="1:68" ht="9.7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c r="BF594" s="90"/>
      <c r="BG594" s="90"/>
      <c r="BH594" s="90"/>
      <c r="BI594" s="90"/>
      <c r="BJ594" s="90"/>
      <c r="BK594" s="90"/>
      <c r="BL594" s="90"/>
      <c r="BM594" s="90"/>
      <c r="BN594" s="90"/>
      <c r="BO594" s="90"/>
      <c r="BP594" s="90"/>
    </row>
    <row r="595" spans="1:68" ht="9.7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c r="BK595" s="90"/>
      <c r="BL595" s="90"/>
      <c r="BM595" s="90"/>
      <c r="BN595" s="90"/>
      <c r="BO595" s="90"/>
      <c r="BP595" s="90"/>
    </row>
    <row r="596" spans="1:68" ht="9.7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c r="BF596" s="90"/>
      <c r="BG596" s="90"/>
      <c r="BH596" s="90"/>
      <c r="BI596" s="90"/>
      <c r="BJ596" s="90"/>
      <c r="BK596" s="90"/>
      <c r="BL596" s="90"/>
      <c r="BM596" s="90"/>
      <c r="BN596" s="90"/>
      <c r="BO596" s="90"/>
      <c r="BP596" s="90"/>
    </row>
    <row r="597" spans="1:68" ht="9.7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c r="BB597" s="90"/>
      <c r="BC597" s="90"/>
      <c r="BD597" s="90"/>
      <c r="BE597" s="90"/>
      <c r="BF597" s="90"/>
      <c r="BG597" s="90"/>
      <c r="BH597" s="90"/>
      <c r="BI597" s="90"/>
      <c r="BJ597" s="90"/>
      <c r="BK597" s="90"/>
      <c r="BL597" s="90"/>
      <c r="BM597" s="90"/>
      <c r="BN597" s="90"/>
      <c r="BO597" s="90"/>
      <c r="BP597" s="90"/>
    </row>
    <row r="598" spans="1:68" ht="9.7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c r="BB598" s="90"/>
      <c r="BC598" s="90"/>
      <c r="BD598" s="90"/>
      <c r="BE598" s="90"/>
      <c r="BF598" s="90"/>
      <c r="BG598" s="90"/>
      <c r="BH598" s="90"/>
      <c r="BI598" s="90"/>
      <c r="BJ598" s="90"/>
      <c r="BK598" s="90"/>
      <c r="BL598" s="90"/>
      <c r="BM598" s="90"/>
      <c r="BN598" s="90"/>
      <c r="BO598" s="90"/>
      <c r="BP598" s="90"/>
    </row>
    <row r="599" spans="1:68" ht="9.7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c r="BF599" s="90"/>
      <c r="BG599" s="90"/>
      <c r="BH599" s="90"/>
      <c r="BI599" s="90"/>
      <c r="BJ599" s="90"/>
      <c r="BK599" s="90"/>
      <c r="BL599" s="90"/>
      <c r="BM599" s="90"/>
      <c r="BN599" s="90"/>
      <c r="BO599" s="90"/>
      <c r="BP599" s="90"/>
    </row>
    <row r="600" spans="1:68" ht="9.7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c r="BF600" s="90"/>
      <c r="BG600" s="90"/>
      <c r="BH600" s="90"/>
      <c r="BI600" s="90"/>
      <c r="BJ600" s="90"/>
      <c r="BK600" s="90"/>
      <c r="BL600" s="90"/>
      <c r="BM600" s="90"/>
      <c r="BN600" s="90"/>
      <c r="BO600" s="90"/>
      <c r="BP600" s="90"/>
    </row>
    <row r="601" spans="1:68" ht="9.7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c r="BB601" s="90"/>
      <c r="BC601" s="90"/>
      <c r="BD601" s="90"/>
      <c r="BE601" s="90"/>
      <c r="BF601" s="90"/>
      <c r="BG601" s="90"/>
      <c r="BH601" s="90"/>
      <c r="BI601" s="90"/>
      <c r="BJ601" s="90"/>
      <c r="BK601" s="90"/>
      <c r="BL601" s="90"/>
      <c r="BM601" s="90"/>
      <c r="BN601" s="90"/>
      <c r="BO601" s="90"/>
      <c r="BP601" s="90"/>
    </row>
    <row r="602" spans="1:68" ht="9.7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c r="BP602" s="90"/>
    </row>
    <row r="603" spans="1:68" ht="9.7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90"/>
      <c r="BH603" s="90"/>
      <c r="BI603" s="90"/>
      <c r="BJ603" s="90"/>
      <c r="BK603" s="90"/>
      <c r="BL603" s="90"/>
      <c r="BM603" s="90"/>
      <c r="BN603" s="90"/>
      <c r="BO603" s="90"/>
      <c r="BP603" s="90"/>
    </row>
    <row r="604" spans="1:68" ht="9.7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90"/>
      <c r="BH604" s="90"/>
      <c r="BI604" s="90"/>
      <c r="BJ604" s="90"/>
      <c r="BK604" s="90"/>
      <c r="BL604" s="90"/>
      <c r="BM604" s="90"/>
      <c r="BN604" s="90"/>
      <c r="BO604" s="90"/>
      <c r="BP604" s="90"/>
    </row>
    <row r="605" spans="1:68" ht="9.7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c r="BH605" s="90"/>
      <c r="BI605" s="90"/>
      <c r="BJ605" s="90"/>
      <c r="BK605" s="90"/>
      <c r="BL605" s="90"/>
      <c r="BM605" s="90"/>
      <c r="BN605" s="90"/>
      <c r="BO605" s="90"/>
      <c r="BP605" s="90"/>
    </row>
    <row r="606" spans="1:68" ht="9.7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c r="BB606" s="90"/>
      <c r="BC606" s="90"/>
      <c r="BD606" s="90"/>
      <c r="BE606" s="90"/>
      <c r="BF606" s="90"/>
      <c r="BG606" s="90"/>
      <c r="BH606" s="90"/>
      <c r="BI606" s="90"/>
      <c r="BJ606" s="90"/>
      <c r="BK606" s="90"/>
      <c r="BL606" s="90"/>
      <c r="BM606" s="90"/>
      <c r="BN606" s="90"/>
      <c r="BO606" s="90"/>
      <c r="BP606" s="90"/>
    </row>
    <row r="607" spans="1:68" ht="9.7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c r="BB607" s="90"/>
      <c r="BC607" s="90"/>
      <c r="BD607" s="90"/>
      <c r="BE607" s="90"/>
      <c r="BF607" s="90"/>
      <c r="BG607" s="90"/>
      <c r="BH607" s="90"/>
      <c r="BI607" s="90"/>
      <c r="BJ607" s="90"/>
      <c r="BK607" s="90"/>
      <c r="BL607" s="90"/>
      <c r="BM607" s="90"/>
      <c r="BN607" s="90"/>
      <c r="BO607" s="90"/>
      <c r="BP607" s="90"/>
    </row>
    <row r="608" spans="1:68" ht="9.7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c r="BB608" s="90"/>
      <c r="BC608" s="90"/>
      <c r="BD608" s="90"/>
      <c r="BE608" s="90"/>
      <c r="BF608" s="90"/>
      <c r="BG608" s="90"/>
      <c r="BH608" s="90"/>
      <c r="BI608" s="90"/>
      <c r="BJ608" s="90"/>
      <c r="BK608" s="90"/>
      <c r="BL608" s="90"/>
      <c r="BM608" s="90"/>
      <c r="BN608" s="90"/>
      <c r="BO608" s="90"/>
      <c r="BP608" s="90"/>
    </row>
    <row r="609" spans="1:68" ht="9.7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c r="BB609" s="90"/>
      <c r="BC609" s="90"/>
      <c r="BD609" s="90"/>
      <c r="BE609" s="90"/>
      <c r="BF609" s="90"/>
      <c r="BG609" s="90"/>
      <c r="BH609" s="90"/>
      <c r="BI609" s="90"/>
      <c r="BJ609" s="90"/>
      <c r="BK609" s="90"/>
      <c r="BL609" s="90"/>
      <c r="BM609" s="90"/>
      <c r="BN609" s="90"/>
      <c r="BO609" s="90"/>
      <c r="BP609" s="90"/>
    </row>
    <row r="610" spans="1:68" ht="9.7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c r="BF610" s="90"/>
      <c r="BG610" s="90"/>
      <c r="BH610" s="90"/>
      <c r="BI610" s="90"/>
      <c r="BJ610" s="90"/>
      <c r="BK610" s="90"/>
      <c r="BL610" s="90"/>
      <c r="BM610" s="90"/>
      <c r="BN610" s="90"/>
      <c r="BO610" s="90"/>
      <c r="BP610" s="90"/>
    </row>
    <row r="611" spans="1:68" ht="9.7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c r="BH611" s="90"/>
      <c r="BI611" s="90"/>
      <c r="BJ611" s="90"/>
      <c r="BK611" s="90"/>
      <c r="BL611" s="90"/>
      <c r="BM611" s="90"/>
      <c r="BN611" s="90"/>
      <c r="BO611" s="90"/>
      <c r="BP611" s="90"/>
    </row>
    <row r="612" spans="1:68" ht="9.7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c r="BF612" s="90"/>
      <c r="BG612" s="90"/>
      <c r="BH612" s="90"/>
      <c r="BI612" s="90"/>
      <c r="BJ612" s="90"/>
      <c r="BK612" s="90"/>
      <c r="BL612" s="90"/>
      <c r="BM612" s="90"/>
      <c r="BN612" s="90"/>
      <c r="BO612" s="90"/>
      <c r="BP612" s="90"/>
    </row>
    <row r="613" spans="1:68" ht="9.7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c r="BB613" s="90"/>
      <c r="BC613" s="90"/>
      <c r="BD613" s="90"/>
      <c r="BE613" s="90"/>
      <c r="BF613" s="90"/>
      <c r="BG613" s="90"/>
      <c r="BH613" s="90"/>
      <c r="BI613" s="90"/>
      <c r="BJ613" s="90"/>
      <c r="BK613" s="90"/>
      <c r="BL613" s="90"/>
      <c r="BM613" s="90"/>
      <c r="BN613" s="90"/>
      <c r="BO613" s="90"/>
      <c r="BP613" s="90"/>
    </row>
    <row r="614" spans="1:68" ht="9.7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c r="BB614" s="90"/>
      <c r="BC614" s="90"/>
      <c r="BD614" s="90"/>
      <c r="BE614" s="90"/>
      <c r="BF614" s="90"/>
      <c r="BG614" s="90"/>
      <c r="BH614" s="90"/>
      <c r="BI614" s="90"/>
      <c r="BJ614" s="90"/>
      <c r="BK614" s="90"/>
      <c r="BL614" s="90"/>
      <c r="BM614" s="90"/>
      <c r="BN614" s="90"/>
      <c r="BO614" s="90"/>
      <c r="BP614" s="90"/>
    </row>
    <row r="615" spans="1:68" ht="9.7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c r="BB615" s="90"/>
      <c r="BC615" s="90"/>
      <c r="BD615" s="90"/>
      <c r="BE615" s="90"/>
      <c r="BF615" s="90"/>
      <c r="BG615" s="90"/>
      <c r="BH615" s="90"/>
      <c r="BI615" s="90"/>
      <c r="BJ615" s="90"/>
      <c r="BK615" s="90"/>
      <c r="BL615" s="90"/>
      <c r="BM615" s="90"/>
      <c r="BN615" s="90"/>
      <c r="BO615" s="90"/>
      <c r="BP615" s="90"/>
    </row>
    <row r="616" spans="1:68" ht="9.7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c r="BB616" s="90"/>
      <c r="BC616" s="90"/>
      <c r="BD616" s="90"/>
      <c r="BE616" s="90"/>
      <c r="BF616" s="90"/>
      <c r="BG616" s="90"/>
      <c r="BH616" s="90"/>
      <c r="BI616" s="90"/>
      <c r="BJ616" s="90"/>
      <c r="BK616" s="90"/>
      <c r="BL616" s="90"/>
      <c r="BM616" s="90"/>
      <c r="BN616" s="90"/>
      <c r="BO616" s="90"/>
      <c r="BP616" s="90"/>
    </row>
    <row r="617" spans="1:68" ht="9.7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c r="BB617" s="90"/>
      <c r="BC617" s="90"/>
      <c r="BD617" s="90"/>
      <c r="BE617" s="90"/>
      <c r="BF617" s="90"/>
      <c r="BG617" s="90"/>
      <c r="BH617" s="90"/>
      <c r="BI617" s="90"/>
      <c r="BJ617" s="90"/>
      <c r="BK617" s="90"/>
      <c r="BL617" s="90"/>
      <c r="BM617" s="90"/>
      <c r="BN617" s="90"/>
      <c r="BO617" s="90"/>
      <c r="BP617" s="90"/>
    </row>
    <row r="618" spans="1:68" ht="9.7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c r="BF618" s="90"/>
      <c r="BG618" s="90"/>
      <c r="BH618" s="90"/>
      <c r="BI618" s="90"/>
      <c r="BJ618" s="90"/>
      <c r="BK618" s="90"/>
      <c r="BL618" s="90"/>
      <c r="BM618" s="90"/>
      <c r="BN618" s="90"/>
      <c r="BO618" s="90"/>
      <c r="BP618" s="90"/>
    </row>
    <row r="619" spans="1:68" ht="9.7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c r="BF619" s="90"/>
      <c r="BG619" s="90"/>
      <c r="BH619" s="90"/>
      <c r="BI619" s="90"/>
      <c r="BJ619" s="90"/>
      <c r="BK619" s="90"/>
      <c r="BL619" s="90"/>
      <c r="BM619" s="90"/>
      <c r="BN619" s="90"/>
      <c r="BO619" s="90"/>
      <c r="BP619" s="90"/>
    </row>
    <row r="620" spans="1:68" ht="9.7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c r="BB620" s="90"/>
      <c r="BC620" s="90"/>
      <c r="BD620" s="90"/>
      <c r="BE620" s="90"/>
      <c r="BF620" s="90"/>
      <c r="BG620" s="90"/>
      <c r="BH620" s="90"/>
      <c r="BI620" s="90"/>
      <c r="BJ620" s="90"/>
      <c r="BK620" s="90"/>
      <c r="BL620" s="90"/>
      <c r="BM620" s="90"/>
      <c r="BN620" s="90"/>
      <c r="BO620" s="90"/>
      <c r="BP620" s="90"/>
    </row>
    <row r="621" spans="1:68" ht="9.7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c r="BB621" s="90"/>
      <c r="BC621" s="90"/>
      <c r="BD621" s="90"/>
      <c r="BE621" s="90"/>
      <c r="BF621" s="90"/>
      <c r="BG621" s="90"/>
      <c r="BH621" s="90"/>
      <c r="BI621" s="90"/>
      <c r="BJ621" s="90"/>
      <c r="BK621" s="90"/>
      <c r="BL621" s="90"/>
      <c r="BM621" s="90"/>
      <c r="BN621" s="90"/>
      <c r="BO621" s="90"/>
      <c r="BP621" s="90"/>
    </row>
    <row r="622" spans="1:68" ht="9.7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c r="BB622" s="90"/>
      <c r="BC622" s="90"/>
      <c r="BD622" s="90"/>
      <c r="BE622" s="90"/>
      <c r="BF622" s="90"/>
      <c r="BG622" s="90"/>
      <c r="BH622" s="90"/>
      <c r="BI622" s="90"/>
      <c r="BJ622" s="90"/>
      <c r="BK622" s="90"/>
      <c r="BL622" s="90"/>
      <c r="BM622" s="90"/>
      <c r="BN622" s="90"/>
      <c r="BO622" s="90"/>
      <c r="BP622" s="90"/>
    </row>
    <row r="623" spans="1:68" ht="9.7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c r="BB623" s="90"/>
      <c r="BC623" s="90"/>
      <c r="BD623" s="90"/>
      <c r="BE623" s="90"/>
      <c r="BF623" s="90"/>
      <c r="BG623" s="90"/>
      <c r="BH623" s="90"/>
      <c r="BI623" s="90"/>
      <c r="BJ623" s="90"/>
      <c r="BK623" s="90"/>
      <c r="BL623" s="90"/>
      <c r="BM623" s="90"/>
      <c r="BN623" s="90"/>
      <c r="BO623" s="90"/>
      <c r="BP623" s="90"/>
    </row>
    <row r="624" spans="1:68" ht="9.7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c r="BB624" s="90"/>
      <c r="BC624" s="90"/>
      <c r="BD624" s="90"/>
      <c r="BE624" s="90"/>
      <c r="BF624" s="90"/>
      <c r="BG624" s="90"/>
      <c r="BH624" s="90"/>
      <c r="BI624" s="90"/>
      <c r="BJ624" s="90"/>
      <c r="BK624" s="90"/>
      <c r="BL624" s="90"/>
      <c r="BM624" s="90"/>
      <c r="BN624" s="90"/>
      <c r="BO624" s="90"/>
      <c r="BP624" s="90"/>
    </row>
    <row r="625" spans="1:68" ht="9.7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c r="BB625" s="90"/>
      <c r="BC625" s="90"/>
      <c r="BD625" s="90"/>
      <c r="BE625" s="90"/>
      <c r="BF625" s="90"/>
      <c r="BG625" s="90"/>
      <c r="BH625" s="90"/>
      <c r="BI625" s="90"/>
      <c r="BJ625" s="90"/>
      <c r="BK625" s="90"/>
      <c r="BL625" s="90"/>
      <c r="BM625" s="90"/>
      <c r="BN625" s="90"/>
      <c r="BO625" s="90"/>
      <c r="BP625" s="90"/>
    </row>
    <row r="626" spans="1:68" ht="9.7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c r="BB626" s="90"/>
      <c r="BC626" s="90"/>
      <c r="BD626" s="90"/>
      <c r="BE626" s="90"/>
      <c r="BF626" s="90"/>
      <c r="BG626" s="90"/>
      <c r="BH626" s="90"/>
      <c r="BI626" s="90"/>
      <c r="BJ626" s="90"/>
      <c r="BK626" s="90"/>
      <c r="BL626" s="90"/>
      <c r="BM626" s="90"/>
      <c r="BN626" s="90"/>
      <c r="BO626" s="90"/>
      <c r="BP626" s="90"/>
    </row>
    <row r="627" spans="1:68" ht="9.7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c r="BB627" s="90"/>
      <c r="BC627" s="90"/>
      <c r="BD627" s="90"/>
      <c r="BE627" s="90"/>
      <c r="BF627" s="90"/>
      <c r="BG627" s="90"/>
      <c r="BH627" s="90"/>
      <c r="BI627" s="90"/>
      <c r="BJ627" s="90"/>
      <c r="BK627" s="90"/>
      <c r="BL627" s="90"/>
      <c r="BM627" s="90"/>
      <c r="BN627" s="90"/>
      <c r="BO627" s="90"/>
      <c r="BP627" s="90"/>
    </row>
    <row r="628" spans="1:68" ht="9.7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c r="BB628" s="90"/>
      <c r="BC628" s="90"/>
      <c r="BD628" s="90"/>
      <c r="BE628" s="90"/>
      <c r="BF628" s="90"/>
      <c r="BG628" s="90"/>
      <c r="BH628" s="90"/>
      <c r="BI628" s="90"/>
      <c r="BJ628" s="90"/>
      <c r="BK628" s="90"/>
      <c r="BL628" s="90"/>
      <c r="BM628" s="90"/>
      <c r="BN628" s="90"/>
      <c r="BO628" s="90"/>
      <c r="BP628" s="90"/>
    </row>
    <row r="629" spans="1:68" ht="9.7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c r="BB629" s="90"/>
      <c r="BC629" s="90"/>
      <c r="BD629" s="90"/>
      <c r="BE629" s="90"/>
      <c r="BF629" s="90"/>
      <c r="BG629" s="90"/>
      <c r="BH629" s="90"/>
      <c r="BI629" s="90"/>
      <c r="BJ629" s="90"/>
      <c r="BK629" s="90"/>
      <c r="BL629" s="90"/>
      <c r="BM629" s="90"/>
      <c r="BN629" s="90"/>
      <c r="BO629" s="90"/>
      <c r="BP629" s="90"/>
    </row>
    <row r="630" spans="1:68" ht="9.7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c r="BB630" s="90"/>
      <c r="BC630" s="90"/>
      <c r="BD630" s="90"/>
      <c r="BE630" s="90"/>
      <c r="BF630" s="90"/>
      <c r="BG630" s="90"/>
      <c r="BH630" s="90"/>
      <c r="BI630" s="90"/>
      <c r="BJ630" s="90"/>
      <c r="BK630" s="90"/>
      <c r="BL630" s="90"/>
      <c r="BM630" s="90"/>
      <c r="BN630" s="90"/>
      <c r="BO630" s="90"/>
      <c r="BP630" s="90"/>
    </row>
    <row r="631" spans="1:68" ht="9.7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c r="BB631" s="90"/>
      <c r="BC631" s="90"/>
      <c r="BD631" s="90"/>
      <c r="BE631" s="90"/>
      <c r="BF631" s="90"/>
      <c r="BG631" s="90"/>
      <c r="BH631" s="90"/>
      <c r="BI631" s="90"/>
      <c r="BJ631" s="90"/>
      <c r="BK631" s="90"/>
      <c r="BL631" s="90"/>
      <c r="BM631" s="90"/>
      <c r="BN631" s="90"/>
      <c r="BO631" s="90"/>
      <c r="BP631" s="90"/>
    </row>
    <row r="632" spans="1:68" ht="9.7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c r="BB632" s="90"/>
      <c r="BC632" s="90"/>
      <c r="BD632" s="90"/>
      <c r="BE632" s="90"/>
      <c r="BF632" s="90"/>
      <c r="BG632" s="90"/>
      <c r="BH632" s="90"/>
      <c r="BI632" s="90"/>
      <c r="BJ632" s="90"/>
      <c r="BK632" s="90"/>
      <c r="BL632" s="90"/>
      <c r="BM632" s="90"/>
      <c r="BN632" s="90"/>
      <c r="BO632" s="90"/>
      <c r="BP632" s="90"/>
    </row>
    <row r="633" spans="1:68" ht="9.7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c r="BB633" s="90"/>
      <c r="BC633" s="90"/>
      <c r="BD633" s="90"/>
      <c r="BE633" s="90"/>
      <c r="BF633" s="90"/>
      <c r="BG633" s="90"/>
      <c r="BH633" s="90"/>
      <c r="BI633" s="90"/>
      <c r="BJ633" s="90"/>
      <c r="BK633" s="90"/>
      <c r="BL633" s="90"/>
      <c r="BM633" s="90"/>
      <c r="BN633" s="90"/>
      <c r="BO633" s="90"/>
      <c r="BP633" s="90"/>
    </row>
    <row r="634" spans="1:68" ht="9.7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c r="BF634" s="90"/>
      <c r="BG634" s="90"/>
      <c r="BH634" s="90"/>
      <c r="BI634" s="90"/>
      <c r="BJ634" s="90"/>
      <c r="BK634" s="90"/>
      <c r="BL634" s="90"/>
      <c r="BM634" s="90"/>
      <c r="BN634" s="90"/>
      <c r="BO634" s="90"/>
      <c r="BP634" s="90"/>
    </row>
    <row r="635" spans="1:68" ht="9.7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c r="BF635" s="90"/>
      <c r="BG635" s="90"/>
      <c r="BH635" s="90"/>
      <c r="BI635" s="90"/>
      <c r="BJ635" s="90"/>
      <c r="BK635" s="90"/>
      <c r="BL635" s="90"/>
      <c r="BM635" s="90"/>
      <c r="BN635" s="90"/>
      <c r="BO635" s="90"/>
      <c r="BP635" s="90"/>
    </row>
    <row r="636" spans="1:68" ht="9.7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c r="BB636" s="90"/>
      <c r="BC636" s="90"/>
      <c r="BD636" s="90"/>
      <c r="BE636" s="90"/>
      <c r="BF636" s="90"/>
      <c r="BG636" s="90"/>
      <c r="BH636" s="90"/>
      <c r="BI636" s="90"/>
      <c r="BJ636" s="90"/>
      <c r="BK636" s="90"/>
      <c r="BL636" s="90"/>
      <c r="BM636" s="90"/>
      <c r="BN636" s="90"/>
      <c r="BO636" s="90"/>
      <c r="BP636" s="90"/>
    </row>
    <row r="637" spans="1:68" ht="9.7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c r="BB637" s="90"/>
      <c r="BC637" s="90"/>
      <c r="BD637" s="90"/>
      <c r="BE637" s="90"/>
      <c r="BF637" s="90"/>
      <c r="BG637" s="90"/>
      <c r="BH637" s="90"/>
      <c r="BI637" s="90"/>
      <c r="BJ637" s="90"/>
      <c r="BK637" s="90"/>
      <c r="BL637" s="90"/>
      <c r="BM637" s="90"/>
      <c r="BN637" s="90"/>
      <c r="BO637" s="90"/>
      <c r="BP637" s="90"/>
    </row>
    <row r="638" spans="1:68" ht="9.7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c r="BB638" s="90"/>
      <c r="BC638" s="90"/>
      <c r="BD638" s="90"/>
      <c r="BE638" s="90"/>
      <c r="BF638" s="90"/>
      <c r="BG638" s="90"/>
      <c r="BH638" s="90"/>
      <c r="BI638" s="90"/>
      <c r="BJ638" s="90"/>
      <c r="BK638" s="90"/>
      <c r="BL638" s="90"/>
      <c r="BM638" s="90"/>
      <c r="BN638" s="90"/>
      <c r="BO638" s="90"/>
      <c r="BP638" s="90"/>
    </row>
    <row r="639" spans="1:68" ht="9.7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c r="BF639" s="90"/>
      <c r="BG639" s="90"/>
      <c r="BH639" s="90"/>
      <c r="BI639" s="90"/>
      <c r="BJ639" s="90"/>
      <c r="BK639" s="90"/>
      <c r="BL639" s="90"/>
      <c r="BM639" s="90"/>
      <c r="BN639" s="90"/>
      <c r="BO639" s="90"/>
      <c r="BP639" s="90"/>
    </row>
    <row r="640" spans="1:68" ht="9.7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c r="BB640" s="90"/>
      <c r="BC640" s="90"/>
      <c r="BD640" s="90"/>
      <c r="BE640" s="90"/>
      <c r="BF640" s="90"/>
      <c r="BG640" s="90"/>
      <c r="BH640" s="90"/>
      <c r="BI640" s="90"/>
      <c r="BJ640" s="90"/>
      <c r="BK640" s="90"/>
      <c r="BL640" s="90"/>
      <c r="BM640" s="90"/>
      <c r="BN640" s="90"/>
      <c r="BO640" s="90"/>
      <c r="BP640" s="90"/>
    </row>
    <row r="641" spans="1:68" ht="9.7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c r="BB641" s="90"/>
      <c r="BC641" s="90"/>
      <c r="BD641" s="90"/>
      <c r="BE641" s="90"/>
      <c r="BF641" s="90"/>
      <c r="BG641" s="90"/>
      <c r="BH641" s="90"/>
      <c r="BI641" s="90"/>
      <c r="BJ641" s="90"/>
      <c r="BK641" s="90"/>
      <c r="BL641" s="90"/>
      <c r="BM641" s="90"/>
      <c r="BN641" s="90"/>
      <c r="BO641" s="90"/>
      <c r="BP641" s="90"/>
    </row>
    <row r="642" spans="1:68" ht="9.7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c r="BB642" s="90"/>
      <c r="BC642" s="90"/>
      <c r="BD642" s="90"/>
      <c r="BE642" s="90"/>
      <c r="BF642" s="90"/>
      <c r="BG642" s="90"/>
      <c r="BH642" s="90"/>
      <c r="BI642" s="90"/>
      <c r="BJ642" s="90"/>
      <c r="BK642" s="90"/>
      <c r="BL642" s="90"/>
      <c r="BM642" s="90"/>
      <c r="BN642" s="90"/>
      <c r="BO642" s="90"/>
      <c r="BP642" s="90"/>
    </row>
    <row r="643" spans="1:68" ht="9.7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c r="BB643" s="90"/>
      <c r="BC643" s="90"/>
      <c r="BD643" s="90"/>
      <c r="BE643" s="90"/>
      <c r="BF643" s="90"/>
      <c r="BG643" s="90"/>
      <c r="BH643" s="90"/>
      <c r="BI643" s="90"/>
      <c r="BJ643" s="90"/>
      <c r="BK643" s="90"/>
      <c r="BL643" s="90"/>
      <c r="BM643" s="90"/>
      <c r="BN643" s="90"/>
      <c r="BO643" s="90"/>
      <c r="BP643" s="90"/>
    </row>
    <row r="644" spans="1:68" ht="9.7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c r="BB644" s="90"/>
      <c r="BC644" s="90"/>
      <c r="BD644" s="90"/>
      <c r="BE644" s="90"/>
      <c r="BF644" s="90"/>
      <c r="BG644" s="90"/>
      <c r="BH644" s="90"/>
      <c r="BI644" s="90"/>
      <c r="BJ644" s="90"/>
      <c r="BK644" s="90"/>
      <c r="BL644" s="90"/>
      <c r="BM644" s="90"/>
      <c r="BN644" s="90"/>
      <c r="BO644" s="90"/>
      <c r="BP644" s="90"/>
    </row>
    <row r="645" spans="1:68" ht="9.7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c r="BB645" s="90"/>
      <c r="BC645" s="90"/>
      <c r="BD645" s="90"/>
      <c r="BE645" s="90"/>
      <c r="BF645" s="90"/>
      <c r="BG645" s="90"/>
      <c r="BH645" s="90"/>
      <c r="BI645" s="90"/>
      <c r="BJ645" s="90"/>
      <c r="BK645" s="90"/>
      <c r="BL645" s="90"/>
      <c r="BM645" s="90"/>
      <c r="BN645" s="90"/>
      <c r="BO645" s="90"/>
      <c r="BP645" s="90"/>
    </row>
    <row r="646" spans="1:68" ht="9.7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c r="BB646" s="90"/>
      <c r="BC646" s="90"/>
      <c r="BD646" s="90"/>
      <c r="BE646" s="90"/>
      <c r="BF646" s="90"/>
      <c r="BG646" s="90"/>
      <c r="BH646" s="90"/>
      <c r="BI646" s="90"/>
      <c r="BJ646" s="90"/>
      <c r="BK646" s="90"/>
      <c r="BL646" s="90"/>
      <c r="BM646" s="90"/>
      <c r="BN646" s="90"/>
      <c r="BO646" s="90"/>
      <c r="BP646" s="90"/>
    </row>
    <row r="647" spans="1:68" ht="9.7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c r="BB647" s="90"/>
      <c r="BC647" s="90"/>
      <c r="BD647" s="90"/>
      <c r="BE647" s="90"/>
      <c r="BF647" s="90"/>
      <c r="BG647" s="90"/>
      <c r="BH647" s="90"/>
      <c r="BI647" s="90"/>
      <c r="BJ647" s="90"/>
      <c r="BK647" s="90"/>
      <c r="BL647" s="90"/>
      <c r="BM647" s="90"/>
      <c r="BN647" s="90"/>
      <c r="BO647" s="90"/>
      <c r="BP647" s="90"/>
    </row>
    <row r="648" spans="1:68" ht="9.7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c r="BB648" s="90"/>
      <c r="BC648" s="90"/>
      <c r="BD648" s="90"/>
      <c r="BE648" s="90"/>
      <c r="BF648" s="90"/>
      <c r="BG648" s="90"/>
      <c r="BH648" s="90"/>
      <c r="BI648" s="90"/>
      <c r="BJ648" s="90"/>
      <c r="BK648" s="90"/>
      <c r="BL648" s="90"/>
      <c r="BM648" s="90"/>
      <c r="BN648" s="90"/>
      <c r="BO648" s="90"/>
      <c r="BP648" s="90"/>
    </row>
    <row r="649" spans="1:68" ht="9.7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c r="BB649" s="90"/>
      <c r="BC649" s="90"/>
      <c r="BD649" s="90"/>
      <c r="BE649" s="90"/>
      <c r="BF649" s="90"/>
      <c r="BG649" s="90"/>
      <c r="BH649" s="90"/>
      <c r="BI649" s="90"/>
      <c r="BJ649" s="90"/>
      <c r="BK649" s="90"/>
      <c r="BL649" s="90"/>
      <c r="BM649" s="90"/>
      <c r="BN649" s="90"/>
      <c r="BO649" s="90"/>
      <c r="BP649" s="90"/>
    </row>
    <row r="650" spans="1:68" ht="9.7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c r="BB650" s="90"/>
      <c r="BC650" s="90"/>
      <c r="BD650" s="90"/>
      <c r="BE650" s="90"/>
      <c r="BF650" s="90"/>
      <c r="BG650" s="90"/>
      <c r="BH650" s="90"/>
      <c r="BI650" s="90"/>
      <c r="BJ650" s="90"/>
      <c r="BK650" s="90"/>
      <c r="BL650" s="90"/>
      <c r="BM650" s="90"/>
      <c r="BN650" s="90"/>
      <c r="BO650" s="90"/>
      <c r="BP650" s="90"/>
    </row>
    <row r="651" spans="1:68" ht="9.7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c r="BK651" s="90"/>
      <c r="BL651" s="90"/>
      <c r="BM651" s="90"/>
      <c r="BN651" s="90"/>
      <c r="BO651" s="90"/>
      <c r="BP651" s="90"/>
    </row>
    <row r="652" spans="1:68" ht="9.7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c r="BB652" s="90"/>
      <c r="BC652" s="90"/>
      <c r="BD652" s="90"/>
      <c r="BE652" s="90"/>
      <c r="BF652" s="90"/>
      <c r="BG652" s="90"/>
      <c r="BH652" s="90"/>
      <c r="BI652" s="90"/>
      <c r="BJ652" s="90"/>
      <c r="BK652" s="90"/>
      <c r="BL652" s="90"/>
      <c r="BM652" s="90"/>
      <c r="BN652" s="90"/>
      <c r="BO652" s="90"/>
      <c r="BP652" s="90"/>
    </row>
    <row r="653" spans="1:68" ht="9.7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c r="BB653" s="90"/>
      <c r="BC653" s="90"/>
      <c r="BD653" s="90"/>
      <c r="BE653" s="90"/>
      <c r="BF653" s="90"/>
      <c r="BG653" s="90"/>
      <c r="BH653" s="90"/>
      <c r="BI653" s="90"/>
      <c r="BJ653" s="90"/>
      <c r="BK653" s="90"/>
      <c r="BL653" s="90"/>
      <c r="BM653" s="90"/>
      <c r="BN653" s="90"/>
      <c r="BO653" s="90"/>
      <c r="BP653" s="90"/>
    </row>
    <row r="654" spans="1:68" ht="9.7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c r="BB654" s="90"/>
      <c r="BC654" s="90"/>
      <c r="BD654" s="90"/>
      <c r="BE654" s="90"/>
      <c r="BF654" s="90"/>
      <c r="BG654" s="90"/>
      <c r="BH654" s="90"/>
      <c r="BI654" s="90"/>
      <c r="BJ654" s="90"/>
      <c r="BK654" s="90"/>
      <c r="BL654" s="90"/>
      <c r="BM654" s="90"/>
      <c r="BN654" s="90"/>
      <c r="BO654" s="90"/>
      <c r="BP654" s="90"/>
    </row>
    <row r="655" spans="1:68" ht="9.7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c r="BK655" s="90"/>
      <c r="BL655" s="90"/>
      <c r="BM655" s="90"/>
      <c r="BN655" s="90"/>
      <c r="BO655" s="90"/>
      <c r="BP655" s="90"/>
    </row>
    <row r="656" spans="1:68" ht="9.7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c r="BB656" s="90"/>
      <c r="BC656" s="90"/>
      <c r="BD656" s="90"/>
      <c r="BE656" s="90"/>
      <c r="BF656" s="90"/>
      <c r="BG656" s="90"/>
      <c r="BH656" s="90"/>
      <c r="BI656" s="90"/>
      <c r="BJ656" s="90"/>
      <c r="BK656" s="90"/>
      <c r="BL656" s="90"/>
      <c r="BM656" s="90"/>
      <c r="BN656" s="90"/>
      <c r="BO656" s="90"/>
      <c r="BP656" s="90"/>
    </row>
    <row r="657" spans="1:68" ht="9.7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c r="BB657" s="90"/>
      <c r="BC657" s="90"/>
      <c r="BD657" s="90"/>
      <c r="BE657" s="90"/>
      <c r="BF657" s="90"/>
      <c r="BG657" s="90"/>
      <c r="BH657" s="90"/>
      <c r="BI657" s="90"/>
      <c r="BJ657" s="90"/>
      <c r="BK657" s="90"/>
      <c r="BL657" s="90"/>
      <c r="BM657" s="90"/>
      <c r="BN657" s="90"/>
      <c r="BO657" s="90"/>
      <c r="BP657" s="90"/>
    </row>
    <row r="658" spans="1:68" ht="9.7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c r="BB658" s="90"/>
      <c r="BC658" s="90"/>
      <c r="BD658" s="90"/>
      <c r="BE658" s="90"/>
      <c r="BF658" s="90"/>
      <c r="BG658" s="90"/>
      <c r="BH658" s="90"/>
      <c r="BI658" s="90"/>
      <c r="BJ658" s="90"/>
      <c r="BK658" s="90"/>
      <c r="BL658" s="90"/>
      <c r="BM658" s="90"/>
      <c r="BN658" s="90"/>
      <c r="BO658" s="90"/>
      <c r="BP658" s="90"/>
    </row>
    <row r="659" spans="1:68" ht="9.7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c r="BK659" s="90"/>
      <c r="BL659" s="90"/>
      <c r="BM659" s="90"/>
      <c r="BN659" s="90"/>
      <c r="BO659" s="90"/>
      <c r="BP659" s="90"/>
    </row>
    <row r="660" spans="1:68" ht="9.7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c r="BK660" s="90"/>
      <c r="BL660" s="90"/>
      <c r="BM660" s="90"/>
      <c r="BN660" s="90"/>
      <c r="BO660" s="90"/>
      <c r="BP660" s="90"/>
    </row>
    <row r="661" spans="1:68" ht="9.7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c r="BK661" s="90"/>
      <c r="BL661" s="90"/>
      <c r="BM661" s="90"/>
      <c r="BN661" s="90"/>
      <c r="BO661" s="90"/>
      <c r="BP661" s="90"/>
    </row>
    <row r="662" spans="1:68" ht="9.7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c r="BB662" s="90"/>
      <c r="BC662" s="90"/>
      <c r="BD662" s="90"/>
      <c r="BE662" s="90"/>
      <c r="BF662" s="90"/>
      <c r="BG662" s="90"/>
      <c r="BH662" s="90"/>
      <c r="BI662" s="90"/>
      <c r="BJ662" s="90"/>
      <c r="BK662" s="90"/>
      <c r="BL662" s="90"/>
      <c r="BM662" s="90"/>
      <c r="BN662" s="90"/>
      <c r="BO662" s="90"/>
      <c r="BP662" s="90"/>
    </row>
    <row r="663" spans="1:68" ht="9.7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c r="BB663" s="90"/>
      <c r="BC663" s="90"/>
      <c r="BD663" s="90"/>
      <c r="BE663" s="90"/>
      <c r="BF663" s="90"/>
      <c r="BG663" s="90"/>
      <c r="BH663" s="90"/>
      <c r="BI663" s="90"/>
      <c r="BJ663" s="90"/>
      <c r="BK663" s="90"/>
      <c r="BL663" s="90"/>
      <c r="BM663" s="90"/>
      <c r="BN663" s="90"/>
      <c r="BO663" s="90"/>
      <c r="BP663" s="90"/>
    </row>
    <row r="664" spans="1:68" ht="9.7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c r="BB664" s="90"/>
      <c r="BC664" s="90"/>
      <c r="BD664" s="90"/>
      <c r="BE664" s="90"/>
      <c r="BF664" s="90"/>
      <c r="BG664" s="90"/>
      <c r="BH664" s="90"/>
      <c r="BI664" s="90"/>
      <c r="BJ664" s="90"/>
      <c r="BK664" s="90"/>
      <c r="BL664" s="90"/>
      <c r="BM664" s="90"/>
      <c r="BN664" s="90"/>
      <c r="BO664" s="90"/>
      <c r="BP664" s="90"/>
    </row>
    <row r="665" spans="1:68" ht="9.7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c r="BB665" s="90"/>
      <c r="BC665" s="90"/>
      <c r="BD665" s="90"/>
      <c r="BE665" s="90"/>
      <c r="BF665" s="90"/>
      <c r="BG665" s="90"/>
      <c r="BH665" s="90"/>
      <c r="BI665" s="90"/>
      <c r="BJ665" s="90"/>
      <c r="BK665" s="90"/>
      <c r="BL665" s="90"/>
      <c r="BM665" s="90"/>
      <c r="BN665" s="90"/>
      <c r="BO665" s="90"/>
      <c r="BP665" s="90"/>
    </row>
    <row r="666" spans="1:68" ht="9.7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c r="BB666" s="90"/>
      <c r="BC666" s="90"/>
      <c r="BD666" s="90"/>
      <c r="BE666" s="90"/>
      <c r="BF666" s="90"/>
      <c r="BG666" s="90"/>
      <c r="BH666" s="90"/>
      <c r="BI666" s="90"/>
      <c r="BJ666" s="90"/>
      <c r="BK666" s="90"/>
      <c r="BL666" s="90"/>
      <c r="BM666" s="90"/>
      <c r="BN666" s="90"/>
      <c r="BO666" s="90"/>
      <c r="BP666" s="90"/>
    </row>
    <row r="667" spans="1:68" ht="9.7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c r="BB667" s="90"/>
      <c r="BC667" s="90"/>
      <c r="BD667" s="90"/>
      <c r="BE667" s="90"/>
      <c r="BF667" s="90"/>
      <c r="BG667" s="90"/>
      <c r="BH667" s="90"/>
      <c r="BI667" s="90"/>
      <c r="BJ667" s="90"/>
      <c r="BK667" s="90"/>
      <c r="BL667" s="90"/>
      <c r="BM667" s="90"/>
      <c r="BN667" s="90"/>
      <c r="BO667" s="90"/>
      <c r="BP667" s="90"/>
    </row>
    <row r="668" spans="1:68" ht="9.7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c r="BB668" s="90"/>
      <c r="BC668" s="90"/>
      <c r="BD668" s="90"/>
      <c r="BE668" s="90"/>
      <c r="BF668" s="90"/>
      <c r="BG668" s="90"/>
      <c r="BH668" s="90"/>
      <c r="BI668" s="90"/>
      <c r="BJ668" s="90"/>
      <c r="BK668" s="90"/>
      <c r="BL668" s="90"/>
      <c r="BM668" s="90"/>
      <c r="BN668" s="90"/>
      <c r="BO668" s="90"/>
      <c r="BP668" s="90"/>
    </row>
    <row r="669" spans="1:68" ht="9.7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c r="BB669" s="90"/>
      <c r="BC669" s="90"/>
      <c r="BD669" s="90"/>
      <c r="BE669" s="90"/>
      <c r="BF669" s="90"/>
      <c r="BG669" s="90"/>
      <c r="BH669" s="90"/>
      <c r="BI669" s="90"/>
      <c r="BJ669" s="90"/>
      <c r="BK669" s="90"/>
      <c r="BL669" s="90"/>
      <c r="BM669" s="90"/>
      <c r="BN669" s="90"/>
      <c r="BO669" s="90"/>
      <c r="BP669" s="90"/>
    </row>
    <row r="670" spans="1:68" ht="9.7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c r="BB670" s="90"/>
      <c r="BC670" s="90"/>
      <c r="BD670" s="90"/>
      <c r="BE670" s="90"/>
      <c r="BF670" s="90"/>
      <c r="BG670" s="90"/>
      <c r="BH670" s="90"/>
      <c r="BI670" s="90"/>
      <c r="BJ670" s="90"/>
      <c r="BK670" s="90"/>
      <c r="BL670" s="90"/>
      <c r="BM670" s="90"/>
      <c r="BN670" s="90"/>
      <c r="BO670" s="90"/>
      <c r="BP670" s="90"/>
    </row>
    <row r="671" spans="1:68" ht="9.7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c r="BB671" s="90"/>
      <c r="BC671" s="90"/>
      <c r="BD671" s="90"/>
      <c r="BE671" s="90"/>
      <c r="BF671" s="90"/>
      <c r="BG671" s="90"/>
      <c r="BH671" s="90"/>
      <c r="BI671" s="90"/>
      <c r="BJ671" s="90"/>
      <c r="BK671" s="90"/>
      <c r="BL671" s="90"/>
      <c r="BM671" s="90"/>
      <c r="BN671" s="90"/>
      <c r="BO671" s="90"/>
      <c r="BP671" s="90"/>
    </row>
    <row r="672" spans="1:68" ht="9.7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c r="BF672" s="90"/>
      <c r="BG672" s="90"/>
      <c r="BH672" s="90"/>
      <c r="BI672" s="90"/>
      <c r="BJ672" s="90"/>
      <c r="BK672" s="90"/>
      <c r="BL672" s="90"/>
      <c r="BM672" s="90"/>
      <c r="BN672" s="90"/>
      <c r="BO672" s="90"/>
      <c r="BP672" s="90"/>
    </row>
    <row r="673" spans="1:68" ht="9.7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c r="BB673" s="90"/>
      <c r="BC673" s="90"/>
      <c r="BD673" s="90"/>
      <c r="BE673" s="90"/>
      <c r="BF673" s="90"/>
      <c r="BG673" s="90"/>
      <c r="BH673" s="90"/>
      <c r="BI673" s="90"/>
      <c r="BJ673" s="90"/>
      <c r="BK673" s="90"/>
      <c r="BL673" s="90"/>
      <c r="BM673" s="90"/>
      <c r="BN673" s="90"/>
      <c r="BO673" s="90"/>
      <c r="BP673" s="90"/>
    </row>
    <row r="674" spans="1:68" ht="9.7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c r="BB674" s="90"/>
      <c r="BC674" s="90"/>
      <c r="BD674" s="90"/>
      <c r="BE674" s="90"/>
      <c r="BF674" s="90"/>
      <c r="BG674" s="90"/>
      <c r="BH674" s="90"/>
      <c r="BI674" s="90"/>
      <c r="BJ674" s="90"/>
      <c r="BK674" s="90"/>
      <c r="BL674" s="90"/>
      <c r="BM674" s="90"/>
      <c r="BN674" s="90"/>
      <c r="BO674" s="90"/>
      <c r="BP674" s="90"/>
    </row>
    <row r="675" spans="1:68" ht="9.7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c r="BB675" s="90"/>
      <c r="BC675" s="90"/>
      <c r="BD675" s="90"/>
      <c r="BE675" s="90"/>
      <c r="BF675" s="90"/>
      <c r="BG675" s="90"/>
      <c r="BH675" s="90"/>
      <c r="BI675" s="90"/>
      <c r="BJ675" s="90"/>
      <c r="BK675" s="90"/>
      <c r="BL675" s="90"/>
      <c r="BM675" s="90"/>
      <c r="BN675" s="90"/>
      <c r="BO675" s="90"/>
      <c r="BP675" s="90"/>
    </row>
    <row r="676" spans="1:68" ht="9.7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c r="BB676" s="90"/>
      <c r="BC676" s="90"/>
      <c r="BD676" s="90"/>
      <c r="BE676" s="90"/>
      <c r="BF676" s="90"/>
      <c r="BG676" s="90"/>
      <c r="BH676" s="90"/>
      <c r="BI676" s="90"/>
      <c r="BJ676" s="90"/>
      <c r="BK676" s="90"/>
      <c r="BL676" s="90"/>
      <c r="BM676" s="90"/>
      <c r="BN676" s="90"/>
      <c r="BO676" s="90"/>
      <c r="BP676" s="90"/>
    </row>
    <row r="677" spans="1:68" ht="9.7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c r="BB677" s="90"/>
      <c r="BC677" s="90"/>
      <c r="BD677" s="90"/>
      <c r="BE677" s="90"/>
      <c r="BF677" s="90"/>
      <c r="BG677" s="90"/>
      <c r="BH677" s="90"/>
      <c r="BI677" s="90"/>
      <c r="BJ677" s="90"/>
      <c r="BK677" s="90"/>
      <c r="BL677" s="90"/>
      <c r="BM677" s="90"/>
      <c r="BN677" s="90"/>
      <c r="BO677" s="90"/>
      <c r="BP677" s="90"/>
    </row>
    <row r="678" spans="1:68" ht="9.7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c r="BB678" s="90"/>
      <c r="BC678" s="90"/>
      <c r="BD678" s="90"/>
      <c r="BE678" s="90"/>
      <c r="BF678" s="90"/>
      <c r="BG678" s="90"/>
      <c r="BH678" s="90"/>
      <c r="BI678" s="90"/>
      <c r="BJ678" s="90"/>
      <c r="BK678" s="90"/>
      <c r="BL678" s="90"/>
      <c r="BM678" s="90"/>
      <c r="BN678" s="90"/>
      <c r="BO678" s="90"/>
      <c r="BP678" s="90"/>
    </row>
    <row r="679" spans="1:68" ht="9.7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c r="BB679" s="90"/>
      <c r="BC679" s="90"/>
      <c r="BD679" s="90"/>
      <c r="BE679" s="90"/>
      <c r="BF679" s="90"/>
      <c r="BG679" s="90"/>
      <c r="BH679" s="90"/>
      <c r="BI679" s="90"/>
      <c r="BJ679" s="90"/>
      <c r="BK679" s="90"/>
      <c r="BL679" s="90"/>
      <c r="BM679" s="90"/>
      <c r="BN679" s="90"/>
      <c r="BO679" s="90"/>
      <c r="BP679" s="90"/>
    </row>
    <row r="680" spans="1:68" ht="9.7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c r="AX680" s="90"/>
      <c r="AY680" s="90"/>
      <c r="AZ680" s="90"/>
      <c r="BA680" s="90"/>
      <c r="BB680" s="90"/>
      <c r="BC680" s="90"/>
      <c r="BD680" s="90"/>
      <c r="BE680" s="90"/>
      <c r="BF680" s="90"/>
      <c r="BG680" s="90"/>
      <c r="BH680" s="90"/>
      <c r="BI680" s="90"/>
      <c r="BJ680" s="90"/>
      <c r="BK680" s="90"/>
      <c r="BL680" s="90"/>
      <c r="BM680" s="90"/>
      <c r="BN680" s="90"/>
      <c r="BO680" s="90"/>
      <c r="BP680" s="90"/>
    </row>
    <row r="681" spans="1:68" ht="9.7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c r="AX681" s="90"/>
      <c r="AY681" s="90"/>
      <c r="AZ681" s="90"/>
      <c r="BA681" s="90"/>
      <c r="BB681" s="90"/>
      <c r="BC681" s="90"/>
      <c r="BD681" s="90"/>
      <c r="BE681" s="90"/>
      <c r="BF681" s="90"/>
      <c r="BG681" s="90"/>
      <c r="BH681" s="90"/>
      <c r="BI681" s="90"/>
      <c r="BJ681" s="90"/>
      <c r="BK681" s="90"/>
      <c r="BL681" s="90"/>
      <c r="BM681" s="90"/>
      <c r="BN681" s="90"/>
      <c r="BO681" s="90"/>
      <c r="BP681" s="90"/>
    </row>
    <row r="682" spans="1:68" ht="9.7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c r="BB682" s="90"/>
      <c r="BC682" s="90"/>
      <c r="BD682" s="90"/>
      <c r="BE682" s="90"/>
      <c r="BF682" s="90"/>
      <c r="BG682" s="90"/>
      <c r="BH682" s="90"/>
      <c r="BI682" s="90"/>
      <c r="BJ682" s="90"/>
      <c r="BK682" s="90"/>
      <c r="BL682" s="90"/>
      <c r="BM682" s="90"/>
      <c r="BN682" s="90"/>
      <c r="BO682" s="90"/>
      <c r="BP682" s="90"/>
    </row>
    <row r="683" spans="1:68" ht="9.7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c r="AX683" s="90"/>
      <c r="AY683" s="90"/>
      <c r="AZ683" s="90"/>
      <c r="BA683" s="90"/>
      <c r="BB683" s="90"/>
      <c r="BC683" s="90"/>
      <c r="BD683" s="90"/>
      <c r="BE683" s="90"/>
      <c r="BF683" s="90"/>
      <c r="BG683" s="90"/>
      <c r="BH683" s="90"/>
      <c r="BI683" s="90"/>
      <c r="BJ683" s="90"/>
      <c r="BK683" s="90"/>
      <c r="BL683" s="90"/>
      <c r="BM683" s="90"/>
      <c r="BN683" s="90"/>
      <c r="BO683" s="90"/>
      <c r="BP683" s="90"/>
    </row>
    <row r="684" spans="1:68" ht="9.7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c r="BD684" s="90"/>
      <c r="BE684" s="90"/>
      <c r="BF684" s="90"/>
      <c r="BG684" s="90"/>
      <c r="BH684" s="90"/>
      <c r="BI684" s="90"/>
      <c r="BJ684" s="90"/>
      <c r="BK684" s="90"/>
      <c r="BL684" s="90"/>
      <c r="BM684" s="90"/>
      <c r="BN684" s="90"/>
      <c r="BO684" s="90"/>
      <c r="BP684" s="90"/>
    </row>
    <row r="685" spans="1:68" ht="9.7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c r="AX685" s="90"/>
      <c r="AY685" s="90"/>
      <c r="AZ685" s="90"/>
      <c r="BA685" s="90"/>
      <c r="BB685" s="90"/>
      <c r="BC685" s="90"/>
      <c r="BD685" s="90"/>
      <c r="BE685" s="90"/>
      <c r="BF685" s="90"/>
      <c r="BG685" s="90"/>
      <c r="BH685" s="90"/>
      <c r="BI685" s="90"/>
      <c r="BJ685" s="90"/>
      <c r="BK685" s="90"/>
      <c r="BL685" s="90"/>
      <c r="BM685" s="90"/>
      <c r="BN685" s="90"/>
      <c r="BO685" s="90"/>
      <c r="BP685" s="90"/>
    </row>
    <row r="686" spans="1:68" ht="9.7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c r="AX686" s="90"/>
      <c r="AY686" s="90"/>
      <c r="AZ686" s="90"/>
      <c r="BA686" s="90"/>
      <c r="BB686" s="90"/>
      <c r="BC686" s="90"/>
      <c r="BD686" s="90"/>
      <c r="BE686" s="90"/>
      <c r="BF686" s="90"/>
      <c r="BG686" s="90"/>
      <c r="BH686" s="90"/>
      <c r="BI686" s="90"/>
      <c r="BJ686" s="90"/>
      <c r="BK686" s="90"/>
      <c r="BL686" s="90"/>
      <c r="BM686" s="90"/>
      <c r="BN686" s="90"/>
      <c r="BO686" s="90"/>
      <c r="BP686" s="90"/>
    </row>
    <row r="687" spans="1:68" ht="9.7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c r="BB687" s="90"/>
      <c r="BC687" s="90"/>
      <c r="BD687" s="90"/>
      <c r="BE687" s="90"/>
      <c r="BF687" s="90"/>
      <c r="BG687" s="90"/>
      <c r="BH687" s="90"/>
      <c r="BI687" s="90"/>
      <c r="BJ687" s="90"/>
      <c r="BK687" s="90"/>
      <c r="BL687" s="90"/>
      <c r="BM687" s="90"/>
      <c r="BN687" s="90"/>
      <c r="BO687" s="90"/>
      <c r="BP687" s="90"/>
    </row>
    <row r="688" spans="1:68" ht="9.7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c r="AX688" s="90"/>
      <c r="AY688" s="90"/>
      <c r="AZ688" s="90"/>
      <c r="BA688" s="90"/>
      <c r="BB688" s="90"/>
      <c r="BC688" s="90"/>
      <c r="BD688" s="90"/>
      <c r="BE688" s="90"/>
      <c r="BF688" s="90"/>
      <c r="BG688" s="90"/>
      <c r="BH688" s="90"/>
      <c r="BI688" s="90"/>
      <c r="BJ688" s="90"/>
      <c r="BK688" s="90"/>
      <c r="BL688" s="90"/>
      <c r="BM688" s="90"/>
      <c r="BN688" s="90"/>
      <c r="BO688" s="90"/>
      <c r="BP688" s="90"/>
    </row>
    <row r="689" spans="1:68" ht="9.7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c r="BB689" s="90"/>
      <c r="BC689" s="90"/>
      <c r="BD689" s="90"/>
      <c r="BE689" s="90"/>
      <c r="BF689" s="90"/>
      <c r="BG689" s="90"/>
      <c r="BH689" s="90"/>
      <c r="BI689" s="90"/>
      <c r="BJ689" s="90"/>
      <c r="BK689" s="90"/>
      <c r="BL689" s="90"/>
      <c r="BM689" s="90"/>
      <c r="BN689" s="90"/>
      <c r="BO689" s="90"/>
      <c r="BP689" s="90"/>
    </row>
    <row r="690" spans="1:68" ht="9.7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c r="AX690" s="90"/>
      <c r="AY690" s="90"/>
      <c r="AZ690" s="90"/>
      <c r="BA690" s="90"/>
      <c r="BB690" s="90"/>
      <c r="BC690" s="90"/>
      <c r="BD690" s="90"/>
      <c r="BE690" s="90"/>
      <c r="BF690" s="90"/>
      <c r="BG690" s="90"/>
      <c r="BH690" s="90"/>
      <c r="BI690" s="90"/>
      <c r="BJ690" s="90"/>
      <c r="BK690" s="90"/>
      <c r="BL690" s="90"/>
      <c r="BM690" s="90"/>
      <c r="BN690" s="90"/>
      <c r="BO690" s="90"/>
      <c r="BP690" s="90"/>
    </row>
    <row r="691" spans="1:68" ht="9.7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c r="BF691" s="90"/>
      <c r="BG691" s="90"/>
      <c r="BH691" s="90"/>
      <c r="BI691" s="90"/>
      <c r="BJ691" s="90"/>
      <c r="BK691" s="90"/>
      <c r="BL691" s="90"/>
      <c r="BM691" s="90"/>
      <c r="BN691" s="90"/>
      <c r="BO691" s="90"/>
      <c r="BP691" s="90"/>
    </row>
    <row r="692" spans="1:68" ht="9.7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row>
    <row r="693" spans="1:68" ht="9.7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c r="BF693" s="90"/>
      <c r="BG693" s="90"/>
      <c r="BH693" s="90"/>
      <c r="BI693" s="90"/>
      <c r="BJ693" s="90"/>
      <c r="BK693" s="90"/>
      <c r="BL693" s="90"/>
      <c r="BM693" s="90"/>
      <c r="BN693" s="90"/>
      <c r="BO693" s="90"/>
      <c r="BP693" s="90"/>
    </row>
    <row r="694" spans="1:68" ht="9.7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c r="BB694" s="90"/>
      <c r="BC694" s="90"/>
      <c r="BD694" s="90"/>
      <c r="BE694" s="90"/>
      <c r="BF694" s="90"/>
      <c r="BG694" s="90"/>
      <c r="BH694" s="90"/>
      <c r="BI694" s="90"/>
      <c r="BJ694" s="90"/>
      <c r="BK694" s="90"/>
      <c r="BL694" s="90"/>
      <c r="BM694" s="90"/>
      <c r="BN694" s="90"/>
      <c r="BO694" s="90"/>
      <c r="BP694" s="90"/>
    </row>
    <row r="695" spans="1:68" ht="9.7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c r="BB695" s="90"/>
      <c r="BC695" s="90"/>
      <c r="BD695" s="90"/>
      <c r="BE695" s="90"/>
      <c r="BF695" s="90"/>
      <c r="BG695" s="90"/>
      <c r="BH695" s="90"/>
      <c r="BI695" s="90"/>
      <c r="BJ695" s="90"/>
      <c r="BK695" s="90"/>
      <c r="BL695" s="90"/>
      <c r="BM695" s="90"/>
      <c r="BN695" s="90"/>
      <c r="BO695" s="90"/>
      <c r="BP695" s="90"/>
    </row>
    <row r="696" spans="1:68" ht="9.7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c r="AX696" s="90"/>
      <c r="AY696" s="90"/>
      <c r="AZ696" s="90"/>
      <c r="BA696" s="90"/>
      <c r="BB696" s="90"/>
      <c r="BC696" s="90"/>
      <c r="BD696" s="90"/>
      <c r="BE696" s="90"/>
      <c r="BF696" s="90"/>
      <c r="BG696" s="90"/>
      <c r="BH696" s="90"/>
      <c r="BI696" s="90"/>
      <c r="BJ696" s="90"/>
      <c r="BK696" s="90"/>
      <c r="BL696" s="90"/>
      <c r="BM696" s="90"/>
      <c r="BN696" s="90"/>
      <c r="BO696" s="90"/>
      <c r="BP696" s="90"/>
    </row>
    <row r="697" spans="1:68" ht="9.7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c r="BB697" s="90"/>
      <c r="BC697" s="90"/>
      <c r="BD697" s="90"/>
      <c r="BE697" s="90"/>
      <c r="BF697" s="90"/>
      <c r="BG697" s="90"/>
      <c r="BH697" s="90"/>
      <c r="BI697" s="90"/>
      <c r="BJ697" s="90"/>
      <c r="BK697" s="90"/>
      <c r="BL697" s="90"/>
      <c r="BM697" s="90"/>
      <c r="BN697" s="90"/>
      <c r="BO697" s="90"/>
      <c r="BP697" s="90"/>
    </row>
    <row r="698" spans="1:68" ht="9.7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0"/>
      <c r="AY698" s="90"/>
      <c r="AZ698" s="90"/>
      <c r="BA698" s="90"/>
      <c r="BB698" s="90"/>
      <c r="BC698" s="90"/>
      <c r="BD698" s="90"/>
      <c r="BE698" s="90"/>
      <c r="BF698" s="90"/>
      <c r="BG698" s="90"/>
      <c r="BH698" s="90"/>
      <c r="BI698" s="90"/>
      <c r="BJ698" s="90"/>
      <c r="BK698" s="90"/>
      <c r="BL698" s="90"/>
      <c r="BM698" s="90"/>
      <c r="BN698" s="90"/>
      <c r="BO698" s="90"/>
      <c r="BP698" s="90"/>
    </row>
    <row r="699" spans="1:68" ht="9.7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c r="BF699" s="90"/>
      <c r="BG699" s="90"/>
      <c r="BH699" s="90"/>
      <c r="BI699" s="90"/>
      <c r="BJ699" s="90"/>
      <c r="BK699" s="90"/>
      <c r="BL699" s="90"/>
      <c r="BM699" s="90"/>
      <c r="BN699" s="90"/>
      <c r="BO699" s="90"/>
      <c r="BP699" s="90"/>
    </row>
    <row r="700" spans="1:68" ht="9.7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c r="AX700" s="90"/>
      <c r="AY700" s="90"/>
      <c r="AZ700" s="90"/>
      <c r="BA700" s="90"/>
      <c r="BB700" s="90"/>
      <c r="BC700" s="90"/>
      <c r="BD700" s="90"/>
      <c r="BE700" s="90"/>
      <c r="BF700" s="90"/>
      <c r="BG700" s="90"/>
      <c r="BH700" s="90"/>
      <c r="BI700" s="90"/>
      <c r="BJ700" s="90"/>
      <c r="BK700" s="90"/>
      <c r="BL700" s="90"/>
      <c r="BM700" s="90"/>
      <c r="BN700" s="90"/>
      <c r="BO700" s="90"/>
      <c r="BP700" s="90"/>
    </row>
    <row r="701" spans="1:68" ht="9.7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c r="BB701" s="90"/>
      <c r="BC701" s="90"/>
      <c r="BD701" s="90"/>
      <c r="BE701" s="90"/>
      <c r="BF701" s="90"/>
      <c r="BG701" s="90"/>
      <c r="BH701" s="90"/>
      <c r="BI701" s="90"/>
      <c r="BJ701" s="90"/>
      <c r="BK701" s="90"/>
      <c r="BL701" s="90"/>
      <c r="BM701" s="90"/>
      <c r="BN701" s="90"/>
      <c r="BO701" s="90"/>
      <c r="BP701" s="90"/>
    </row>
    <row r="702" spans="1:68" ht="9.7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c r="BB702" s="90"/>
      <c r="BC702" s="90"/>
      <c r="BD702" s="90"/>
      <c r="BE702" s="90"/>
      <c r="BF702" s="90"/>
      <c r="BG702" s="90"/>
      <c r="BH702" s="90"/>
      <c r="BI702" s="90"/>
      <c r="BJ702" s="90"/>
      <c r="BK702" s="90"/>
      <c r="BL702" s="90"/>
      <c r="BM702" s="90"/>
      <c r="BN702" s="90"/>
      <c r="BO702" s="90"/>
      <c r="BP702" s="90"/>
    </row>
    <row r="703" spans="1:68" ht="9.7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c r="BB703" s="90"/>
      <c r="BC703" s="90"/>
      <c r="BD703" s="90"/>
      <c r="BE703" s="90"/>
      <c r="BF703" s="90"/>
      <c r="BG703" s="90"/>
      <c r="BH703" s="90"/>
      <c r="BI703" s="90"/>
      <c r="BJ703" s="90"/>
      <c r="BK703" s="90"/>
      <c r="BL703" s="90"/>
      <c r="BM703" s="90"/>
      <c r="BN703" s="90"/>
      <c r="BO703" s="90"/>
      <c r="BP703" s="90"/>
    </row>
    <row r="704" spans="1:68" ht="9.7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c r="AX704" s="90"/>
      <c r="AY704" s="90"/>
      <c r="AZ704" s="90"/>
      <c r="BA704" s="90"/>
      <c r="BB704" s="90"/>
      <c r="BC704" s="90"/>
      <c r="BD704" s="90"/>
      <c r="BE704" s="90"/>
      <c r="BF704" s="90"/>
      <c r="BG704" s="90"/>
      <c r="BH704" s="90"/>
      <c r="BI704" s="90"/>
      <c r="BJ704" s="90"/>
      <c r="BK704" s="90"/>
      <c r="BL704" s="90"/>
      <c r="BM704" s="90"/>
      <c r="BN704" s="90"/>
      <c r="BO704" s="90"/>
      <c r="BP704" s="90"/>
    </row>
    <row r="705" spans="1:68" ht="9.7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c r="BB705" s="90"/>
      <c r="BC705" s="90"/>
      <c r="BD705" s="90"/>
      <c r="BE705" s="90"/>
      <c r="BF705" s="90"/>
      <c r="BG705" s="90"/>
      <c r="BH705" s="90"/>
      <c r="BI705" s="90"/>
      <c r="BJ705" s="90"/>
      <c r="BK705" s="90"/>
      <c r="BL705" s="90"/>
      <c r="BM705" s="90"/>
      <c r="BN705" s="90"/>
      <c r="BO705" s="90"/>
      <c r="BP705" s="90"/>
    </row>
    <row r="706" spans="1:68" ht="9.7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0"/>
      <c r="AZ706" s="90"/>
      <c r="BA706" s="90"/>
      <c r="BB706" s="90"/>
      <c r="BC706" s="90"/>
      <c r="BD706" s="90"/>
      <c r="BE706" s="90"/>
      <c r="BF706" s="90"/>
      <c r="BG706" s="90"/>
      <c r="BH706" s="90"/>
      <c r="BI706" s="90"/>
      <c r="BJ706" s="90"/>
      <c r="BK706" s="90"/>
      <c r="BL706" s="90"/>
      <c r="BM706" s="90"/>
      <c r="BN706" s="90"/>
      <c r="BO706" s="90"/>
      <c r="BP706" s="90"/>
    </row>
    <row r="707" spans="1:68" ht="9.7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c r="BB707" s="90"/>
      <c r="BC707" s="90"/>
      <c r="BD707" s="90"/>
      <c r="BE707" s="90"/>
      <c r="BF707" s="90"/>
      <c r="BG707" s="90"/>
      <c r="BH707" s="90"/>
      <c r="BI707" s="90"/>
      <c r="BJ707" s="90"/>
      <c r="BK707" s="90"/>
      <c r="BL707" s="90"/>
      <c r="BM707" s="90"/>
      <c r="BN707" s="90"/>
      <c r="BO707" s="90"/>
      <c r="BP707" s="90"/>
    </row>
    <row r="708" spans="1:68" ht="9.7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c r="AX708" s="90"/>
      <c r="AY708" s="90"/>
      <c r="AZ708" s="90"/>
      <c r="BA708" s="90"/>
      <c r="BB708" s="90"/>
      <c r="BC708" s="90"/>
      <c r="BD708" s="90"/>
      <c r="BE708" s="90"/>
      <c r="BF708" s="90"/>
      <c r="BG708" s="90"/>
      <c r="BH708" s="90"/>
      <c r="BI708" s="90"/>
      <c r="BJ708" s="90"/>
      <c r="BK708" s="90"/>
      <c r="BL708" s="90"/>
      <c r="BM708" s="90"/>
      <c r="BN708" s="90"/>
      <c r="BO708" s="90"/>
      <c r="BP708" s="90"/>
    </row>
    <row r="709" spans="1:68" ht="9.7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c r="BB709" s="90"/>
      <c r="BC709" s="90"/>
      <c r="BD709" s="90"/>
      <c r="BE709" s="90"/>
      <c r="BF709" s="90"/>
      <c r="BG709" s="90"/>
      <c r="BH709" s="90"/>
      <c r="BI709" s="90"/>
      <c r="BJ709" s="90"/>
      <c r="BK709" s="90"/>
      <c r="BL709" s="90"/>
      <c r="BM709" s="90"/>
      <c r="BN709" s="90"/>
      <c r="BO709" s="90"/>
      <c r="BP709" s="90"/>
    </row>
    <row r="710" spans="1:68" ht="9.7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c r="AX710" s="90"/>
      <c r="AY710" s="90"/>
      <c r="AZ710" s="90"/>
      <c r="BA710" s="90"/>
      <c r="BB710" s="90"/>
      <c r="BC710" s="90"/>
      <c r="BD710" s="90"/>
      <c r="BE710" s="90"/>
      <c r="BF710" s="90"/>
      <c r="BG710" s="90"/>
      <c r="BH710" s="90"/>
      <c r="BI710" s="90"/>
      <c r="BJ710" s="90"/>
      <c r="BK710" s="90"/>
      <c r="BL710" s="90"/>
      <c r="BM710" s="90"/>
      <c r="BN710" s="90"/>
      <c r="BO710" s="90"/>
      <c r="BP710" s="90"/>
    </row>
    <row r="711" spans="1:68" ht="9.7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c r="BB711" s="90"/>
      <c r="BC711" s="90"/>
      <c r="BD711" s="90"/>
      <c r="BE711" s="90"/>
      <c r="BF711" s="90"/>
      <c r="BG711" s="90"/>
      <c r="BH711" s="90"/>
      <c r="BI711" s="90"/>
      <c r="BJ711" s="90"/>
      <c r="BK711" s="90"/>
      <c r="BL711" s="90"/>
      <c r="BM711" s="90"/>
      <c r="BN711" s="90"/>
      <c r="BO711" s="90"/>
      <c r="BP711" s="90"/>
    </row>
    <row r="712" spans="1:68" ht="9.7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c r="AX712" s="90"/>
      <c r="AY712" s="90"/>
      <c r="AZ712" s="90"/>
      <c r="BA712" s="90"/>
      <c r="BB712" s="90"/>
      <c r="BC712" s="90"/>
      <c r="BD712" s="90"/>
      <c r="BE712" s="90"/>
      <c r="BF712" s="90"/>
      <c r="BG712" s="90"/>
      <c r="BH712" s="90"/>
      <c r="BI712" s="90"/>
      <c r="BJ712" s="90"/>
      <c r="BK712" s="90"/>
      <c r="BL712" s="90"/>
      <c r="BM712" s="90"/>
      <c r="BN712" s="90"/>
      <c r="BO712" s="90"/>
      <c r="BP712" s="90"/>
    </row>
    <row r="713" spans="1:68" ht="9.7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c r="BB713" s="90"/>
      <c r="BC713" s="90"/>
      <c r="BD713" s="90"/>
      <c r="BE713" s="90"/>
      <c r="BF713" s="90"/>
      <c r="BG713" s="90"/>
      <c r="BH713" s="90"/>
      <c r="BI713" s="90"/>
      <c r="BJ713" s="90"/>
      <c r="BK713" s="90"/>
      <c r="BL713" s="90"/>
      <c r="BM713" s="90"/>
      <c r="BN713" s="90"/>
      <c r="BO713" s="90"/>
      <c r="BP713" s="90"/>
    </row>
    <row r="714" spans="1:68" ht="9.7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c r="AX714" s="90"/>
      <c r="AY714" s="90"/>
      <c r="AZ714" s="90"/>
      <c r="BA714" s="90"/>
      <c r="BB714" s="90"/>
      <c r="BC714" s="90"/>
      <c r="BD714" s="90"/>
      <c r="BE714" s="90"/>
      <c r="BF714" s="90"/>
      <c r="BG714" s="90"/>
      <c r="BH714" s="90"/>
      <c r="BI714" s="90"/>
      <c r="BJ714" s="90"/>
      <c r="BK714" s="90"/>
      <c r="BL714" s="90"/>
      <c r="BM714" s="90"/>
      <c r="BN714" s="90"/>
      <c r="BO714" s="90"/>
      <c r="BP714" s="90"/>
    </row>
    <row r="715" spans="1:68" ht="9.7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c r="BB715" s="90"/>
      <c r="BC715" s="90"/>
      <c r="BD715" s="90"/>
      <c r="BE715" s="90"/>
      <c r="BF715" s="90"/>
      <c r="BG715" s="90"/>
      <c r="BH715" s="90"/>
      <c r="BI715" s="90"/>
      <c r="BJ715" s="90"/>
      <c r="BK715" s="90"/>
      <c r="BL715" s="90"/>
      <c r="BM715" s="90"/>
      <c r="BN715" s="90"/>
      <c r="BO715" s="90"/>
      <c r="BP715" s="90"/>
    </row>
    <row r="716" spans="1:68" ht="9.7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c r="AX716" s="90"/>
      <c r="AY716" s="90"/>
      <c r="AZ716" s="90"/>
      <c r="BA716" s="90"/>
      <c r="BB716" s="90"/>
      <c r="BC716" s="90"/>
      <c r="BD716" s="90"/>
      <c r="BE716" s="90"/>
      <c r="BF716" s="90"/>
      <c r="BG716" s="90"/>
      <c r="BH716" s="90"/>
      <c r="BI716" s="90"/>
      <c r="BJ716" s="90"/>
      <c r="BK716" s="90"/>
      <c r="BL716" s="90"/>
      <c r="BM716" s="90"/>
      <c r="BN716" s="90"/>
      <c r="BO716" s="90"/>
      <c r="BP716" s="90"/>
    </row>
    <row r="717" spans="1:68" ht="9.7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c r="BB717" s="90"/>
      <c r="BC717" s="90"/>
      <c r="BD717" s="90"/>
      <c r="BE717" s="90"/>
      <c r="BF717" s="90"/>
      <c r="BG717" s="90"/>
      <c r="BH717" s="90"/>
      <c r="BI717" s="90"/>
      <c r="BJ717" s="90"/>
      <c r="BK717" s="90"/>
      <c r="BL717" s="90"/>
      <c r="BM717" s="90"/>
      <c r="BN717" s="90"/>
      <c r="BO717" s="90"/>
      <c r="BP717" s="90"/>
    </row>
    <row r="718" spans="1:68" ht="9.7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0"/>
      <c r="AZ718" s="90"/>
      <c r="BA718" s="90"/>
      <c r="BB718" s="90"/>
      <c r="BC718" s="90"/>
      <c r="BD718" s="90"/>
      <c r="BE718" s="90"/>
      <c r="BF718" s="90"/>
      <c r="BG718" s="90"/>
      <c r="BH718" s="90"/>
      <c r="BI718" s="90"/>
      <c r="BJ718" s="90"/>
      <c r="BK718" s="90"/>
      <c r="BL718" s="90"/>
      <c r="BM718" s="90"/>
      <c r="BN718" s="90"/>
      <c r="BO718" s="90"/>
      <c r="BP718" s="90"/>
    </row>
    <row r="719" spans="1:68" ht="9.7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c r="BB719" s="90"/>
      <c r="BC719" s="90"/>
      <c r="BD719" s="90"/>
      <c r="BE719" s="90"/>
      <c r="BF719" s="90"/>
      <c r="BG719" s="90"/>
      <c r="BH719" s="90"/>
      <c r="BI719" s="90"/>
      <c r="BJ719" s="90"/>
      <c r="BK719" s="90"/>
      <c r="BL719" s="90"/>
      <c r="BM719" s="90"/>
      <c r="BN719" s="90"/>
      <c r="BO719" s="90"/>
      <c r="BP719" s="90"/>
    </row>
    <row r="720" spans="1:68" ht="9.7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c r="BB720" s="90"/>
      <c r="BC720" s="90"/>
      <c r="BD720" s="90"/>
      <c r="BE720" s="90"/>
      <c r="BF720" s="90"/>
      <c r="BG720" s="90"/>
      <c r="BH720" s="90"/>
      <c r="BI720" s="90"/>
      <c r="BJ720" s="90"/>
      <c r="BK720" s="90"/>
      <c r="BL720" s="90"/>
      <c r="BM720" s="90"/>
      <c r="BN720" s="90"/>
      <c r="BO720" s="90"/>
      <c r="BP720" s="90"/>
    </row>
    <row r="721" spans="1:68" ht="9.7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c r="BB721" s="90"/>
      <c r="BC721" s="90"/>
      <c r="BD721" s="90"/>
      <c r="BE721" s="90"/>
      <c r="BF721" s="90"/>
      <c r="BG721" s="90"/>
      <c r="BH721" s="90"/>
      <c r="BI721" s="90"/>
      <c r="BJ721" s="90"/>
      <c r="BK721" s="90"/>
      <c r="BL721" s="90"/>
      <c r="BM721" s="90"/>
      <c r="BN721" s="90"/>
      <c r="BO721" s="90"/>
      <c r="BP721" s="90"/>
    </row>
    <row r="722" spans="1:68" ht="9.7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c r="BB722" s="90"/>
      <c r="BC722" s="90"/>
      <c r="BD722" s="90"/>
      <c r="BE722" s="90"/>
      <c r="BF722" s="90"/>
      <c r="BG722" s="90"/>
      <c r="BH722" s="90"/>
      <c r="BI722" s="90"/>
      <c r="BJ722" s="90"/>
      <c r="BK722" s="90"/>
      <c r="BL722" s="90"/>
      <c r="BM722" s="90"/>
      <c r="BN722" s="90"/>
      <c r="BO722" s="90"/>
      <c r="BP722" s="90"/>
    </row>
    <row r="723" spans="1:68" ht="9.7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c r="BB723" s="90"/>
      <c r="BC723" s="90"/>
      <c r="BD723" s="90"/>
      <c r="BE723" s="90"/>
      <c r="BF723" s="90"/>
      <c r="BG723" s="90"/>
      <c r="BH723" s="90"/>
      <c r="BI723" s="90"/>
      <c r="BJ723" s="90"/>
      <c r="BK723" s="90"/>
      <c r="BL723" s="90"/>
      <c r="BM723" s="90"/>
      <c r="BN723" s="90"/>
      <c r="BO723" s="90"/>
      <c r="BP723" s="90"/>
    </row>
    <row r="724" spans="1:68" ht="9.7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0"/>
      <c r="AY724" s="90"/>
      <c r="AZ724" s="90"/>
      <c r="BA724" s="90"/>
      <c r="BB724" s="90"/>
      <c r="BC724" s="90"/>
      <c r="BD724" s="90"/>
      <c r="BE724" s="90"/>
      <c r="BF724" s="90"/>
      <c r="BG724" s="90"/>
      <c r="BH724" s="90"/>
      <c r="BI724" s="90"/>
      <c r="BJ724" s="90"/>
      <c r="BK724" s="90"/>
      <c r="BL724" s="90"/>
      <c r="BM724" s="90"/>
      <c r="BN724" s="90"/>
      <c r="BO724" s="90"/>
      <c r="BP724" s="90"/>
    </row>
    <row r="725" spans="1:68" ht="9.7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c r="BB725" s="90"/>
      <c r="BC725" s="90"/>
      <c r="BD725" s="90"/>
      <c r="BE725" s="90"/>
      <c r="BF725" s="90"/>
      <c r="BG725" s="90"/>
      <c r="BH725" s="90"/>
      <c r="BI725" s="90"/>
      <c r="BJ725" s="90"/>
      <c r="BK725" s="90"/>
      <c r="BL725" s="90"/>
      <c r="BM725" s="90"/>
      <c r="BN725" s="90"/>
      <c r="BO725" s="90"/>
      <c r="BP725" s="90"/>
    </row>
    <row r="726" spans="1:68" ht="9.7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c r="BB726" s="90"/>
      <c r="BC726" s="90"/>
      <c r="BD726" s="90"/>
      <c r="BE726" s="90"/>
      <c r="BF726" s="90"/>
      <c r="BG726" s="90"/>
      <c r="BH726" s="90"/>
      <c r="BI726" s="90"/>
      <c r="BJ726" s="90"/>
      <c r="BK726" s="90"/>
      <c r="BL726" s="90"/>
      <c r="BM726" s="90"/>
      <c r="BN726" s="90"/>
      <c r="BO726" s="90"/>
      <c r="BP726" s="90"/>
    </row>
    <row r="727" spans="1:68" ht="9.7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c r="BB727" s="90"/>
      <c r="BC727" s="90"/>
      <c r="BD727" s="90"/>
      <c r="BE727" s="90"/>
      <c r="BF727" s="90"/>
      <c r="BG727" s="90"/>
      <c r="BH727" s="90"/>
      <c r="BI727" s="90"/>
      <c r="BJ727" s="90"/>
      <c r="BK727" s="90"/>
      <c r="BL727" s="90"/>
      <c r="BM727" s="90"/>
      <c r="BN727" s="90"/>
      <c r="BO727" s="90"/>
      <c r="BP727" s="90"/>
    </row>
    <row r="728" spans="1:68" ht="9.7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0"/>
      <c r="AY728" s="90"/>
      <c r="AZ728" s="90"/>
      <c r="BA728" s="90"/>
      <c r="BB728" s="90"/>
      <c r="BC728" s="90"/>
      <c r="BD728" s="90"/>
      <c r="BE728" s="90"/>
      <c r="BF728" s="90"/>
      <c r="BG728" s="90"/>
      <c r="BH728" s="90"/>
      <c r="BI728" s="90"/>
      <c r="BJ728" s="90"/>
      <c r="BK728" s="90"/>
      <c r="BL728" s="90"/>
      <c r="BM728" s="90"/>
      <c r="BN728" s="90"/>
      <c r="BO728" s="90"/>
      <c r="BP728" s="90"/>
    </row>
    <row r="729" spans="1:68" ht="9.7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c r="BB729" s="90"/>
      <c r="BC729" s="90"/>
      <c r="BD729" s="90"/>
      <c r="BE729" s="90"/>
      <c r="BF729" s="90"/>
      <c r="BG729" s="90"/>
      <c r="BH729" s="90"/>
      <c r="BI729" s="90"/>
      <c r="BJ729" s="90"/>
      <c r="BK729" s="90"/>
      <c r="BL729" s="90"/>
      <c r="BM729" s="90"/>
      <c r="BN729" s="90"/>
      <c r="BO729" s="90"/>
      <c r="BP729" s="90"/>
    </row>
    <row r="730" spans="1:68" ht="9.7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0"/>
      <c r="AY730" s="90"/>
      <c r="AZ730" s="90"/>
      <c r="BA730" s="90"/>
      <c r="BB730" s="90"/>
      <c r="BC730" s="90"/>
      <c r="BD730" s="90"/>
      <c r="BE730" s="90"/>
      <c r="BF730" s="90"/>
      <c r="BG730" s="90"/>
      <c r="BH730" s="90"/>
      <c r="BI730" s="90"/>
      <c r="BJ730" s="90"/>
      <c r="BK730" s="90"/>
      <c r="BL730" s="90"/>
      <c r="BM730" s="90"/>
      <c r="BN730" s="90"/>
      <c r="BO730" s="90"/>
      <c r="BP730" s="90"/>
    </row>
    <row r="731" spans="1:68" ht="9.7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c r="BB731" s="90"/>
      <c r="BC731" s="90"/>
      <c r="BD731" s="90"/>
      <c r="BE731" s="90"/>
      <c r="BF731" s="90"/>
      <c r="BG731" s="90"/>
      <c r="BH731" s="90"/>
      <c r="BI731" s="90"/>
      <c r="BJ731" s="90"/>
      <c r="BK731" s="90"/>
      <c r="BL731" s="90"/>
      <c r="BM731" s="90"/>
      <c r="BN731" s="90"/>
      <c r="BO731" s="90"/>
      <c r="BP731" s="90"/>
    </row>
    <row r="732" spans="1:68" ht="9.7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0"/>
      <c r="AY732" s="90"/>
      <c r="AZ732" s="90"/>
      <c r="BA732" s="90"/>
      <c r="BB732" s="90"/>
      <c r="BC732" s="90"/>
      <c r="BD732" s="90"/>
      <c r="BE732" s="90"/>
      <c r="BF732" s="90"/>
      <c r="BG732" s="90"/>
      <c r="BH732" s="90"/>
      <c r="BI732" s="90"/>
      <c r="BJ732" s="90"/>
      <c r="BK732" s="90"/>
      <c r="BL732" s="90"/>
      <c r="BM732" s="90"/>
      <c r="BN732" s="90"/>
      <c r="BO732" s="90"/>
      <c r="BP732" s="90"/>
    </row>
    <row r="733" spans="1:68" ht="9.7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c r="BB733" s="90"/>
      <c r="BC733" s="90"/>
      <c r="BD733" s="90"/>
      <c r="BE733" s="90"/>
      <c r="BF733" s="90"/>
      <c r="BG733" s="90"/>
      <c r="BH733" s="90"/>
      <c r="BI733" s="90"/>
      <c r="BJ733" s="90"/>
      <c r="BK733" s="90"/>
      <c r="BL733" s="90"/>
      <c r="BM733" s="90"/>
      <c r="BN733" s="90"/>
      <c r="BO733" s="90"/>
      <c r="BP733" s="90"/>
    </row>
    <row r="734" spans="1:68" ht="9.7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0"/>
      <c r="AY734" s="90"/>
      <c r="AZ734" s="90"/>
      <c r="BA734" s="90"/>
      <c r="BB734" s="90"/>
      <c r="BC734" s="90"/>
      <c r="BD734" s="90"/>
      <c r="BE734" s="90"/>
      <c r="BF734" s="90"/>
      <c r="BG734" s="90"/>
      <c r="BH734" s="90"/>
      <c r="BI734" s="90"/>
      <c r="BJ734" s="90"/>
      <c r="BK734" s="90"/>
      <c r="BL734" s="90"/>
      <c r="BM734" s="90"/>
      <c r="BN734" s="90"/>
      <c r="BO734" s="90"/>
      <c r="BP734" s="90"/>
    </row>
    <row r="735" spans="1:68" ht="9.7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c r="BB735" s="90"/>
      <c r="BC735" s="90"/>
      <c r="BD735" s="90"/>
      <c r="BE735" s="90"/>
      <c r="BF735" s="90"/>
      <c r="BG735" s="90"/>
      <c r="BH735" s="90"/>
      <c r="BI735" s="90"/>
      <c r="BJ735" s="90"/>
      <c r="BK735" s="90"/>
      <c r="BL735" s="90"/>
      <c r="BM735" s="90"/>
      <c r="BN735" s="90"/>
      <c r="BO735" s="90"/>
      <c r="BP735" s="90"/>
    </row>
    <row r="736" spans="1:68" ht="9.7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0"/>
      <c r="AY736" s="90"/>
      <c r="AZ736" s="90"/>
      <c r="BA736" s="90"/>
      <c r="BB736" s="90"/>
      <c r="BC736" s="90"/>
      <c r="BD736" s="90"/>
      <c r="BE736" s="90"/>
      <c r="BF736" s="90"/>
      <c r="BG736" s="90"/>
      <c r="BH736" s="90"/>
      <c r="BI736" s="90"/>
      <c r="BJ736" s="90"/>
      <c r="BK736" s="90"/>
      <c r="BL736" s="90"/>
      <c r="BM736" s="90"/>
      <c r="BN736" s="90"/>
      <c r="BO736" s="90"/>
      <c r="BP736" s="90"/>
    </row>
    <row r="737" spans="1:68" ht="9.7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c r="BB737" s="90"/>
      <c r="BC737" s="90"/>
      <c r="BD737" s="90"/>
      <c r="BE737" s="90"/>
      <c r="BF737" s="90"/>
      <c r="BG737" s="90"/>
      <c r="BH737" s="90"/>
      <c r="BI737" s="90"/>
      <c r="BJ737" s="90"/>
      <c r="BK737" s="90"/>
      <c r="BL737" s="90"/>
      <c r="BM737" s="90"/>
      <c r="BN737" s="90"/>
      <c r="BO737" s="90"/>
      <c r="BP737" s="90"/>
    </row>
    <row r="738" spans="1:68" ht="9.7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0"/>
      <c r="AY738" s="90"/>
      <c r="AZ738" s="90"/>
      <c r="BA738" s="90"/>
      <c r="BB738" s="90"/>
      <c r="BC738" s="90"/>
      <c r="BD738" s="90"/>
      <c r="BE738" s="90"/>
      <c r="BF738" s="90"/>
      <c r="BG738" s="90"/>
      <c r="BH738" s="90"/>
      <c r="BI738" s="90"/>
      <c r="BJ738" s="90"/>
      <c r="BK738" s="90"/>
      <c r="BL738" s="90"/>
      <c r="BM738" s="90"/>
      <c r="BN738" s="90"/>
      <c r="BO738" s="90"/>
      <c r="BP738" s="90"/>
    </row>
    <row r="739" spans="1:68" ht="9.7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c r="BB739" s="90"/>
      <c r="BC739" s="90"/>
      <c r="BD739" s="90"/>
      <c r="BE739" s="90"/>
      <c r="BF739" s="90"/>
      <c r="BG739" s="90"/>
      <c r="BH739" s="90"/>
      <c r="BI739" s="90"/>
      <c r="BJ739" s="90"/>
      <c r="BK739" s="90"/>
      <c r="BL739" s="90"/>
      <c r="BM739" s="90"/>
      <c r="BN739" s="90"/>
      <c r="BO739" s="90"/>
      <c r="BP739" s="90"/>
    </row>
    <row r="740" spans="1:68" ht="9.7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0"/>
      <c r="AY740" s="90"/>
      <c r="AZ740" s="90"/>
      <c r="BA740" s="90"/>
      <c r="BB740" s="90"/>
      <c r="BC740" s="90"/>
      <c r="BD740" s="90"/>
      <c r="BE740" s="90"/>
      <c r="BF740" s="90"/>
      <c r="BG740" s="90"/>
      <c r="BH740" s="90"/>
      <c r="BI740" s="90"/>
      <c r="BJ740" s="90"/>
      <c r="BK740" s="90"/>
      <c r="BL740" s="90"/>
      <c r="BM740" s="90"/>
      <c r="BN740" s="90"/>
      <c r="BO740" s="90"/>
      <c r="BP740" s="90"/>
    </row>
    <row r="741" spans="1:68" ht="9.7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c r="BB741" s="90"/>
      <c r="BC741" s="90"/>
      <c r="BD741" s="90"/>
      <c r="BE741" s="90"/>
      <c r="BF741" s="90"/>
      <c r="BG741" s="90"/>
      <c r="BH741" s="90"/>
      <c r="BI741" s="90"/>
      <c r="BJ741" s="90"/>
      <c r="BK741" s="90"/>
      <c r="BL741" s="90"/>
      <c r="BM741" s="90"/>
      <c r="BN741" s="90"/>
      <c r="BO741" s="90"/>
      <c r="BP741" s="90"/>
    </row>
    <row r="742" spans="1:68" ht="9.7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0"/>
      <c r="AY742" s="90"/>
      <c r="AZ742" s="90"/>
      <c r="BA742" s="90"/>
      <c r="BB742" s="90"/>
      <c r="BC742" s="90"/>
      <c r="BD742" s="90"/>
      <c r="BE742" s="90"/>
      <c r="BF742" s="90"/>
      <c r="BG742" s="90"/>
      <c r="BH742" s="90"/>
      <c r="BI742" s="90"/>
      <c r="BJ742" s="90"/>
      <c r="BK742" s="90"/>
      <c r="BL742" s="90"/>
      <c r="BM742" s="90"/>
      <c r="BN742" s="90"/>
      <c r="BO742" s="90"/>
      <c r="BP742" s="90"/>
    </row>
    <row r="743" spans="1:68" ht="9.7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c r="BB743" s="90"/>
      <c r="BC743" s="90"/>
      <c r="BD743" s="90"/>
      <c r="BE743" s="90"/>
      <c r="BF743" s="90"/>
      <c r="BG743" s="90"/>
      <c r="BH743" s="90"/>
      <c r="BI743" s="90"/>
      <c r="BJ743" s="90"/>
      <c r="BK743" s="90"/>
      <c r="BL743" s="90"/>
      <c r="BM743" s="90"/>
      <c r="BN743" s="90"/>
      <c r="BO743" s="90"/>
      <c r="BP743" s="90"/>
    </row>
    <row r="744" spans="1:68" ht="9.7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0"/>
      <c r="AY744" s="90"/>
      <c r="AZ744" s="90"/>
      <c r="BA744" s="90"/>
      <c r="BB744" s="90"/>
      <c r="BC744" s="90"/>
      <c r="BD744" s="90"/>
      <c r="BE744" s="90"/>
      <c r="BF744" s="90"/>
      <c r="BG744" s="90"/>
      <c r="BH744" s="90"/>
      <c r="BI744" s="90"/>
      <c r="BJ744" s="90"/>
      <c r="BK744" s="90"/>
      <c r="BL744" s="90"/>
      <c r="BM744" s="90"/>
      <c r="BN744" s="90"/>
      <c r="BO744" s="90"/>
      <c r="BP744" s="90"/>
    </row>
    <row r="745" spans="1:68" ht="9.7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c r="BB745" s="90"/>
      <c r="BC745" s="90"/>
      <c r="BD745" s="90"/>
      <c r="BE745" s="90"/>
      <c r="BF745" s="90"/>
      <c r="BG745" s="90"/>
      <c r="BH745" s="90"/>
      <c r="BI745" s="90"/>
      <c r="BJ745" s="90"/>
      <c r="BK745" s="90"/>
      <c r="BL745" s="90"/>
      <c r="BM745" s="90"/>
      <c r="BN745" s="90"/>
      <c r="BO745" s="90"/>
      <c r="BP745" s="90"/>
    </row>
    <row r="746" spans="1:68" ht="9.7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0"/>
      <c r="AY746" s="90"/>
      <c r="AZ746" s="90"/>
      <c r="BA746" s="90"/>
      <c r="BB746" s="90"/>
      <c r="BC746" s="90"/>
      <c r="BD746" s="90"/>
      <c r="BE746" s="90"/>
      <c r="BF746" s="90"/>
      <c r="BG746" s="90"/>
      <c r="BH746" s="90"/>
      <c r="BI746" s="90"/>
      <c r="BJ746" s="90"/>
      <c r="BK746" s="90"/>
      <c r="BL746" s="90"/>
      <c r="BM746" s="90"/>
      <c r="BN746" s="90"/>
      <c r="BO746" s="90"/>
      <c r="BP746" s="90"/>
    </row>
    <row r="747" spans="1:68" ht="9.7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c r="BB747" s="90"/>
      <c r="BC747" s="90"/>
      <c r="BD747" s="90"/>
      <c r="BE747" s="90"/>
      <c r="BF747" s="90"/>
      <c r="BG747" s="90"/>
      <c r="BH747" s="90"/>
      <c r="BI747" s="90"/>
      <c r="BJ747" s="90"/>
      <c r="BK747" s="90"/>
      <c r="BL747" s="90"/>
      <c r="BM747" s="90"/>
      <c r="BN747" s="90"/>
      <c r="BO747" s="90"/>
      <c r="BP747" s="90"/>
    </row>
    <row r="748" spans="1:68" ht="9.7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0"/>
      <c r="AY748" s="90"/>
      <c r="AZ748" s="90"/>
      <c r="BA748" s="90"/>
      <c r="BB748" s="90"/>
      <c r="BC748" s="90"/>
      <c r="BD748" s="90"/>
      <c r="BE748" s="90"/>
      <c r="BF748" s="90"/>
      <c r="BG748" s="90"/>
      <c r="BH748" s="90"/>
      <c r="BI748" s="90"/>
      <c r="BJ748" s="90"/>
      <c r="BK748" s="90"/>
      <c r="BL748" s="90"/>
      <c r="BM748" s="90"/>
      <c r="BN748" s="90"/>
      <c r="BO748" s="90"/>
      <c r="BP748" s="90"/>
    </row>
    <row r="749" spans="1:68" ht="9.7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c r="BB749" s="90"/>
      <c r="BC749" s="90"/>
      <c r="BD749" s="90"/>
      <c r="BE749" s="90"/>
      <c r="BF749" s="90"/>
      <c r="BG749" s="90"/>
      <c r="BH749" s="90"/>
      <c r="BI749" s="90"/>
      <c r="BJ749" s="90"/>
      <c r="BK749" s="90"/>
      <c r="BL749" s="90"/>
      <c r="BM749" s="90"/>
      <c r="BN749" s="90"/>
      <c r="BO749" s="90"/>
      <c r="BP749" s="90"/>
    </row>
    <row r="750" spans="1:68" ht="9.7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c r="AY750" s="90"/>
      <c r="AZ750" s="90"/>
      <c r="BA750" s="90"/>
      <c r="BB750" s="90"/>
      <c r="BC750" s="90"/>
      <c r="BD750" s="90"/>
      <c r="BE750" s="90"/>
      <c r="BF750" s="90"/>
      <c r="BG750" s="90"/>
      <c r="BH750" s="90"/>
      <c r="BI750" s="90"/>
      <c r="BJ750" s="90"/>
      <c r="BK750" s="90"/>
      <c r="BL750" s="90"/>
      <c r="BM750" s="90"/>
      <c r="BN750" s="90"/>
      <c r="BO750" s="90"/>
      <c r="BP750" s="90"/>
    </row>
    <row r="751" spans="1:68" ht="9.7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c r="BB751" s="90"/>
      <c r="BC751" s="90"/>
      <c r="BD751" s="90"/>
      <c r="BE751" s="90"/>
      <c r="BF751" s="90"/>
      <c r="BG751" s="90"/>
      <c r="BH751" s="90"/>
      <c r="BI751" s="90"/>
      <c r="BJ751" s="90"/>
      <c r="BK751" s="90"/>
      <c r="BL751" s="90"/>
      <c r="BM751" s="90"/>
      <c r="BN751" s="90"/>
      <c r="BO751" s="90"/>
      <c r="BP751" s="90"/>
    </row>
    <row r="752" spans="1:68" ht="9.7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0"/>
      <c r="AY752" s="90"/>
      <c r="AZ752" s="90"/>
      <c r="BA752" s="90"/>
      <c r="BB752" s="90"/>
      <c r="BC752" s="90"/>
      <c r="BD752" s="90"/>
      <c r="BE752" s="90"/>
      <c r="BF752" s="90"/>
      <c r="BG752" s="90"/>
      <c r="BH752" s="90"/>
      <c r="BI752" s="90"/>
      <c r="BJ752" s="90"/>
      <c r="BK752" s="90"/>
      <c r="BL752" s="90"/>
      <c r="BM752" s="90"/>
      <c r="BN752" s="90"/>
      <c r="BO752" s="90"/>
      <c r="BP752" s="90"/>
    </row>
    <row r="753" spans="1:68" ht="9.7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c r="BB753" s="90"/>
      <c r="BC753" s="90"/>
      <c r="BD753" s="90"/>
      <c r="BE753" s="90"/>
      <c r="BF753" s="90"/>
      <c r="BG753" s="90"/>
      <c r="BH753" s="90"/>
      <c r="BI753" s="90"/>
      <c r="BJ753" s="90"/>
      <c r="BK753" s="90"/>
      <c r="BL753" s="90"/>
      <c r="BM753" s="90"/>
      <c r="BN753" s="90"/>
      <c r="BO753" s="90"/>
      <c r="BP753" s="90"/>
    </row>
    <row r="754" spans="1:68" ht="9.7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0"/>
      <c r="AY754" s="90"/>
      <c r="AZ754" s="90"/>
      <c r="BA754" s="90"/>
      <c r="BB754" s="90"/>
      <c r="BC754" s="90"/>
      <c r="BD754" s="90"/>
      <c r="BE754" s="90"/>
      <c r="BF754" s="90"/>
      <c r="BG754" s="90"/>
      <c r="BH754" s="90"/>
      <c r="BI754" s="90"/>
      <c r="BJ754" s="90"/>
      <c r="BK754" s="90"/>
      <c r="BL754" s="90"/>
      <c r="BM754" s="90"/>
      <c r="BN754" s="90"/>
      <c r="BO754" s="90"/>
      <c r="BP754" s="90"/>
    </row>
    <row r="755" spans="1:68" ht="9.7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c r="BB755" s="90"/>
      <c r="BC755" s="90"/>
      <c r="BD755" s="90"/>
      <c r="BE755" s="90"/>
      <c r="BF755" s="90"/>
      <c r="BG755" s="90"/>
      <c r="BH755" s="90"/>
      <c r="BI755" s="90"/>
      <c r="BJ755" s="90"/>
      <c r="BK755" s="90"/>
      <c r="BL755" s="90"/>
      <c r="BM755" s="90"/>
      <c r="BN755" s="90"/>
      <c r="BO755" s="90"/>
      <c r="BP755" s="90"/>
    </row>
    <row r="756" spans="1:68" ht="9.7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0"/>
      <c r="AY756" s="90"/>
      <c r="AZ756" s="90"/>
      <c r="BA756" s="90"/>
      <c r="BB756" s="90"/>
      <c r="BC756" s="90"/>
      <c r="BD756" s="90"/>
      <c r="BE756" s="90"/>
      <c r="BF756" s="90"/>
      <c r="BG756" s="90"/>
      <c r="BH756" s="90"/>
      <c r="BI756" s="90"/>
      <c r="BJ756" s="90"/>
      <c r="BK756" s="90"/>
      <c r="BL756" s="90"/>
      <c r="BM756" s="90"/>
      <c r="BN756" s="90"/>
      <c r="BO756" s="90"/>
      <c r="BP756" s="90"/>
    </row>
    <row r="757" spans="1:68" ht="9.7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c r="BB757" s="90"/>
      <c r="BC757" s="90"/>
      <c r="BD757" s="90"/>
      <c r="BE757" s="90"/>
      <c r="BF757" s="90"/>
      <c r="BG757" s="90"/>
      <c r="BH757" s="90"/>
      <c r="BI757" s="90"/>
      <c r="BJ757" s="90"/>
      <c r="BK757" s="90"/>
      <c r="BL757" s="90"/>
      <c r="BM757" s="90"/>
      <c r="BN757" s="90"/>
      <c r="BO757" s="90"/>
      <c r="BP757" s="90"/>
    </row>
    <row r="758" spans="1:68" ht="9.7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0"/>
      <c r="AY758" s="90"/>
      <c r="AZ758" s="90"/>
      <c r="BA758" s="90"/>
      <c r="BB758" s="90"/>
      <c r="BC758" s="90"/>
      <c r="BD758" s="90"/>
      <c r="BE758" s="90"/>
      <c r="BF758" s="90"/>
      <c r="BG758" s="90"/>
      <c r="BH758" s="90"/>
      <c r="BI758" s="90"/>
      <c r="BJ758" s="90"/>
      <c r="BK758" s="90"/>
      <c r="BL758" s="90"/>
      <c r="BM758" s="90"/>
      <c r="BN758" s="90"/>
      <c r="BO758" s="90"/>
      <c r="BP758" s="90"/>
    </row>
    <row r="759" spans="1:68" ht="9.7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c r="BB759" s="90"/>
      <c r="BC759" s="90"/>
      <c r="BD759" s="90"/>
      <c r="BE759" s="90"/>
      <c r="BF759" s="90"/>
      <c r="BG759" s="90"/>
      <c r="BH759" s="90"/>
      <c r="BI759" s="90"/>
      <c r="BJ759" s="90"/>
      <c r="BK759" s="90"/>
      <c r="BL759" s="90"/>
      <c r="BM759" s="90"/>
      <c r="BN759" s="90"/>
      <c r="BO759" s="90"/>
      <c r="BP759" s="90"/>
    </row>
    <row r="760" spans="1:68" ht="9.7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0"/>
      <c r="AY760" s="90"/>
      <c r="AZ760" s="90"/>
      <c r="BA760" s="90"/>
      <c r="BB760" s="90"/>
      <c r="BC760" s="90"/>
      <c r="BD760" s="90"/>
      <c r="BE760" s="90"/>
      <c r="BF760" s="90"/>
      <c r="BG760" s="90"/>
      <c r="BH760" s="90"/>
      <c r="BI760" s="90"/>
      <c r="BJ760" s="90"/>
      <c r="BK760" s="90"/>
      <c r="BL760" s="90"/>
      <c r="BM760" s="90"/>
      <c r="BN760" s="90"/>
      <c r="BO760" s="90"/>
      <c r="BP760" s="90"/>
    </row>
    <row r="761" spans="1:68" ht="9.7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c r="BB761" s="90"/>
      <c r="BC761" s="90"/>
      <c r="BD761" s="90"/>
      <c r="BE761" s="90"/>
      <c r="BF761" s="90"/>
      <c r="BG761" s="90"/>
      <c r="BH761" s="90"/>
      <c r="BI761" s="90"/>
      <c r="BJ761" s="90"/>
      <c r="BK761" s="90"/>
      <c r="BL761" s="90"/>
      <c r="BM761" s="90"/>
      <c r="BN761" s="90"/>
      <c r="BO761" s="90"/>
      <c r="BP761" s="90"/>
    </row>
    <row r="762" spans="1:68" ht="9.7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c r="BB762" s="90"/>
      <c r="BC762" s="90"/>
      <c r="BD762" s="90"/>
      <c r="BE762" s="90"/>
      <c r="BF762" s="90"/>
      <c r="BG762" s="90"/>
      <c r="BH762" s="90"/>
      <c r="BI762" s="90"/>
      <c r="BJ762" s="90"/>
      <c r="BK762" s="90"/>
      <c r="BL762" s="90"/>
      <c r="BM762" s="90"/>
      <c r="BN762" s="90"/>
      <c r="BO762" s="90"/>
      <c r="BP762" s="90"/>
    </row>
    <row r="763" spans="1:68" ht="9.7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c r="BB763" s="90"/>
      <c r="BC763" s="90"/>
      <c r="BD763" s="90"/>
      <c r="BE763" s="90"/>
      <c r="BF763" s="90"/>
      <c r="BG763" s="90"/>
      <c r="BH763" s="90"/>
      <c r="BI763" s="90"/>
      <c r="BJ763" s="90"/>
      <c r="BK763" s="90"/>
      <c r="BL763" s="90"/>
      <c r="BM763" s="90"/>
      <c r="BN763" s="90"/>
      <c r="BO763" s="90"/>
      <c r="BP763" s="90"/>
    </row>
    <row r="764" spans="1:68" ht="9.7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0"/>
      <c r="AY764" s="90"/>
      <c r="AZ764" s="90"/>
      <c r="BA764" s="90"/>
      <c r="BB764" s="90"/>
      <c r="BC764" s="90"/>
      <c r="BD764" s="90"/>
      <c r="BE764" s="90"/>
      <c r="BF764" s="90"/>
      <c r="BG764" s="90"/>
      <c r="BH764" s="90"/>
      <c r="BI764" s="90"/>
      <c r="BJ764" s="90"/>
      <c r="BK764" s="90"/>
      <c r="BL764" s="90"/>
      <c r="BM764" s="90"/>
      <c r="BN764" s="90"/>
      <c r="BO764" s="90"/>
      <c r="BP764" s="90"/>
    </row>
    <row r="765" spans="1:68" ht="9.7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c r="BB765" s="90"/>
      <c r="BC765" s="90"/>
      <c r="BD765" s="90"/>
      <c r="BE765" s="90"/>
      <c r="BF765" s="90"/>
      <c r="BG765" s="90"/>
      <c r="BH765" s="90"/>
      <c r="BI765" s="90"/>
      <c r="BJ765" s="90"/>
      <c r="BK765" s="90"/>
      <c r="BL765" s="90"/>
      <c r="BM765" s="90"/>
      <c r="BN765" s="90"/>
      <c r="BO765" s="90"/>
      <c r="BP765" s="90"/>
    </row>
    <row r="766" spans="1:68" ht="9.7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0"/>
      <c r="AY766" s="90"/>
      <c r="AZ766" s="90"/>
      <c r="BA766" s="90"/>
      <c r="BB766" s="90"/>
      <c r="BC766" s="90"/>
      <c r="BD766" s="90"/>
      <c r="BE766" s="90"/>
      <c r="BF766" s="90"/>
      <c r="BG766" s="90"/>
      <c r="BH766" s="90"/>
      <c r="BI766" s="90"/>
      <c r="BJ766" s="90"/>
      <c r="BK766" s="90"/>
      <c r="BL766" s="90"/>
      <c r="BM766" s="90"/>
      <c r="BN766" s="90"/>
      <c r="BO766" s="90"/>
      <c r="BP766" s="90"/>
    </row>
    <row r="767" spans="1:68" ht="9.7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c r="BB767" s="90"/>
      <c r="BC767" s="90"/>
      <c r="BD767" s="90"/>
      <c r="BE767" s="90"/>
      <c r="BF767" s="90"/>
      <c r="BG767" s="90"/>
      <c r="BH767" s="90"/>
      <c r="BI767" s="90"/>
      <c r="BJ767" s="90"/>
      <c r="BK767" s="90"/>
      <c r="BL767" s="90"/>
      <c r="BM767" s="90"/>
      <c r="BN767" s="90"/>
      <c r="BO767" s="90"/>
      <c r="BP767" s="90"/>
    </row>
    <row r="768" spans="1:68" ht="9.7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c r="BB768" s="90"/>
      <c r="BC768" s="90"/>
      <c r="BD768" s="90"/>
      <c r="BE768" s="90"/>
      <c r="BF768" s="90"/>
      <c r="BG768" s="90"/>
      <c r="BH768" s="90"/>
      <c r="BI768" s="90"/>
      <c r="BJ768" s="90"/>
      <c r="BK768" s="90"/>
      <c r="BL768" s="90"/>
      <c r="BM768" s="90"/>
      <c r="BN768" s="90"/>
      <c r="BO768" s="90"/>
      <c r="BP768" s="90"/>
    </row>
    <row r="769" spans="1:68" ht="9.7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c r="BP769" s="90"/>
    </row>
    <row r="770" spans="1:68" ht="9.7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0"/>
      <c r="AY770" s="90"/>
      <c r="AZ770" s="90"/>
      <c r="BA770" s="90"/>
      <c r="BB770" s="90"/>
      <c r="BC770" s="90"/>
      <c r="BD770" s="90"/>
      <c r="BE770" s="90"/>
      <c r="BF770" s="90"/>
      <c r="BG770" s="90"/>
      <c r="BH770" s="90"/>
      <c r="BI770" s="90"/>
      <c r="BJ770" s="90"/>
      <c r="BK770" s="90"/>
      <c r="BL770" s="90"/>
      <c r="BM770" s="90"/>
      <c r="BN770" s="90"/>
      <c r="BO770" s="90"/>
      <c r="BP770" s="90"/>
    </row>
    <row r="771" spans="1:68" ht="9.7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c r="BK771" s="90"/>
      <c r="BL771" s="90"/>
      <c r="BM771" s="90"/>
      <c r="BN771" s="90"/>
      <c r="BO771" s="90"/>
      <c r="BP771" s="90"/>
    </row>
    <row r="772" spans="1:68" ht="9.7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c r="BF772" s="90"/>
      <c r="BG772" s="90"/>
      <c r="BH772" s="90"/>
      <c r="BI772" s="90"/>
      <c r="BJ772" s="90"/>
      <c r="BK772" s="90"/>
      <c r="BL772" s="90"/>
      <c r="BM772" s="90"/>
      <c r="BN772" s="90"/>
      <c r="BO772" s="90"/>
      <c r="BP772" s="90"/>
    </row>
    <row r="773" spans="1:68" ht="9.7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c r="BF773" s="90"/>
      <c r="BG773" s="90"/>
      <c r="BH773" s="90"/>
      <c r="BI773" s="90"/>
      <c r="BJ773" s="90"/>
      <c r="BK773" s="90"/>
      <c r="BL773" s="90"/>
      <c r="BM773" s="90"/>
      <c r="BN773" s="90"/>
      <c r="BO773" s="90"/>
      <c r="BP773" s="90"/>
    </row>
    <row r="774" spans="1:68" ht="9.7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0"/>
      <c r="AY774" s="90"/>
      <c r="AZ774" s="90"/>
      <c r="BA774" s="90"/>
      <c r="BB774" s="90"/>
      <c r="BC774" s="90"/>
      <c r="BD774" s="90"/>
      <c r="BE774" s="90"/>
      <c r="BF774" s="90"/>
      <c r="BG774" s="90"/>
      <c r="BH774" s="90"/>
      <c r="BI774" s="90"/>
      <c r="BJ774" s="90"/>
      <c r="BK774" s="90"/>
      <c r="BL774" s="90"/>
      <c r="BM774" s="90"/>
      <c r="BN774" s="90"/>
      <c r="BO774" s="90"/>
      <c r="BP774" s="90"/>
    </row>
    <row r="775" spans="1:68" ht="9.7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c r="BB775" s="90"/>
      <c r="BC775" s="90"/>
      <c r="BD775" s="90"/>
      <c r="BE775" s="90"/>
      <c r="BF775" s="90"/>
      <c r="BG775" s="90"/>
      <c r="BH775" s="90"/>
      <c r="BI775" s="90"/>
      <c r="BJ775" s="90"/>
      <c r="BK775" s="90"/>
      <c r="BL775" s="90"/>
      <c r="BM775" s="90"/>
      <c r="BN775" s="90"/>
      <c r="BO775" s="90"/>
      <c r="BP775" s="90"/>
    </row>
    <row r="776" spans="1:68" ht="9.7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0"/>
      <c r="AY776" s="90"/>
      <c r="AZ776" s="90"/>
      <c r="BA776" s="90"/>
      <c r="BB776" s="90"/>
      <c r="BC776" s="90"/>
      <c r="BD776" s="90"/>
      <c r="BE776" s="90"/>
      <c r="BF776" s="90"/>
      <c r="BG776" s="90"/>
      <c r="BH776" s="90"/>
      <c r="BI776" s="90"/>
      <c r="BJ776" s="90"/>
      <c r="BK776" s="90"/>
      <c r="BL776" s="90"/>
      <c r="BM776" s="90"/>
      <c r="BN776" s="90"/>
      <c r="BO776" s="90"/>
      <c r="BP776" s="90"/>
    </row>
    <row r="777" spans="1:68" ht="9.7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c r="BB777" s="90"/>
      <c r="BC777" s="90"/>
      <c r="BD777" s="90"/>
      <c r="BE777" s="90"/>
      <c r="BF777" s="90"/>
      <c r="BG777" s="90"/>
      <c r="BH777" s="90"/>
      <c r="BI777" s="90"/>
      <c r="BJ777" s="90"/>
      <c r="BK777" s="90"/>
      <c r="BL777" s="90"/>
      <c r="BM777" s="90"/>
      <c r="BN777" s="90"/>
      <c r="BO777" s="90"/>
      <c r="BP777" s="90"/>
    </row>
    <row r="778" spans="1:68" ht="9.7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0"/>
      <c r="AY778" s="90"/>
      <c r="AZ778" s="90"/>
      <c r="BA778" s="90"/>
      <c r="BB778" s="90"/>
      <c r="BC778" s="90"/>
      <c r="BD778" s="90"/>
      <c r="BE778" s="90"/>
      <c r="BF778" s="90"/>
      <c r="BG778" s="90"/>
      <c r="BH778" s="90"/>
      <c r="BI778" s="90"/>
      <c r="BJ778" s="90"/>
      <c r="BK778" s="90"/>
      <c r="BL778" s="90"/>
      <c r="BM778" s="90"/>
      <c r="BN778" s="90"/>
      <c r="BO778" s="90"/>
      <c r="BP778" s="90"/>
    </row>
    <row r="779" spans="1:68" ht="9.7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c r="BB779" s="90"/>
      <c r="BC779" s="90"/>
      <c r="BD779" s="90"/>
      <c r="BE779" s="90"/>
      <c r="BF779" s="90"/>
      <c r="BG779" s="90"/>
      <c r="BH779" s="90"/>
      <c r="BI779" s="90"/>
      <c r="BJ779" s="90"/>
      <c r="BK779" s="90"/>
      <c r="BL779" s="90"/>
      <c r="BM779" s="90"/>
      <c r="BN779" s="90"/>
      <c r="BO779" s="90"/>
      <c r="BP779" s="90"/>
    </row>
    <row r="780" spans="1:68" ht="9.7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0"/>
      <c r="AY780" s="90"/>
      <c r="AZ780" s="90"/>
      <c r="BA780" s="90"/>
      <c r="BB780" s="90"/>
      <c r="BC780" s="90"/>
      <c r="BD780" s="90"/>
      <c r="BE780" s="90"/>
      <c r="BF780" s="90"/>
      <c r="BG780" s="90"/>
      <c r="BH780" s="90"/>
      <c r="BI780" s="90"/>
      <c r="BJ780" s="90"/>
      <c r="BK780" s="90"/>
      <c r="BL780" s="90"/>
      <c r="BM780" s="90"/>
      <c r="BN780" s="90"/>
      <c r="BO780" s="90"/>
      <c r="BP780" s="90"/>
    </row>
    <row r="781" spans="1:68" ht="9.7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c r="BB781" s="90"/>
      <c r="BC781" s="90"/>
      <c r="BD781" s="90"/>
      <c r="BE781" s="90"/>
      <c r="BF781" s="90"/>
      <c r="BG781" s="90"/>
      <c r="BH781" s="90"/>
      <c r="BI781" s="90"/>
      <c r="BJ781" s="90"/>
      <c r="BK781" s="90"/>
      <c r="BL781" s="90"/>
      <c r="BM781" s="90"/>
      <c r="BN781" s="90"/>
      <c r="BO781" s="90"/>
      <c r="BP781" s="90"/>
    </row>
    <row r="782" spans="1:68" ht="9.7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c r="AX782" s="90"/>
      <c r="AY782" s="90"/>
      <c r="AZ782" s="90"/>
      <c r="BA782" s="90"/>
      <c r="BB782" s="90"/>
      <c r="BC782" s="90"/>
      <c r="BD782" s="90"/>
      <c r="BE782" s="90"/>
      <c r="BF782" s="90"/>
      <c r="BG782" s="90"/>
      <c r="BH782" s="90"/>
      <c r="BI782" s="90"/>
      <c r="BJ782" s="90"/>
      <c r="BK782" s="90"/>
      <c r="BL782" s="90"/>
      <c r="BM782" s="90"/>
      <c r="BN782" s="90"/>
      <c r="BO782" s="90"/>
      <c r="BP782" s="90"/>
    </row>
    <row r="783" spans="1:68" ht="9.7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c r="BB783" s="90"/>
      <c r="BC783" s="90"/>
      <c r="BD783" s="90"/>
      <c r="BE783" s="90"/>
      <c r="BF783" s="90"/>
      <c r="BG783" s="90"/>
      <c r="BH783" s="90"/>
      <c r="BI783" s="90"/>
      <c r="BJ783" s="90"/>
      <c r="BK783" s="90"/>
      <c r="BL783" s="90"/>
      <c r="BM783" s="90"/>
      <c r="BN783" s="90"/>
      <c r="BO783" s="90"/>
      <c r="BP783" s="90"/>
    </row>
    <row r="784" spans="1:68" ht="9.7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c r="AX784" s="90"/>
      <c r="AY784" s="90"/>
      <c r="AZ784" s="90"/>
      <c r="BA784" s="90"/>
      <c r="BB784" s="90"/>
      <c r="BC784" s="90"/>
      <c r="BD784" s="90"/>
      <c r="BE784" s="90"/>
      <c r="BF784" s="90"/>
      <c r="BG784" s="90"/>
      <c r="BH784" s="90"/>
      <c r="BI784" s="90"/>
      <c r="BJ784" s="90"/>
      <c r="BK784" s="90"/>
      <c r="BL784" s="90"/>
      <c r="BM784" s="90"/>
      <c r="BN784" s="90"/>
      <c r="BO784" s="90"/>
      <c r="BP784" s="90"/>
    </row>
    <row r="785" spans="1:68" ht="9.7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c r="BB785" s="90"/>
      <c r="BC785" s="90"/>
      <c r="BD785" s="90"/>
      <c r="BE785" s="90"/>
      <c r="BF785" s="90"/>
      <c r="BG785" s="90"/>
      <c r="BH785" s="90"/>
      <c r="BI785" s="90"/>
      <c r="BJ785" s="90"/>
      <c r="BK785" s="90"/>
      <c r="BL785" s="90"/>
      <c r="BM785" s="90"/>
      <c r="BN785" s="90"/>
      <c r="BO785" s="90"/>
      <c r="BP785" s="90"/>
    </row>
    <row r="786" spans="1:68" ht="9.7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c r="AX786" s="90"/>
      <c r="AY786" s="90"/>
      <c r="AZ786" s="90"/>
      <c r="BA786" s="90"/>
      <c r="BB786" s="90"/>
      <c r="BC786" s="90"/>
      <c r="BD786" s="90"/>
      <c r="BE786" s="90"/>
      <c r="BF786" s="90"/>
      <c r="BG786" s="90"/>
      <c r="BH786" s="90"/>
      <c r="BI786" s="90"/>
      <c r="BJ786" s="90"/>
      <c r="BK786" s="90"/>
      <c r="BL786" s="90"/>
      <c r="BM786" s="90"/>
      <c r="BN786" s="90"/>
      <c r="BO786" s="90"/>
      <c r="BP786" s="90"/>
    </row>
    <row r="787" spans="1:68" ht="9.7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c r="BB787" s="90"/>
      <c r="BC787" s="90"/>
      <c r="BD787" s="90"/>
      <c r="BE787" s="90"/>
      <c r="BF787" s="90"/>
      <c r="BG787" s="90"/>
      <c r="BH787" s="90"/>
      <c r="BI787" s="90"/>
      <c r="BJ787" s="90"/>
      <c r="BK787" s="90"/>
      <c r="BL787" s="90"/>
      <c r="BM787" s="90"/>
      <c r="BN787" s="90"/>
      <c r="BO787" s="90"/>
      <c r="BP787" s="90"/>
    </row>
    <row r="788" spans="1:68" ht="9.7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c r="AX788" s="90"/>
      <c r="AY788" s="90"/>
      <c r="AZ788" s="90"/>
      <c r="BA788" s="90"/>
      <c r="BB788" s="90"/>
      <c r="BC788" s="90"/>
      <c r="BD788" s="90"/>
      <c r="BE788" s="90"/>
      <c r="BF788" s="90"/>
      <c r="BG788" s="90"/>
      <c r="BH788" s="90"/>
      <c r="BI788" s="90"/>
      <c r="BJ788" s="90"/>
      <c r="BK788" s="90"/>
      <c r="BL788" s="90"/>
      <c r="BM788" s="90"/>
      <c r="BN788" s="90"/>
      <c r="BO788" s="90"/>
      <c r="BP788" s="90"/>
    </row>
    <row r="789" spans="1:68" ht="9.7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c r="BB789" s="90"/>
      <c r="BC789" s="90"/>
      <c r="BD789" s="90"/>
      <c r="BE789" s="90"/>
      <c r="BF789" s="90"/>
      <c r="BG789" s="90"/>
      <c r="BH789" s="90"/>
      <c r="BI789" s="90"/>
      <c r="BJ789" s="90"/>
      <c r="BK789" s="90"/>
      <c r="BL789" s="90"/>
      <c r="BM789" s="90"/>
      <c r="BN789" s="90"/>
      <c r="BO789" s="90"/>
      <c r="BP789" s="90"/>
    </row>
    <row r="790" spans="1:68" ht="9.7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c r="AX790" s="90"/>
      <c r="AY790" s="90"/>
      <c r="AZ790" s="90"/>
      <c r="BA790" s="90"/>
      <c r="BB790" s="90"/>
      <c r="BC790" s="90"/>
      <c r="BD790" s="90"/>
      <c r="BE790" s="90"/>
      <c r="BF790" s="90"/>
      <c r="BG790" s="90"/>
      <c r="BH790" s="90"/>
      <c r="BI790" s="90"/>
      <c r="BJ790" s="90"/>
      <c r="BK790" s="90"/>
      <c r="BL790" s="90"/>
      <c r="BM790" s="90"/>
      <c r="BN790" s="90"/>
      <c r="BO790" s="90"/>
      <c r="BP790" s="90"/>
    </row>
    <row r="791" spans="1:68" ht="9.7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c r="BB791" s="90"/>
      <c r="BC791" s="90"/>
      <c r="BD791" s="90"/>
      <c r="BE791" s="90"/>
      <c r="BF791" s="90"/>
      <c r="BG791" s="90"/>
      <c r="BH791" s="90"/>
      <c r="BI791" s="90"/>
      <c r="BJ791" s="90"/>
      <c r="BK791" s="90"/>
      <c r="BL791" s="90"/>
      <c r="BM791" s="90"/>
      <c r="BN791" s="90"/>
      <c r="BO791" s="90"/>
      <c r="BP791" s="90"/>
    </row>
    <row r="792" spans="1:68" ht="9.7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c r="AX792" s="90"/>
      <c r="AY792" s="90"/>
      <c r="AZ792" s="90"/>
      <c r="BA792" s="90"/>
      <c r="BB792" s="90"/>
      <c r="BC792" s="90"/>
      <c r="BD792" s="90"/>
      <c r="BE792" s="90"/>
      <c r="BF792" s="90"/>
      <c r="BG792" s="90"/>
      <c r="BH792" s="90"/>
      <c r="BI792" s="90"/>
      <c r="BJ792" s="90"/>
      <c r="BK792" s="90"/>
      <c r="BL792" s="90"/>
      <c r="BM792" s="90"/>
      <c r="BN792" s="90"/>
      <c r="BO792" s="90"/>
      <c r="BP792" s="90"/>
    </row>
    <row r="793" spans="1:68" ht="9.7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c r="BB793" s="90"/>
      <c r="BC793" s="90"/>
      <c r="BD793" s="90"/>
      <c r="BE793" s="90"/>
      <c r="BF793" s="90"/>
      <c r="BG793" s="90"/>
      <c r="BH793" s="90"/>
      <c r="BI793" s="90"/>
      <c r="BJ793" s="90"/>
      <c r="BK793" s="90"/>
      <c r="BL793" s="90"/>
      <c r="BM793" s="90"/>
      <c r="BN793" s="90"/>
      <c r="BO793" s="90"/>
      <c r="BP793" s="90"/>
    </row>
    <row r="794" spans="1:68" ht="9.7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c r="AX794" s="90"/>
      <c r="AY794" s="90"/>
      <c r="AZ794" s="90"/>
      <c r="BA794" s="90"/>
      <c r="BB794" s="90"/>
      <c r="BC794" s="90"/>
      <c r="BD794" s="90"/>
      <c r="BE794" s="90"/>
      <c r="BF794" s="90"/>
      <c r="BG794" s="90"/>
      <c r="BH794" s="90"/>
      <c r="BI794" s="90"/>
      <c r="BJ794" s="90"/>
      <c r="BK794" s="90"/>
      <c r="BL794" s="90"/>
      <c r="BM794" s="90"/>
      <c r="BN794" s="90"/>
      <c r="BO794" s="90"/>
      <c r="BP794" s="90"/>
    </row>
    <row r="795" spans="1:68" ht="9.7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c r="BB795" s="90"/>
      <c r="BC795" s="90"/>
      <c r="BD795" s="90"/>
      <c r="BE795" s="90"/>
      <c r="BF795" s="90"/>
      <c r="BG795" s="90"/>
      <c r="BH795" s="90"/>
      <c r="BI795" s="90"/>
      <c r="BJ795" s="90"/>
      <c r="BK795" s="90"/>
      <c r="BL795" s="90"/>
      <c r="BM795" s="90"/>
      <c r="BN795" s="90"/>
      <c r="BO795" s="90"/>
      <c r="BP795" s="90"/>
    </row>
    <row r="796" spans="1:68" ht="9.7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c r="AX796" s="90"/>
      <c r="AY796" s="90"/>
      <c r="AZ796" s="90"/>
      <c r="BA796" s="90"/>
      <c r="BB796" s="90"/>
      <c r="BC796" s="90"/>
      <c r="BD796" s="90"/>
      <c r="BE796" s="90"/>
      <c r="BF796" s="90"/>
      <c r="BG796" s="90"/>
      <c r="BH796" s="90"/>
      <c r="BI796" s="90"/>
      <c r="BJ796" s="90"/>
      <c r="BK796" s="90"/>
      <c r="BL796" s="90"/>
      <c r="BM796" s="90"/>
      <c r="BN796" s="90"/>
      <c r="BO796" s="90"/>
      <c r="BP796" s="90"/>
    </row>
    <row r="797" spans="1:68" ht="9.7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c r="BB797" s="90"/>
      <c r="BC797" s="90"/>
      <c r="BD797" s="90"/>
      <c r="BE797" s="90"/>
      <c r="BF797" s="90"/>
      <c r="BG797" s="90"/>
      <c r="BH797" s="90"/>
      <c r="BI797" s="90"/>
      <c r="BJ797" s="90"/>
      <c r="BK797" s="90"/>
      <c r="BL797" s="90"/>
      <c r="BM797" s="90"/>
      <c r="BN797" s="90"/>
      <c r="BO797" s="90"/>
      <c r="BP797" s="90"/>
    </row>
    <row r="798" spans="1:68" ht="9.7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c r="BB798" s="90"/>
      <c r="BC798" s="90"/>
      <c r="BD798" s="90"/>
      <c r="BE798" s="90"/>
      <c r="BF798" s="90"/>
      <c r="BG798" s="90"/>
      <c r="BH798" s="90"/>
      <c r="BI798" s="90"/>
      <c r="BJ798" s="90"/>
      <c r="BK798" s="90"/>
      <c r="BL798" s="90"/>
      <c r="BM798" s="90"/>
      <c r="BN798" s="90"/>
      <c r="BO798" s="90"/>
      <c r="BP798" s="90"/>
    </row>
    <row r="799" spans="1:68" ht="9.7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c r="BF799" s="90"/>
      <c r="BG799" s="90"/>
      <c r="BH799" s="90"/>
      <c r="BI799" s="90"/>
      <c r="BJ799" s="90"/>
      <c r="BK799" s="90"/>
      <c r="BL799" s="90"/>
      <c r="BM799" s="90"/>
      <c r="BN799" s="90"/>
      <c r="BO799" s="90"/>
      <c r="BP799" s="90"/>
    </row>
    <row r="800" spans="1:68" ht="9.7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c r="BB800" s="90"/>
      <c r="BC800" s="90"/>
      <c r="BD800" s="90"/>
      <c r="BE800" s="90"/>
      <c r="BF800" s="90"/>
      <c r="BG800" s="90"/>
      <c r="BH800" s="90"/>
      <c r="BI800" s="90"/>
      <c r="BJ800" s="90"/>
      <c r="BK800" s="90"/>
      <c r="BL800" s="90"/>
      <c r="BM800" s="90"/>
      <c r="BN800" s="90"/>
      <c r="BO800" s="90"/>
      <c r="BP800" s="90"/>
    </row>
    <row r="801" spans="1:68" ht="9.7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c r="BH801" s="90"/>
      <c r="BI801" s="90"/>
      <c r="BJ801" s="90"/>
      <c r="BK801" s="90"/>
      <c r="BL801" s="90"/>
      <c r="BM801" s="90"/>
      <c r="BN801" s="90"/>
      <c r="BO801" s="90"/>
      <c r="BP801" s="90"/>
    </row>
    <row r="802" spans="1:68" ht="9.7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c r="BH802" s="90"/>
      <c r="BI802" s="90"/>
      <c r="BJ802" s="90"/>
      <c r="BK802" s="90"/>
      <c r="BL802" s="90"/>
      <c r="BM802" s="90"/>
      <c r="BN802" s="90"/>
      <c r="BO802" s="90"/>
      <c r="BP802" s="90"/>
    </row>
    <row r="803" spans="1:68" ht="9.7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c r="BH803" s="90"/>
      <c r="BI803" s="90"/>
      <c r="BJ803" s="90"/>
      <c r="BK803" s="90"/>
      <c r="BL803" s="90"/>
      <c r="BM803" s="90"/>
      <c r="BN803" s="90"/>
      <c r="BO803" s="90"/>
      <c r="BP803" s="90"/>
    </row>
    <row r="804" spans="1:68" ht="9.7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c r="BB804" s="90"/>
      <c r="BC804" s="90"/>
      <c r="BD804" s="90"/>
      <c r="BE804" s="90"/>
      <c r="BF804" s="90"/>
      <c r="BG804" s="90"/>
      <c r="BH804" s="90"/>
      <c r="BI804" s="90"/>
      <c r="BJ804" s="90"/>
      <c r="BK804" s="90"/>
      <c r="BL804" s="90"/>
      <c r="BM804" s="90"/>
      <c r="BN804" s="90"/>
      <c r="BO804" s="90"/>
      <c r="BP804" s="90"/>
    </row>
    <row r="805" spans="1:68" ht="9.7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c r="BB805" s="90"/>
      <c r="BC805" s="90"/>
      <c r="BD805" s="90"/>
      <c r="BE805" s="90"/>
      <c r="BF805" s="90"/>
      <c r="BG805" s="90"/>
      <c r="BH805" s="90"/>
      <c r="BI805" s="90"/>
      <c r="BJ805" s="90"/>
      <c r="BK805" s="90"/>
      <c r="BL805" s="90"/>
      <c r="BM805" s="90"/>
      <c r="BN805" s="90"/>
      <c r="BO805" s="90"/>
      <c r="BP805" s="90"/>
    </row>
    <row r="806" spans="1:68" ht="9.7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c r="BF806" s="90"/>
      <c r="BG806" s="90"/>
      <c r="BH806" s="90"/>
      <c r="BI806" s="90"/>
      <c r="BJ806" s="90"/>
      <c r="BK806" s="90"/>
      <c r="BL806" s="90"/>
      <c r="BM806" s="90"/>
      <c r="BN806" s="90"/>
      <c r="BO806" s="90"/>
      <c r="BP806" s="90"/>
    </row>
    <row r="807" spans="1:68" ht="9.7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row>
    <row r="808" spans="1:68" ht="9.7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c r="BH808" s="90"/>
      <c r="BI808" s="90"/>
      <c r="BJ808" s="90"/>
      <c r="BK808" s="90"/>
      <c r="BL808" s="90"/>
      <c r="BM808" s="90"/>
      <c r="BN808" s="90"/>
      <c r="BO808" s="90"/>
      <c r="BP808" s="90"/>
    </row>
    <row r="809" spans="1:68" ht="9.7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c r="BB809" s="90"/>
      <c r="BC809" s="90"/>
      <c r="BD809" s="90"/>
      <c r="BE809" s="90"/>
      <c r="BF809" s="90"/>
      <c r="BG809" s="90"/>
      <c r="BH809" s="90"/>
      <c r="BI809" s="90"/>
      <c r="BJ809" s="90"/>
      <c r="BK809" s="90"/>
      <c r="BL809" s="90"/>
      <c r="BM809" s="90"/>
      <c r="BN809" s="90"/>
      <c r="BO809" s="90"/>
      <c r="BP809" s="90"/>
    </row>
    <row r="810" spans="1:68" ht="9.7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c r="AX810" s="90"/>
      <c r="AY810" s="90"/>
      <c r="AZ810" s="90"/>
      <c r="BA810" s="90"/>
      <c r="BB810" s="90"/>
      <c r="BC810" s="90"/>
      <c r="BD810" s="90"/>
      <c r="BE810" s="90"/>
      <c r="BF810" s="90"/>
      <c r="BG810" s="90"/>
      <c r="BH810" s="90"/>
      <c r="BI810" s="90"/>
      <c r="BJ810" s="90"/>
      <c r="BK810" s="90"/>
      <c r="BL810" s="90"/>
      <c r="BM810" s="90"/>
      <c r="BN810" s="90"/>
      <c r="BO810" s="90"/>
      <c r="BP810" s="90"/>
    </row>
    <row r="811" spans="1:68" ht="9.7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c r="BB811" s="90"/>
      <c r="BC811" s="90"/>
      <c r="BD811" s="90"/>
      <c r="BE811" s="90"/>
      <c r="BF811" s="90"/>
      <c r="BG811" s="90"/>
      <c r="BH811" s="90"/>
      <c r="BI811" s="90"/>
      <c r="BJ811" s="90"/>
      <c r="BK811" s="90"/>
      <c r="BL811" s="90"/>
      <c r="BM811" s="90"/>
      <c r="BN811" s="90"/>
      <c r="BO811" s="90"/>
      <c r="BP811" s="90"/>
    </row>
    <row r="812" spans="1:68" ht="9.7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c r="AX812" s="90"/>
      <c r="AY812" s="90"/>
      <c r="AZ812" s="90"/>
      <c r="BA812" s="90"/>
      <c r="BB812" s="90"/>
      <c r="BC812" s="90"/>
      <c r="BD812" s="90"/>
      <c r="BE812" s="90"/>
      <c r="BF812" s="90"/>
      <c r="BG812" s="90"/>
      <c r="BH812" s="90"/>
      <c r="BI812" s="90"/>
      <c r="BJ812" s="90"/>
      <c r="BK812" s="90"/>
      <c r="BL812" s="90"/>
      <c r="BM812" s="90"/>
      <c r="BN812" s="90"/>
      <c r="BO812" s="90"/>
      <c r="BP812" s="90"/>
    </row>
    <row r="813" spans="1:68" ht="9.7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c r="BB813" s="90"/>
      <c r="BC813" s="90"/>
      <c r="BD813" s="90"/>
      <c r="BE813" s="90"/>
      <c r="BF813" s="90"/>
      <c r="BG813" s="90"/>
      <c r="BH813" s="90"/>
      <c r="BI813" s="90"/>
      <c r="BJ813" s="90"/>
      <c r="BK813" s="90"/>
      <c r="BL813" s="90"/>
      <c r="BM813" s="90"/>
      <c r="BN813" s="90"/>
      <c r="BO813" s="90"/>
      <c r="BP813" s="90"/>
    </row>
    <row r="814" spans="1:68" ht="9.7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c r="AX814" s="90"/>
      <c r="AY814" s="90"/>
      <c r="AZ814" s="90"/>
      <c r="BA814" s="90"/>
      <c r="BB814" s="90"/>
      <c r="BC814" s="90"/>
      <c r="BD814" s="90"/>
      <c r="BE814" s="90"/>
      <c r="BF814" s="90"/>
      <c r="BG814" s="90"/>
      <c r="BH814" s="90"/>
      <c r="BI814" s="90"/>
      <c r="BJ814" s="90"/>
      <c r="BK814" s="90"/>
      <c r="BL814" s="90"/>
      <c r="BM814" s="90"/>
      <c r="BN814" s="90"/>
      <c r="BO814" s="90"/>
      <c r="BP814" s="90"/>
    </row>
    <row r="815" spans="1:68" ht="9.7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c r="AX815" s="90"/>
      <c r="AY815" s="90"/>
      <c r="AZ815" s="90"/>
      <c r="BA815" s="90"/>
      <c r="BB815" s="90"/>
      <c r="BC815" s="90"/>
      <c r="BD815" s="90"/>
      <c r="BE815" s="90"/>
      <c r="BF815" s="90"/>
      <c r="BG815" s="90"/>
      <c r="BH815" s="90"/>
      <c r="BI815" s="90"/>
      <c r="BJ815" s="90"/>
      <c r="BK815" s="90"/>
      <c r="BL815" s="90"/>
      <c r="BM815" s="90"/>
      <c r="BN815" s="90"/>
      <c r="BO815" s="90"/>
      <c r="BP815" s="90"/>
    </row>
    <row r="816" spans="1:68" ht="9.7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c r="AX816" s="90"/>
      <c r="AY816" s="90"/>
      <c r="AZ816" s="90"/>
      <c r="BA816" s="90"/>
      <c r="BB816" s="90"/>
      <c r="BC816" s="90"/>
      <c r="BD816" s="90"/>
      <c r="BE816" s="90"/>
      <c r="BF816" s="90"/>
      <c r="BG816" s="90"/>
      <c r="BH816" s="90"/>
      <c r="BI816" s="90"/>
      <c r="BJ816" s="90"/>
      <c r="BK816" s="90"/>
      <c r="BL816" s="90"/>
      <c r="BM816" s="90"/>
      <c r="BN816" s="90"/>
      <c r="BO816" s="90"/>
      <c r="BP816" s="90"/>
    </row>
    <row r="817" spans="1:68" ht="9.7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c r="BB817" s="90"/>
      <c r="BC817" s="90"/>
      <c r="BD817" s="90"/>
      <c r="BE817" s="90"/>
      <c r="BF817" s="90"/>
      <c r="BG817" s="90"/>
      <c r="BH817" s="90"/>
      <c r="BI817" s="90"/>
      <c r="BJ817" s="90"/>
      <c r="BK817" s="90"/>
      <c r="BL817" s="90"/>
      <c r="BM817" s="90"/>
      <c r="BN817" s="90"/>
      <c r="BO817" s="90"/>
      <c r="BP817" s="90"/>
    </row>
    <row r="818" spans="1:68" ht="9.7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c r="AX818" s="90"/>
      <c r="AY818" s="90"/>
      <c r="AZ818" s="90"/>
      <c r="BA818" s="90"/>
      <c r="BB818" s="90"/>
      <c r="BC818" s="90"/>
      <c r="BD818" s="90"/>
      <c r="BE818" s="90"/>
      <c r="BF818" s="90"/>
      <c r="BG818" s="90"/>
      <c r="BH818" s="90"/>
      <c r="BI818" s="90"/>
      <c r="BJ818" s="90"/>
      <c r="BK818" s="90"/>
      <c r="BL818" s="90"/>
      <c r="BM818" s="90"/>
      <c r="BN818" s="90"/>
      <c r="BO818" s="90"/>
      <c r="BP818" s="90"/>
    </row>
    <row r="819" spans="1:68" ht="9.7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c r="AX819" s="90"/>
      <c r="AY819" s="90"/>
      <c r="AZ819" s="90"/>
      <c r="BA819" s="90"/>
      <c r="BB819" s="90"/>
      <c r="BC819" s="90"/>
      <c r="BD819" s="90"/>
      <c r="BE819" s="90"/>
      <c r="BF819" s="90"/>
      <c r="BG819" s="90"/>
      <c r="BH819" s="90"/>
      <c r="BI819" s="90"/>
      <c r="BJ819" s="90"/>
      <c r="BK819" s="90"/>
      <c r="BL819" s="90"/>
      <c r="BM819" s="90"/>
      <c r="BN819" s="90"/>
      <c r="BO819" s="90"/>
      <c r="BP819" s="90"/>
    </row>
    <row r="820" spans="1:68" ht="9.7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c r="AX820" s="90"/>
      <c r="AY820" s="90"/>
      <c r="AZ820" s="90"/>
      <c r="BA820" s="90"/>
      <c r="BB820" s="90"/>
      <c r="BC820" s="90"/>
      <c r="BD820" s="90"/>
      <c r="BE820" s="90"/>
      <c r="BF820" s="90"/>
      <c r="BG820" s="90"/>
      <c r="BH820" s="90"/>
      <c r="BI820" s="90"/>
      <c r="BJ820" s="90"/>
      <c r="BK820" s="90"/>
      <c r="BL820" s="90"/>
      <c r="BM820" s="90"/>
      <c r="BN820" s="90"/>
      <c r="BO820" s="90"/>
      <c r="BP820" s="90"/>
    </row>
    <row r="821" spans="1:68" ht="9.7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c r="BB821" s="90"/>
      <c r="BC821" s="90"/>
      <c r="BD821" s="90"/>
      <c r="BE821" s="90"/>
      <c r="BF821" s="90"/>
      <c r="BG821" s="90"/>
      <c r="BH821" s="90"/>
      <c r="BI821" s="90"/>
      <c r="BJ821" s="90"/>
      <c r="BK821" s="90"/>
      <c r="BL821" s="90"/>
      <c r="BM821" s="90"/>
      <c r="BN821" s="90"/>
      <c r="BO821" s="90"/>
      <c r="BP821" s="90"/>
    </row>
    <row r="822" spans="1:68" ht="9.7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c r="BB822" s="90"/>
      <c r="BC822" s="90"/>
      <c r="BD822" s="90"/>
      <c r="BE822" s="90"/>
      <c r="BF822" s="90"/>
      <c r="BG822" s="90"/>
      <c r="BH822" s="90"/>
      <c r="BI822" s="90"/>
      <c r="BJ822" s="90"/>
      <c r="BK822" s="90"/>
      <c r="BL822" s="90"/>
      <c r="BM822" s="90"/>
      <c r="BN822" s="90"/>
      <c r="BO822" s="90"/>
      <c r="BP822" s="90"/>
    </row>
    <row r="823" spans="1:68" ht="9.7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c r="AX823" s="90"/>
      <c r="AY823" s="90"/>
      <c r="AZ823" s="90"/>
      <c r="BA823" s="90"/>
      <c r="BB823" s="90"/>
      <c r="BC823" s="90"/>
      <c r="BD823" s="90"/>
      <c r="BE823" s="90"/>
      <c r="BF823" s="90"/>
      <c r="BG823" s="90"/>
      <c r="BH823" s="90"/>
      <c r="BI823" s="90"/>
      <c r="BJ823" s="90"/>
      <c r="BK823" s="90"/>
      <c r="BL823" s="90"/>
      <c r="BM823" s="90"/>
      <c r="BN823" s="90"/>
      <c r="BO823" s="90"/>
      <c r="BP823" s="90"/>
    </row>
    <row r="824" spans="1:68" ht="9.7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c r="AX824" s="90"/>
      <c r="AY824" s="90"/>
      <c r="AZ824" s="90"/>
      <c r="BA824" s="90"/>
      <c r="BB824" s="90"/>
      <c r="BC824" s="90"/>
      <c r="BD824" s="90"/>
      <c r="BE824" s="90"/>
      <c r="BF824" s="90"/>
      <c r="BG824" s="90"/>
      <c r="BH824" s="90"/>
      <c r="BI824" s="90"/>
      <c r="BJ824" s="90"/>
      <c r="BK824" s="90"/>
      <c r="BL824" s="90"/>
      <c r="BM824" s="90"/>
      <c r="BN824" s="90"/>
      <c r="BO824" s="90"/>
      <c r="BP824" s="90"/>
    </row>
    <row r="825" spans="1:68" ht="9.7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c r="BB825" s="90"/>
      <c r="BC825" s="90"/>
      <c r="BD825" s="90"/>
      <c r="BE825" s="90"/>
      <c r="BF825" s="90"/>
      <c r="BG825" s="90"/>
      <c r="BH825" s="90"/>
      <c r="BI825" s="90"/>
      <c r="BJ825" s="90"/>
      <c r="BK825" s="90"/>
      <c r="BL825" s="90"/>
      <c r="BM825" s="90"/>
      <c r="BN825" s="90"/>
      <c r="BO825" s="90"/>
      <c r="BP825" s="90"/>
    </row>
    <row r="826" spans="1:68" ht="9.7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c r="AX826" s="90"/>
      <c r="AY826" s="90"/>
      <c r="AZ826" s="90"/>
      <c r="BA826" s="90"/>
      <c r="BB826" s="90"/>
      <c r="BC826" s="90"/>
      <c r="BD826" s="90"/>
      <c r="BE826" s="90"/>
      <c r="BF826" s="90"/>
      <c r="BG826" s="90"/>
      <c r="BH826" s="90"/>
      <c r="BI826" s="90"/>
      <c r="BJ826" s="90"/>
      <c r="BK826" s="90"/>
      <c r="BL826" s="90"/>
      <c r="BM826" s="90"/>
      <c r="BN826" s="90"/>
      <c r="BO826" s="90"/>
      <c r="BP826" s="90"/>
    </row>
    <row r="827" spans="1:68" ht="9.7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c r="BB827" s="90"/>
      <c r="BC827" s="90"/>
      <c r="BD827" s="90"/>
      <c r="BE827" s="90"/>
      <c r="BF827" s="90"/>
      <c r="BG827" s="90"/>
      <c r="BH827" s="90"/>
      <c r="BI827" s="90"/>
      <c r="BJ827" s="90"/>
      <c r="BK827" s="90"/>
      <c r="BL827" s="90"/>
      <c r="BM827" s="90"/>
      <c r="BN827" s="90"/>
      <c r="BO827" s="90"/>
      <c r="BP827" s="90"/>
    </row>
    <row r="828" spans="1:68" ht="9.7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c r="BB828" s="90"/>
      <c r="BC828" s="90"/>
      <c r="BD828" s="90"/>
      <c r="BE828" s="90"/>
      <c r="BF828" s="90"/>
      <c r="BG828" s="90"/>
      <c r="BH828" s="90"/>
      <c r="BI828" s="90"/>
      <c r="BJ828" s="90"/>
      <c r="BK828" s="90"/>
      <c r="BL828" s="90"/>
      <c r="BM828" s="90"/>
      <c r="BN828" s="90"/>
      <c r="BO828" s="90"/>
      <c r="BP828" s="90"/>
    </row>
    <row r="829" spans="1:68" ht="9.7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c r="AX829" s="90"/>
      <c r="AY829" s="90"/>
      <c r="AZ829" s="90"/>
      <c r="BA829" s="90"/>
      <c r="BB829" s="90"/>
      <c r="BC829" s="90"/>
      <c r="BD829" s="90"/>
      <c r="BE829" s="90"/>
      <c r="BF829" s="90"/>
      <c r="BG829" s="90"/>
      <c r="BH829" s="90"/>
      <c r="BI829" s="90"/>
      <c r="BJ829" s="90"/>
      <c r="BK829" s="90"/>
      <c r="BL829" s="90"/>
      <c r="BM829" s="90"/>
      <c r="BN829" s="90"/>
      <c r="BO829" s="90"/>
      <c r="BP829" s="90"/>
    </row>
    <row r="830" spans="1:68" ht="9.7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c r="AX830" s="90"/>
      <c r="AY830" s="90"/>
      <c r="AZ830" s="90"/>
      <c r="BA830" s="90"/>
      <c r="BB830" s="90"/>
      <c r="BC830" s="90"/>
      <c r="BD830" s="90"/>
      <c r="BE830" s="90"/>
      <c r="BF830" s="90"/>
      <c r="BG830" s="90"/>
      <c r="BH830" s="90"/>
      <c r="BI830" s="90"/>
      <c r="BJ830" s="90"/>
      <c r="BK830" s="90"/>
      <c r="BL830" s="90"/>
      <c r="BM830" s="90"/>
      <c r="BN830" s="90"/>
      <c r="BO830" s="90"/>
      <c r="BP830" s="90"/>
    </row>
    <row r="831" spans="1:68" ht="9.7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c r="BB831" s="90"/>
      <c r="BC831" s="90"/>
      <c r="BD831" s="90"/>
      <c r="BE831" s="90"/>
      <c r="BF831" s="90"/>
      <c r="BG831" s="90"/>
      <c r="BH831" s="90"/>
      <c r="BI831" s="90"/>
      <c r="BJ831" s="90"/>
      <c r="BK831" s="90"/>
      <c r="BL831" s="90"/>
      <c r="BM831" s="90"/>
      <c r="BN831" s="90"/>
      <c r="BO831" s="90"/>
      <c r="BP831" s="90"/>
    </row>
    <row r="832" spans="1:68" ht="9.7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c r="AX832" s="90"/>
      <c r="AY832" s="90"/>
      <c r="AZ832" s="90"/>
      <c r="BA832" s="90"/>
      <c r="BB832" s="90"/>
      <c r="BC832" s="90"/>
      <c r="BD832" s="90"/>
      <c r="BE832" s="90"/>
      <c r="BF832" s="90"/>
      <c r="BG832" s="90"/>
      <c r="BH832" s="90"/>
      <c r="BI832" s="90"/>
      <c r="BJ832" s="90"/>
      <c r="BK832" s="90"/>
      <c r="BL832" s="90"/>
      <c r="BM832" s="90"/>
      <c r="BN832" s="90"/>
      <c r="BO832" s="90"/>
      <c r="BP832" s="90"/>
    </row>
    <row r="833" spans="1:68" ht="9.7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c r="BB833" s="90"/>
      <c r="BC833" s="90"/>
      <c r="BD833" s="90"/>
      <c r="BE833" s="90"/>
      <c r="BF833" s="90"/>
      <c r="BG833" s="90"/>
      <c r="BH833" s="90"/>
      <c r="BI833" s="90"/>
      <c r="BJ833" s="90"/>
      <c r="BK833" s="90"/>
      <c r="BL833" s="90"/>
      <c r="BM833" s="90"/>
      <c r="BN833" s="90"/>
      <c r="BO833" s="90"/>
      <c r="BP833" s="90"/>
    </row>
    <row r="834" spans="1:68" ht="9.7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c r="BB834" s="90"/>
      <c r="BC834" s="90"/>
      <c r="BD834" s="90"/>
      <c r="BE834" s="90"/>
      <c r="BF834" s="90"/>
      <c r="BG834" s="90"/>
      <c r="BH834" s="90"/>
      <c r="BI834" s="90"/>
      <c r="BJ834" s="90"/>
      <c r="BK834" s="90"/>
      <c r="BL834" s="90"/>
      <c r="BM834" s="90"/>
      <c r="BN834" s="90"/>
      <c r="BO834" s="90"/>
      <c r="BP834" s="90"/>
    </row>
    <row r="835" spans="1:68" ht="9.7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c r="BK835" s="90"/>
      <c r="BL835" s="90"/>
      <c r="BM835" s="90"/>
      <c r="BN835" s="90"/>
      <c r="BO835" s="90"/>
      <c r="BP835" s="90"/>
    </row>
    <row r="836" spans="1:68" ht="9.7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c r="BB836" s="90"/>
      <c r="BC836" s="90"/>
      <c r="BD836" s="90"/>
      <c r="BE836" s="90"/>
      <c r="BF836" s="90"/>
      <c r="BG836" s="90"/>
      <c r="BH836" s="90"/>
      <c r="BI836" s="90"/>
      <c r="BJ836" s="90"/>
      <c r="BK836" s="90"/>
      <c r="BL836" s="90"/>
      <c r="BM836" s="90"/>
      <c r="BN836" s="90"/>
      <c r="BO836" s="90"/>
      <c r="BP836" s="90"/>
    </row>
    <row r="837" spans="1:68" ht="9.7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c r="BB837" s="90"/>
      <c r="BC837" s="90"/>
      <c r="BD837" s="90"/>
      <c r="BE837" s="90"/>
      <c r="BF837" s="90"/>
      <c r="BG837" s="90"/>
      <c r="BH837" s="90"/>
      <c r="BI837" s="90"/>
      <c r="BJ837" s="90"/>
      <c r="BK837" s="90"/>
      <c r="BL837" s="90"/>
      <c r="BM837" s="90"/>
      <c r="BN837" s="90"/>
      <c r="BO837" s="90"/>
      <c r="BP837" s="90"/>
    </row>
    <row r="838" spans="1:68" ht="9.7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c r="BK838" s="90"/>
      <c r="BL838" s="90"/>
      <c r="BM838" s="90"/>
      <c r="BN838" s="90"/>
      <c r="BO838" s="90"/>
      <c r="BP838" s="90"/>
    </row>
    <row r="839" spans="1:68" ht="9.7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c r="BB839" s="90"/>
      <c r="BC839" s="90"/>
      <c r="BD839" s="90"/>
      <c r="BE839" s="90"/>
      <c r="BF839" s="90"/>
      <c r="BG839" s="90"/>
      <c r="BH839" s="90"/>
      <c r="BI839" s="90"/>
      <c r="BJ839" s="90"/>
      <c r="BK839" s="90"/>
      <c r="BL839" s="90"/>
      <c r="BM839" s="90"/>
      <c r="BN839" s="90"/>
      <c r="BO839" s="90"/>
      <c r="BP839" s="90"/>
    </row>
    <row r="840" spans="1:68" ht="9.7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c r="BB840" s="90"/>
      <c r="BC840" s="90"/>
      <c r="BD840" s="90"/>
      <c r="BE840" s="90"/>
      <c r="BF840" s="90"/>
      <c r="BG840" s="90"/>
      <c r="BH840" s="90"/>
      <c r="BI840" s="90"/>
      <c r="BJ840" s="90"/>
      <c r="BK840" s="90"/>
      <c r="BL840" s="90"/>
      <c r="BM840" s="90"/>
      <c r="BN840" s="90"/>
      <c r="BO840" s="90"/>
      <c r="BP840" s="90"/>
    </row>
    <row r="841" spans="1:68" ht="9.7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c r="BF841" s="90"/>
      <c r="BG841" s="90"/>
      <c r="BH841" s="90"/>
      <c r="BI841" s="90"/>
      <c r="BJ841" s="90"/>
      <c r="BK841" s="90"/>
      <c r="BL841" s="90"/>
      <c r="BM841" s="90"/>
      <c r="BN841" s="90"/>
      <c r="BO841" s="90"/>
      <c r="BP841" s="90"/>
    </row>
    <row r="842" spans="1:68" ht="9.7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row>
    <row r="843" spans="1:68" ht="9.7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c r="BK843" s="90"/>
      <c r="BL843" s="90"/>
      <c r="BM843" s="90"/>
      <c r="BN843" s="90"/>
      <c r="BO843" s="90"/>
      <c r="BP843" s="90"/>
    </row>
    <row r="844" spans="1:68" ht="9.7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c r="AX844" s="90"/>
      <c r="AY844" s="90"/>
      <c r="AZ844" s="90"/>
      <c r="BA844" s="90"/>
      <c r="BB844" s="90"/>
      <c r="BC844" s="90"/>
      <c r="BD844" s="90"/>
      <c r="BE844" s="90"/>
      <c r="BF844" s="90"/>
      <c r="BG844" s="90"/>
      <c r="BH844" s="90"/>
      <c r="BI844" s="90"/>
      <c r="BJ844" s="90"/>
      <c r="BK844" s="90"/>
      <c r="BL844" s="90"/>
      <c r="BM844" s="90"/>
      <c r="BN844" s="90"/>
      <c r="BO844" s="90"/>
      <c r="BP844" s="90"/>
    </row>
    <row r="845" spans="1:68" ht="9.7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c r="AX845" s="90"/>
      <c r="AY845" s="90"/>
      <c r="AZ845" s="90"/>
      <c r="BA845" s="90"/>
      <c r="BB845" s="90"/>
      <c r="BC845" s="90"/>
      <c r="BD845" s="90"/>
      <c r="BE845" s="90"/>
      <c r="BF845" s="90"/>
      <c r="BG845" s="90"/>
      <c r="BH845" s="90"/>
      <c r="BI845" s="90"/>
      <c r="BJ845" s="90"/>
      <c r="BK845" s="90"/>
      <c r="BL845" s="90"/>
      <c r="BM845" s="90"/>
      <c r="BN845" s="90"/>
      <c r="BO845" s="90"/>
      <c r="BP845" s="90"/>
    </row>
    <row r="846" spans="1:68" ht="9.7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c r="BB846" s="90"/>
      <c r="BC846" s="90"/>
      <c r="BD846" s="90"/>
      <c r="BE846" s="90"/>
      <c r="BF846" s="90"/>
      <c r="BG846" s="90"/>
      <c r="BH846" s="90"/>
      <c r="BI846" s="90"/>
      <c r="BJ846" s="90"/>
      <c r="BK846" s="90"/>
      <c r="BL846" s="90"/>
      <c r="BM846" s="90"/>
      <c r="BN846" s="90"/>
      <c r="BO846" s="90"/>
      <c r="BP846" s="90"/>
    </row>
    <row r="847" spans="1:68" ht="9.7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c r="BB847" s="90"/>
      <c r="BC847" s="90"/>
      <c r="BD847" s="90"/>
      <c r="BE847" s="90"/>
      <c r="BF847" s="90"/>
      <c r="BG847" s="90"/>
      <c r="BH847" s="90"/>
      <c r="BI847" s="90"/>
      <c r="BJ847" s="90"/>
      <c r="BK847" s="90"/>
      <c r="BL847" s="90"/>
      <c r="BM847" s="90"/>
      <c r="BN847" s="90"/>
      <c r="BO847" s="90"/>
      <c r="BP847" s="90"/>
    </row>
    <row r="848" spans="1:68" ht="9.7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c r="BB848" s="90"/>
      <c r="BC848" s="90"/>
      <c r="BD848" s="90"/>
      <c r="BE848" s="90"/>
      <c r="BF848" s="90"/>
      <c r="BG848" s="90"/>
      <c r="BH848" s="90"/>
      <c r="BI848" s="90"/>
      <c r="BJ848" s="90"/>
      <c r="BK848" s="90"/>
      <c r="BL848" s="90"/>
      <c r="BM848" s="90"/>
      <c r="BN848" s="90"/>
      <c r="BO848" s="90"/>
      <c r="BP848" s="90"/>
    </row>
    <row r="849" spans="1:68" ht="9.7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c r="AX849" s="90"/>
      <c r="AY849" s="90"/>
      <c r="AZ849" s="90"/>
      <c r="BA849" s="90"/>
      <c r="BB849" s="90"/>
      <c r="BC849" s="90"/>
      <c r="BD849" s="90"/>
      <c r="BE849" s="90"/>
      <c r="BF849" s="90"/>
      <c r="BG849" s="90"/>
      <c r="BH849" s="90"/>
      <c r="BI849" s="90"/>
      <c r="BJ849" s="90"/>
      <c r="BK849" s="90"/>
      <c r="BL849" s="90"/>
      <c r="BM849" s="90"/>
      <c r="BN849" s="90"/>
      <c r="BO849" s="90"/>
      <c r="BP849" s="90"/>
    </row>
    <row r="850" spans="1:68" ht="9.7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c r="BB850" s="90"/>
      <c r="BC850" s="90"/>
      <c r="BD850" s="90"/>
      <c r="BE850" s="90"/>
      <c r="BF850" s="90"/>
      <c r="BG850" s="90"/>
      <c r="BH850" s="90"/>
      <c r="BI850" s="90"/>
      <c r="BJ850" s="90"/>
      <c r="BK850" s="90"/>
      <c r="BL850" s="90"/>
      <c r="BM850" s="90"/>
      <c r="BN850" s="90"/>
      <c r="BO850" s="90"/>
      <c r="BP850" s="90"/>
    </row>
    <row r="851" spans="1:68" ht="9.7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c r="AX851" s="90"/>
      <c r="AY851" s="90"/>
      <c r="AZ851" s="90"/>
      <c r="BA851" s="90"/>
      <c r="BB851" s="90"/>
      <c r="BC851" s="90"/>
      <c r="BD851" s="90"/>
      <c r="BE851" s="90"/>
      <c r="BF851" s="90"/>
      <c r="BG851" s="90"/>
      <c r="BH851" s="90"/>
      <c r="BI851" s="90"/>
      <c r="BJ851" s="90"/>
      <c r="BK851" s="90"/>
      <c r="BL851" s="90"/>
      <c r="BM851" s="90"/>
      <c r="BN851" s="90"/>
      <c r="BO851" s="90"/>
      <c r="BP851" s="90"/>
    </row>
    <row r="852" spans="1:68" ht="9.7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c r="BB852" s="90"/>
      <c r="BC852" s="90"/>
      <c r="BD852" s="90"/>
      <c r="BE852" s="90"/>
      <c r="BF852" s="90"/>
      <c r="BG852" s="90"/>
      <c r="BH852" s="90"/>
      <c r="BI852" s="90"/>
      <c r="BJ852" s="90"/>
      <c r="BK852" s="90"/>
      <c r="BL852" s="90"/>
      <c r="BM852" s="90"/>
      <c r="BN852" s="90"/>
      <c r="BO852" s="90"/>
      <c r="BP852" s="90"/>
    </row>
    <row r="853" spans="1:68" ht="9.7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c r="AX853" s="90"/>
      <c r="AY853" s="90"/>
      <c r="AZ853" s="90"/>
      <c r="BA853" s="90"/>
      <c r="BB853" s="90"/>
      <c r="BC853" s="90"/>
      <c r="BD853" s="90"/>
      <c r="BE853" s="90"/>
      <c r="BF853" s="90"/>
      <c r="BG853" s="90"/>
      <c r="BH853" s="90"/>
      <c r="BI853" s="90"/>
      <c r="BJ853" s="90"/>
      <c r="BK853" s="90"/>
      <c r="BL853" s="90"/>
      <c r="BM853" s="90"/>
      <c r="BN853" s="90"/>
      <c r="BO853" s="90"/>
      <c r="BP853" s="90"/>
    </row>
    <row r="854" spans="1:68" ht="9.7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c r="AX854" s="90"/>
      <c r="AY854" s="90"/>
      <c r="AZ854" s="90"/>
      <c r="BA854" s="90"/>
      <c r="BB854" s="90"/>
      <c r="BC854" s="90"/>
      <c r="BD854" s="90"/>
      <c r="BE854" s="90"/>
      <c r="BF854" s="90"/>
      <c r="BG854" s="90"/>
      <c r="BH854" s="90"/>
      <c r="BI854" s="90"/>
      <c r="BJ854" s="90"/>
      <c r="BK854" s="90"/>
      <c r="BL854" s="90"/>
      <c r="BM854" s="90"/>
      <c r="BN854" s="90"/>
      <c r="BO854" s="90"/>
      <c r="BP854" s="90"/>
    </row>
    <row r="855" spans="1:68" ht="9.7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c r="AX855" s="90"/>
      <c r="AY855" s="90"/>
      <c r="AZ855" s="90"/>
      <c r="BA855" s="90"/>
      <c r="BB855" s="90"/>
      <c r="BC855" s="90"/>
      <c r="BD855" s="90"/>
      <c r="BE855" s="90"/>
      <c r="BF855" s="90"/>
      <c r="BG855" s="90"/>
      <c r="BH855" s="90"/>
      <c r="BI855" s="90"/>
      <c r="BJ855" s="90"/>
      <c r="BK855" s="90"/>
      <c r="BL855" s="90"/>
      <c r="BM855" s="90"/>
      <c r="BN855" s="90"/>
      <c r="BO855" s="90"/>
      <c r="BP855" s="90"/>
    </row>
    <row r="856" spans="1:68" ht="9.7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c r="AX856" s="90"/>
      <c r="AY856" s="90"/>
      <c r="AZ856" s="90"/>
      <c r="BA856" s="90"/>
      <c r="BB856" s="90"/>
      <c r="BC856" s="90"/>
      <c r="BD856" s="90"/>
      <c r="BE856" s="90"/>
      <c r="BF856" s="90"/>
      <c r="BG856" s="90"/>
      <c r="BH856" s="90"/>
      <c r="BI856" s="90"/>
      <c r="BJ856" s="90"/>
      <c r="BK856" s="90"/>
      <c r="BL856" s="90"/>
      <c r="BM856" s="90"/>
      <c r="BN856" s="90"/>
      <c r="BO856" s="90"/>
      <c r="BP856" s="90"/>
    </row>
    <row r="857" spans="1:68" ht="9.7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c r="AX857" s="90"/>
      <c r="AY857" s="90"/>
      <c r="AZ857" s="90"/>
      <c r="BA857" s="90"/>
      <c r="BB857" s="90"/>
      <c r="BC857" s="90"/>
      <c r="BD857" s="90"/>
      <c r="BE857" s="90"/>
      <c r="BF857" s="90"/>
      <c r="BG857" s="90"/>
      <c r="BH857" s="90"/>
      <c r="BI857" s="90"/>
      <c r="BJ857" s="90"/>
      <c r="BK857" s="90"/>
      <c r="BL857" s="90"/>
      <c r="BM857" s="90"/>
      <c r="BN857" s="90"/>
      <c r="BO857" s="90"/>
      <c r="BP857" s="90"/>
    </row>
    <row r="858" spans="1:68" ht="9.7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c r="AX858" s="90"/>
      <c r="AY858" s="90"/>
      <c r="AZ858" s="90"/>
      <c r="BA858" s="90"/>
      <c r="BB858" s="90"/>
      <c r="BC858" s="90"/>
      <c r="BD858" s="90"/>
      <c r="BE858" s="90"/>
      <c r="BF858" s="90"/>
      <c r="BG858" s="90"/>
      <c r="BH858" s="90"/>
      <c r="BI858" s="90"/>
      <c r="BJ858" s="90"/>
      <c r="BK858" s="90"/>
      <c r="BL858" s="90"/>
      <c r="BM858" s="90"/>
      <c r="BN858" s="90"/>
      <c r="BO858" s="90"/>
      <c r="BP858" s="90"/>
    </row>
    <row r="859" spans="1:68" ht="9.7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c r="AX859" s="90"/>
      <c r="AY859" s="90"/>
      <c r="AZ859" s="90"/>
      <c r="BA859" s="90"/>
      <c r="BB859" s="90"/>
      <c r="BC859" s="90"/>
      <c r="BD859" s="90"/>
      <c r="BE859" s="90"/>
      <c r="BF859" s="90"/>
      <c r="BG859" s="90"/>
      <c r="BH859" s="90"/>
      <c r="BI859" s="90"/>
      <c r="BJ859" s="90"/>
      <c r="BK859" s="90"/>
      <c r="BL859" s="90"/>
      <c r="BM859" s="90"/>
      <c r="BN859" s="90"/>
      <c r="BO859" s="90"/>
      <c r="BP859" s="90"/>
    </row>
    <row r="860" spans="1:68" ht="9.7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c r="BB860" s="90"/>
      <c r="BC860" s="90"/>
      <c r="BD860" s="90"/>
      <c r="BE860" s="90"/>
      <c r="BF860" s="90"/>
      <c r="BG860" s="90"/>
      <c r="BH860" s="90"/>
      <c r="BI860" s="90"/>
      <c r="BJ860" s="90"/>
      <c r="BK860" s="90"/>
      <c r="BL860" s="90"/>
      <c r="BM860" s="90"/>
      <c r="BN860" s="90"/>
      <c r="BO860" s="90"/>
      <c r="BP860" s="90"/>
    </row>
    <row r="861" spans="1:68" ht="9.7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c r="AX861" s="90"/>
      <c r="AY861" s="90"/>
      <c r="AZ861" s="90"/>
      <c r="BA861" s="90"/>
      <c r="BB861" s="90"/>
      <c r="BC861" s="90"/>
      <c r="BD861" s="90"/>
      <c r="BE861" s="90"/>
      <c r="BF861" s="90"/>
      <c r="BG861" s="90"/>
      <c r="BH861" s="90"/>
      <c r="BI861" s="90"/>
      <c r="BJ861" s="90"/>
      <c r="BK861" s="90"/>
      <c r="BL861" s="90"/>
      <c r="BM861" s="90"/>
      <c r="BN861" s="90"/>
      <c r="BO861" s="90"/>
      <c r="BP861" s="90"/>
    </row>
    <row r="862" spans="1:68" ht="9.7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c r="AX862" s="90"/>
      <c r="AY862" s="90"/>
      <c r="AZ862" s="90"/>
      <c r="BA862" s="90"/>
      <c r="BB862" s="90"/>
      <c r="BC862" s="90"/>
      <c r="BD862" s="90"/>
      <c r="BE862" s="90"/>
      <c r="BF862" s="90"/>
      <c r="BG862" s="90"/>
      <c r="BH862" s="90"/>
      <c r="BI862" s="90"/>
      <c r="BJ862" s="90"/>
      <c r="BK862" s="90"/>
      <c r="BL862" s="90"/>
      <c r="BM862" s="90"/>
      <c r="BN862" s="90"/>
      <c r="BO862" s="90"/>
      <c r="BP862" s="90"/>
    </row>
    <row r="863" spans="1:68" ht="9.7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c r="AX863" s="90"/>
      <c r="AY863" s="90"/>
      <c r="AZ863" s="90"/>
      <c r="BA863" s="90"/>
      <c r="BB863" s="90"/>
      <c r="BC863" s="90"/>
      <c r="BD863" s="90"/>
      <c r="BE863" s="90"/>
      <c r="BF863" s="90"/>
      <c r="BG863" s="90"/>
      <c r="BH863" s="90"/>
      <c r="BI863" s="90"/>
      <c r="BJ863" s="90"/>
      <c r="BK863" s="90"/>
      <c r="BL863" s="90"/>
      <c r="BM863" s="90"/>
      <c r="BN863" s="90"/>
      <c r="BO863" s="90"/>
      <c r="BP863" s="90"/>
    </row>
    <row r="864" spans="1:68" ht="9.7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c r="AX864" s="90"/>
      <c r="AY864" s="90"/>
      <c r="AZ864" s="90"/>
      <c r="BA864" s="90"/>
      <c r="BB864" s="90"/>
      <c r="BC864" s="90"/>
      <c r="BD864" s="90"/>
      <c r="BE864" s="90"/>
      <c r="BF864" s="90"/>
      <c r="BG864" s="90"/>
      <c r="BH864" s="90"/>
      <c r="BI864" s="90"/>
      <c r="BJ864" s="90"/>
      <c r="BK864" s="90"/>
      <c r="BL864" s="90"/>
      <c r="BM864" s="90"/>
      <c r="BN864" s="90"/>
      <c r="BO864" s="90"/>
      <c r="BP864" s="90"/>
    </row>
    <row r="865" spans="1:68" ht="9.7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c r="AX865" s="90"/>
      <c r="AY865" s="90"/>
      <c r="AZ865" s="90"/>
      <c r="BA865" s="90"/>
      <c r="BB865" s="90"/>
      <c r="BC865" s="90"/>
      <c r="BD865" s="90"/>
      <c r="BE865" s="90"/>
      <c r="BF865" s="90"/>
      <c r="BG865" s="90"/>
      <c r="BH865" s="90"/>
      <c r="BI865" s="90"/>
      <c r="BJ865" s="90"/>
      <c r="BK865" s="90"/>
      <c r="BL865" s="90"/>
      <c r="BM865" s="90"/>
      <c r="BN865" s="90"/>
      <c r="BO865" s="90"/>
      <c r="BP865" s="90"/>
    </row>
    <row r="866" spans="1:68" ht="9.7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c r="AX866" s="90"/>
      <c r="AY866" s="90"/>
      <c r="AZ866" s="90"/>
      <c r="BA866" s="90"/>
      <c r="BB866" s="90"/>
      <c r="BC866" s="90"/>
      <c r="BD866" s="90"/>
      <c r="BE866" s="90"/>
      <c r="BF866" s="90"/>
      <c r="BG866" s="90"/>
      <c r="BH866" s="90"/>
      <c r="BI866" s="90"/>
      <c r="BJ866" s="90"/>
      <c r="BK866" s="90"/>
      <c r="BL866" s="90"/>
      <c r="BM866" s="90"/>
      <c r="BN866" s="90"/>
      <c r="BO866" s="90"/>
      <c r="BP866" s="90"/>
    </row>
    <row r="867" spans="1:68" ht="9.7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c r="BB867" s="90"/>
      <c r="BC867" s="90"/>
      <c r="BD867" s="90"/>
      <c r="BE867" s="90"/>
      <c r="BF867" s="90"/>
      <c r="BG867" s="90"/>
      <c r="BH867" s="90"/>
      <c r="BI867" s="90"/>
      <c r="BJ867" s="90"/>
      <c r="BK867" s="90"/>
      <c r="BL867" s="90"/>
      <c r="BM867" s="90"/>
      <c r="BN867" s="90"/>
      <c r="BO867" s="90"/>
      <c r="BP867" s="90"/>
    </row>
    <row r="868" spans="1:68" ht="9.7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c r="BF868" s="90"/>
      <c r="BG868" s="90"/>
      <c r="BH868" s="90"/>
      <c r="BI868" s="90"/>
      <c r="BJ868" s="90"/>
      <c r="BK868" s="90"/>
      <c r="BL868" s="90"/>
      <c r="BM868" s="90"/>
      <c r="BN868" s="90"/>
      <c r="BO868" s="90"/>
      <c r="BP868" s="90"/>
    </row>
    <row r="869" spans="1:68" ht="9.7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c r="BB869" s="90"/>
      <c r="BC869" s="90"/>
      <c r="BD869" s="90"/>
      <c r="BE869" s="90"/>
      <c r="BF869" s="90"/>
      <c r="BG869" s="90"/>
      <c r="BH869" s="90"/>
      <c r="BI869" s="90"/>
      <c r="BJ869" s="90"/>
      <c r="BK869" s="90"/>
      <c r="BL869" s="90"/>
      <c r="BM869" s="90"/>
      <c r="BN869" s="90"/>
      <c r="BO869" s="90"/>
      <c r="BP869" s="90"/>
    </row>
    <row r="870" spans="1:68" ht="9.7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c r="BB870" s="90"/>
      <c r="BC870" s="90"/>
      <c r="BD870" s="90"/>
      <c r="BE870" s="90"/>
      <c r="BF870" s="90"/>
      <c r="BG870" s="90"/>
      <c r="BH870" s="90"/>
      <c r="BI870" s="90"/>
      <c r="BJ870" s="90"/>
      <c r="BK870" s="90"/>
      <c r="BL870" s="90"/>
      <c r="BM870" s="90"/>
      <c r="BN870" s="90"/>
      <c r="BO870" s="90"/>
      <c r="BP870" s="90"/>
    </row>
    <row r="871" spans="1:68" ht="9.7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c r="AX871" s="90"/>
      <c r="AY871" s="90"/>
      <c r="AZ871" s="90"/>
      <c r="BA871" s="90"/>
      <c r="BB871" s="90"/>
      <c r="BC871" s="90"/>
      <c r="BD871" s="90"/>
      <c r="BE871" s="90"/>
      <c r="BF871" s="90"/>
      <c r="BG871" s="90"/>
      <c r="BH871" s="90"/>
      <c r="BI871" s="90"/>
      <c r="BJ871" s="90"/>
      <c r="BK871" s="90"/>
      <c r="BL871" s="90"/>
      <c r="BM871" s="90"/>
      <c r="BN871" s="90"/>
      <c r="BO871" s="90"/>
      <c r="BP871" s="90"/>
    </row>
    <row r="872" spans="1:68" ht="9.7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c r="AX872" s="90"/>
      <c r="AY872" s="90"/>
      <c r="AZ872" s="90"/>
      <c r="BA872" s="90"/>
      <c r="BB872" s="90"/>
      <c r="BC872" s="90"/>
      <c r="BD872" s="90"/>
      <c r="BE872" s="90"/>
      <c r="BF872" s="90"/>
      <c r="BG872" s="90"/>
      <c r="BH872" s="90"/>
      <c r="BI872" s="90"/>
      <c r="BJ872" s="90"/>
      <c r="BK872" s="90"/>
      <c r="BL872" s="90"/>
      <c r="BM872" s="90"/>
      <c r="BN872" s="90"/>
      <c r="BO872" s="90"/>
      <c r="BP872" s="90"/>
    </row>
    <row r="873" spans="1:68" ht="9.7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90"/>
      <c r="BJ873" s="90"/>
      <c r="BK873" s="90"/>
      <c r="BL873" s="90"/>
      <c r="BM873" s="90"/>
      <c r="BN873" s="90"/>
      <c r="BO873" s="90"/>
      <c r="BP873" s="90"/>
    </row>
    <row r="874" spans="1:68" ht="9.7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c r="BF874" s="90"/>
      <c r="BG874" s="90"/>
      <c r="BH874" s="90"/>
      <c r="BI874" s="90"/>
      <c r="BJ874" s="90"/>
      <c r="BK874" s="90"/>
      <c r="BL874" s="90"/>
      <c r="BM874" s="90"/>
      <c r="BN874" s="90"/>
      <c r="BO874" s="90"/>
      <c r="BP874" s="90"/>
    </row>
    <row r="875" spans="1:68" ht="9.7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c r="AX875" s="90"/>
      <c r="AY875" s="90"/>
      <c r="AZ875" s="90"/>
      <c r="BA875" s="90"/>
      <c r="BB875" s="90"/>
      <c r="BC875" s="90"/>
      <c r="BD875" s="90"/>
      <c r="BE875" s="90"/>
      <c r="BF875" s="90"/>
      <c r="BG875" s="90"/>
      <c r="BH875" s="90"/>
      <c r="BI875" s="90"/>
      <c r="BJ875" s="90"/>
      <c r="BK875" s="90"/>
      <c r="BL875" s="90"/>
      <c r="BM875" s="90"/>
      <c r="BN875" s="90"/>
      <c r="BO875" s="90"/>
      <c r="BP875" s="90"/>
    </row>
    <row r="876" spans="1:68" ht="9.7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90"/>
      <c r="BH876" s="90"/>
      <c r="BI876" s="90"/>
      <c r="BJ876" s="90"/>
      <c r="BK876" s="90"/>
      <c r="BL876" s="90"/>
      <c r="BM876" s="90"/>
      <c r="BN876" s="90"/>
      <c r="BO876" s="90"/>
      <c r="BP876" s="90"/>
    </row>
    <row r="877" spans="1:68" ht="9.7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row>
    <row r="878" spans="1:68" ht="9.7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c r="BF878" s="90"/>
      <c r="BG878" s="90"/>
      <c r="BH878" s="90"/>
      <c r="BI878" s="90"/>
      <c r="BJ878" s="90"/>
      <c r="BK878" s="90"/>
      <c r="BL878" s="90"/>
      <c r="BM878" s="90"/>
      <c r="BN878" s="90"/>
      <c r="BO878" s="90"/>
      <c r="BP878" s="90"/>
    </row>
    <row r="879" spans="1:68" ht="9.7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c r="AX879" s="90"/>
      <c r="AY879" s="90"/>
      <c r="AZ879" s="90"/>
      <c r="BA879" s="90"/>
      <c r="BB879" s="90"/>
      <c r="BC879" s="90"/>
      <c r="BD879" s="90"/>
      <c r="BE879" s="90"/>
      <c r="BF879" s="90"/>
      <c r="BG879" s="90"/>
      <c r="BH879" s="90"/>
      <c r="BI879" s="90"/>
      <c r="BJ879" s="90"/>
      <c r="BK879" s="90"/>
      <c r="BL879" s="90"/>
      <c r="BM879" s="90"/>
      <c r="BN879" s="90"/>
      <c r="BO879" s="90"/>
      <c r="BP879" s="90"/>
    </row>
    <row r="880" spans="1:68" ht="9.7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c r="AX880" s="90"/>
      <c r="AY880" s="90"/>
      <c r="AZ880" s="90"/>
      <c r="BA880" s="90"/>
      <c r="BB880" s="90"/>
      <c r="BC880" s="90"/>
      <c r="BD880" s="90"/>
      <c r="BE880" s="90"/>
      <c r="BF880" s="90"/>
      <c r="BG880" s="90"/>
      <c r="BH880" s="90"/>
      <c r="BI880" s="90"/>
      <c r="BJ880" s="90"/>
      <c r="BK880" s="90"/>
      <c r="BL880" s="90"/>
      <c r="BM880" s="90"/>
      <c r="BN880" s="90"/>
      <c r="BO880" s="90"/>
      <c r="BP880" s="90"/>
    </row>
    <row r="881" spans="1:68" ht="9.7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c r="AX881" s="90"/>
      <c r="AY881" s="90"/>
      <c r="AZ881" s="90"/>
      <c r="BA881" s="90"/>
      <c r="BB881" s="90"/>
      <c r="BC881" s="90"/>
      <c r="BD881" s="90"/>
      <c r="BE881" s="90"/>
      <c r="BF881" s="90"/>
      <c r="BG881" s="90"/>
      <c r="BH881" s="90"/>
      <c r="BI881" s="90"/>
      <c r="BJ881" s="90"/>
      <c r="BK881" s="90"/>
      <c r="BL881" s="90"/>
      <c r="BM881" s="90"/>
      <c r="BN881" s="90"/>
      <c r="BO881" s="90"/>
      <c r="BP881" s="90"/>
    </row>
    <row r="882" spans="1:68" ht="9.7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c r="AX882" s="90"/>
      <c r="AY882" s="90"/>
      <c r="AZ882" s="90"/>
      <c r="BA882" s="90"/>
      <c r="BB882" s="90"/>
      <c r="BC882" s="90"/>
      <c r="BD882" s="90"/>
      <c r="BE882" s="90"/>
      <c r="BF882" s="90"/>
      <c r="BG882" s="90"/>
      <c r="BH882" s="90"/>
      <c r="BI882" s="90"/>
      <c r="BJ882" s="90"/>
      <c r="BK882" s="90"/>
      <c r="BL882" s="90"/>
      <c r="BM882" s="90"/>
      <c r="BN882" s="90"/>
      <c r="BO882" s="90"/>
      <c r="BP882" s="90"/>
    </row>
    <row r="883" spans="1:68" ht="9.7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c r="AX883" s="90"/>
      <c r="AY883" s="90"/>
      <c r="AZ883" s="90"/>
      <c r="BA883" s="90"/>
      <c r="BB883" s="90"/>
      <c r="BC883" s="90"/>
      <c r="BD883" s="90"/>
      <c r="BE883" s="90"/>
      <c r="BF883" s="90"/>
      <c r="BG883" s="90"/>
      <c r="BH883" s="90"/>
      <c r="BI883" s="90"/>
      <c r="BJ883" s="90"/>
      <c r="BK883" s="90"/>
      <c r="BL883" s="90"/>
      <c r="BM883" s="90"/>
      <c r="BN883" s="90"/>
      <c r="BO883" s="90"/>
      <c r="BP883" s="90"/>
    </row>
    <row r="884" spans="1:68" ht="9.7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c r="AX884" s="90"/>
      <c r="AY884" s="90"/>
      <c r="AZ884" s="90"/>
      <c r="BA884" s="90"/>
      <c r="BB884" s="90"/>
      <c r="BC884" s="90"/>
      <c r="BD884" s="90"/>
      <c r="BE884" s="90"/>
      <c r="BF884" s="90"/>
      <c r="BG884" s="90"/>
      <c r="BH884" s="90"/>
      <c r="BI884" s="90"/>
      <c r="BJ884" s="90"/>
      <c r="BK884" s="90"/>
      <c r="BL884" s="90"/>
      <c r="BM884" s="90"/>
      <c r="BN884" s="90"/>
      <c r="BO884" s="90"/>
      <c r="BP884" s="90"/>
    </row>
    <row r="885" spans="1:68" ht="9.7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c r="AX885" s="90"/>
      <c r="AY885" s="90"/>
      <c r="AZ885" s="90"/>
      <c r="BA885" s="90"/>
      <c r="BB885" s="90"/>
      <c r="BC885" s="90"/>
      <c r="BD885" s="90"/>
      <c r="BE885" s="90"/>
      <c r="BF885" s="90"/>
      <c r="BG885" s="90"/>
      <c r="BH885" s="90"/>
      <c r="BI885" s="90"/>
      <c r="BJ885" s="90"/>
      <c r="BK885" s="90"/>
      <c r="BL885" s="90"/>
      <c r="BM885" s="90"/>
      <c r="BN885" s="90"/>
      <c r="BO885" s="90"/>
      <c r="BP885" s="90"/>
    </row>
    <row r="886" spans="1:68" ht="9.7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c r="AX886" s="90"/>
      <c r="AY886" s="90"/>
      <c r="AZ886" s="90"/>
      <c r="BA886" s="90"/>
      <c r="BB886" s="90"/>
      <c r="BC886" s="90"/>
      <c r="BD886" s="90"/>
      <c r="BE886" s="90"/>
      <c r="BF886" s="90"/>
      <c r="BG886" s="90"/>
      <c r="BH886" s="90"/>
      <c r="BI886" s="90"/>
      <c r="BJ886" s="90"/>
      <c r="BK886" s="90"/>
      <c r="BL886" s="90"/>
      <c r="BM886" s="90"/>
      <c r="BN886" s="90"/>
      <c r="BO886" s="90"/>
      <c r="BP886" s="90"/>
    </row>
    <row r="887" spans="1:68" ht="9.7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c r="AX887" s="90"/>
      <c r="AY887" s="90"/>
      <c r="AZ887" s="90"/>
      <c r="BA887" s="90"/>
      <c r="BB887" s="90"/>
      <c r="BC887" s="90"/>
      <c r="BD887" s="90"/>
      <c r="BE887" s="90"/>
      <c r="BF887" s="90"/>
      <c r="BG887" s="90"/>
      <c r="BH887" s="90"/>
      <c r="BI887" s="90"/>
      <c r="BJ887" s="90"/>
      <c r="BK887" s="90"/>
      <c r="BL887" s="90"/>
      <c r="BM887" s="90"/>
      <c r="BN887" s="90"/>
      <c r="BO887" s="90"/>
      <c r="BP887" s="90"/>
    </row>
    <row r="888" spans="1:68" ht="9.7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c r="AX888" s="90"/>
      <c r="AY888" s="90"/>
      <c r="AZ888" s="90"/>
      <c r="BA888" s="90"/>
      <c r="BB888" s="90"/>
      <c r="BC888" s="90"/>
      <c r="BD888" s="90"/>
      <c r="BE888" s="90"/>
      <c r="BF888" s="90"/>
      <c r="BG888" s="90"/>
      <c r="BH888" s="90"/>
      <c r="BI888" s="90"/>
      <c r="BJ888" s="90"/>
      <c r="BK888" s="90"/>
      <c r="BL888" s="90"/>
      <c r="BM888" s="90"/>
      <c r="BN888" s="90"/>
      <c r="BO888" s="90"/>
      <c r="BP888" s="90"/>
    </row>
    <row r="889" spans="1:68" ht="9.7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c r="AX889" s="90"/>
      <c r="AY889" s="90"/>
      <c r="AZ889" s="90"/>
      <c r="BA889" s="90"/>
      <c r="BB889" s="90"/>
      <c r="BC889" s="90"/>
      <c r="BD889" s="90"/>
      <c r="BE889" s="90"/>
      <c r="BF889" s="90"/>
      <c r="BG889" s="90"/>
      <c r="BH889" s="90"/>
      <c r="BI889" s="90"/>
      <c r="BJ889" s="90"/>
      <c r="BK889" s="90"/>
      <c r="BL889" s="90"/>
      <c r="BM889" s="90"/>
      <c r="BN889" s="90"/>
      <c r="BO889" s="90"/>
      <c r="BP889" s="90"/>
    </row>
    <row r="890" spans="1:68" ht="9.7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c r="AX890" s="90"/>
      <c r="AY890" s="90"/>
      <c r="AZ890" s="90"/>
      <c r="BA890" s="90"/>
      <c r="BB890" s="90"/>
      <c r="BC890" s="90"/>
      <c r="BD890" s="90"/>
      <c r="BE890" s="90"/>
      <c r="BF890" s="90"/>
      <c r="BG890" s="90"/>
      <c r="BH890" s="90"/>
      <c r="BI890" s="90"/>
      <c r="BJ890" s="90"/>
      <c r="BK890" s="90"/>
      <c r="BL890" s="90"/>
      <c r="BM890" s="90"/>
      <c r="BN890" s="90"/>
      <c r="BO890" s="90"/>
      <c r="BP890" s="90"/>
    </row>
    <row r="891" spans="1:68" ht="9.7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c r="AX891" s="90"/>
      <c r="AY891" s="90"/>
      <c r="AZ891" s="90"/>
      <c r="BA891" s="90"/>
      <c r="BB891" s="90"/>
      <c r="BC891" s="90"/>
      <c r="BD891" s="90"/>
      <c r="BE891" s="90"/>
      <c r="BF891" s="90"/>
      <c r="BG891" s="90"/>
      <c r="BH891" s="90"/>
      <c r="BI891" s="90"/>
      <c r="BJ891" s="90"/>
      <c r="BK891" s="90"/>
      <c r="BL891" s="90"/>
      <c r="BM891" s="90"/>
      <c r="BN891" s="90"/>
      <c r="BO891" s="90"/>
      <c r="BP891" s="90"/>
    </row>
    <row r="892" spans="1:68" ht="9.7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c r="AX892" s="90"/>
      <c r="AY892" s="90"/>
      <c r="AZ892" s="90"/>
      <c r="BA892" s="90"/>
      <c r="BB892" s="90"/>
      <c r="BC892" s="90"/>
      <c r="BD892" s="90"/>
      <c r="BE892" s="90"/>
      <c r="BF892" s="90"/>
      <c r="BG892" s="90"/>
      <c r="BH892" s="90"/>
      <c r="BI892" s="90"/>
      <c r="BJ892" s="90"/>
      <c r="BK892" s="90"/>
      <c r="BL892" s="90"/>
      <c r="BM892" s="90"/>
      <c r="BN892" s="90"/>
      <c r="BO892" s="90"/>
      <c r="BP892" s="90"/>
    </row>
    <row r="893" spans="1:68" ht="9.7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c r="BB893" s="90"/>
      <c r="BC893" s="90"/>
      <c r="BD893" s="90"/>
      <c r="BE893" s="90"/>
      <c r="BF893" s="90"/>
      <c r="BG893" s="90"/>
      <c r="BH893" s="90"/>
      <c r="BI893" s="90"/>
      <c r="BJ893" s="90"/>
      <c r="BK893" s="90"/>
      <c r="BL893" s="90"/>
      <c r="BM893" s="90"/>
      <c r="BN893" s="90"/>
      <c r="BO893" s="90"/>
      <c r="BP893" s="90"/>
    </row>
    <row r="894" spans="1:68" ht="9.7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c r="AX894" s="90"/>
      <c r="AY894" s="90"/>
      <c r="AZ894" s="90"/>
      <c r="BA894" s="90"/>
      <c r="BB894" s="90"/>
      <c r="BC894" s="90"/>
      <c r="BD894" s="90"/>
      <c r="BE894" s="90"/>
      <c r="BF894" s="90"/>
      <c r="BG894" s="90"/>
      <c r="BH894" s="90"/>
      <c r="BI894" s="90"/>
      <c r="BJ894" s="90"/>
      <c r="BK894" s="90"/>
      <c r="BL894" s="90"/>
      <c r="BM894" s="90"/>
      <c r="BN894" s="90"/>
      <c r="BO894" s="90"/>
      <c r="BP894" s="90"/>
    </row>
    <row r="895" spans="1:68" ht="9.7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c r="AX895" s="90"/>
      <c r="AY895" s="90"/>
      <c r="AZ895" s="90"/>
      <c r="BA895" s="90"/>
      <c r="BB895" s="90"/>
      <c r="BC895" s="90"/>
      <c r="BD895" s="90"/>
      <c r="BE895" s="90"/>
      <c r="BF895" s="90"/>
      <c r="BG895" s="90"/>
      <c r="BH895" s="90"/>
      <c r="BI895" s="90"/>
      <c r="BJ895" s="90"/>
      <c r="BK895" s="90"/>
      <c r="BL895" s="90"/>
      <c r="BM895" s="90"/>
      <c r="BN895" s="90"/>
      <c r="BO895" s="90"/>
      <c r="BP895" s="90"/>
    </row>
    <row r="896" spans="1:68" ht="9.7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c r="AX896" s="90"/>
      <c r="AY896" s="90"/>
      <c r="AZ896" s="90"/>
      <c r="BA896" s="90"/>
      <c r="BB896" s="90"/>
      <c r="BC896" s="90"/>
      <c r="BD896" s="90"/>
      <c r="BE896" s="90"/>
      <c r="BF896" s="90"/>
      <c r="BG896" s="90"/>
      <c r="BH896" s="90"/>
      <c r="BI896" s="90"/>
      <c r="BJ896" s="90"/>
      <c r="BK896" s="90"/>
      <c r="BL896" s="90"/>
      <c r="BM896" s="90"/>
      <c r="BN896" s="90"/>
      <c r="BO896" s="90"/>
      <c r="BP896" s="90"/>
    </row>
    <row r="897" spans="1:68" ht="9.7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c r="AX897" s="90"/>
      <c r="AY897" s="90"/>
      <c r="AZ897" s="90"/>
      <c r="BA897" s="90"/>
      <c r="BB897" s="90"/>
      <c r="BC897" s="90"/>
      <c r="BD897" s="90"/>
      <c r="BE897" s="90"/>
      <c r="BF897" s="90"/>
      <c r="BG897" s="90"/>
      <c r="BH897" s="90"/>
      <c r="BI897" s="90"/>
      <c r="BJ897" s="90"/>
      <c r="BK897" s="90"/>
      <c r="BL897" s="90"/>
      <c r="BM897" s="90"/>
      <c r="BN897" s="90"/>
      <c r="BO897" s="90"/>
      <c r="BP897" s="90"/>
    </row>
    <row r="898" spans="1:68" ht="9.7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c r="BB898" s="90"/>
      <c r="BC898" s="90"/>
      <c r="BD898" s="90"/>
      <c r="BE898" s="90"/>
      <c r="BF898" s="90"/>
      <c r="BG898" s="90"/>
      <c r="BH898" s="90"/>
      <c r="BI898" s="90"/>
      <c r="BJ898" s="90"/>
      <c r="BK898" s="90"/>
      <c r="BL898" s="90"/>
      <c r="BM898" s="90"/>
      <c r="BN898" s="90"/>
      <c r="BO898" s="90"/>
      <c r="BP898" s="90"/>
    </row>
    <row r="899" spans="1:68" ht="9.7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c r="AX899" s="90"/>
      <c r="AY899" s="90"/>
      <c r="AZ899" s="90"/>
      <c r="BA899" s="90"/>
      <c r="BB899" s="90"/>
      <c r="BC899" s="90"/>
      <c r="BD899" s="90"/>
      <c r="BE899" s="90"/>
      <c r="BF899" s="90"/>
      <c r="BG899" s="90"/>
      <c r="BH899" s="90"/>
      <c r="BI899" s="90"/>
      <c r="BJ899" s="90"/>
      <c r="BK899" s="90"/>
      <c r="BL899" s="90"/>
      <c r="BM899" s="90"/>
      <c r="BN899" s="90"/>
      <c r="BO899" s="90"/>
      <c r="BP899" s="90"/>
    </row>
    <row r="900" spans="1:68" ht="9.7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c r="BB900" s="90"/>
      <c r="BC900" s="90"/>
      <c r="BD900" s="90"/>
      <c r="BE900" s="90"/>
      <c r="BF900" s="90"/>
      <c r="BG900" s="90"/>
      <c r="BH900" s="90"/>
      <c r="BI900" s="90"/>
      <c r="BJ900" s="90"/>
      <c r="BK900" s="90"/>
      <c r="BL900" s="90"/>
      <c r="BM900" s="90"/>
      <c r="BN900" s="90"/>
      <c r="BO900" s="90"/>
      <c r="BP900" s="90"/>
    </row>
    <row r="901" spans="1:68" ht="9.7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c r="AX901" s="90"/>
      <c r="AY901" s="90"/>
      <c r="AZ901" s="90"/>
      <c r="BA901" s="90"/>
      <c r="BB901" s="90"/>
      <c r="BC901" s="90"/>
      <c r="BD901" s="90"/>
      <c r="BE901" s="90"/>
      <c r="BF901" s="90"/>
      <c r="BG901" s="90"/>
      <c r="BH901" s="90"/>
      <c r="BI901" s="90"/>
      <c r="BJ901" s="90"/>
      <c r="BK901" s="90"/>
      <c r="BL901" s="90"/>
      <c r="BM901" s="90"/>
      <c r="BN901" s="90"/>
      <c r="BO901" s="90"/>
      <c r="BP901" s="90"/>
    </row>
    <row r="902" spans="1:68" ht="9.7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c r="BB902" s="90"/>
      <c r="BC902" s="90"/>
      <c r="BD902" s="90"/>
      <c r="BE902" s="90"/>
      <c r="BF902" s="90"/>
      <c r="BG902" s="90"/>
      <c r="BH902" s="90"/>
      <c r="BI902" s="90"/>
      <c r="BJ902" s="90"/>
      <c r="BK902" s="90"/>
      <c r="BL902" s="90"/>
      <c r="BM902" s="90"/>
      <c r="BN902" s="90"/>
      <c r="BO902" s="90"/>
      <c r="BP902" s="90"/>
    </row>
    <row r="903" spans="1:68" ht="9.7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c r="AX903" s="90"/>
      <c r="AY903" s="90"/>
      <c r="AZ903" s="90"/>
      <c r="BA903" s="90"/>
      <c r="BB903" s="90"/>
      <c r="BC903" s="90"/>
      <c r="BD903" s="90"/>
      <c r="BE903" s="90"/>
      <c r="BF903" s="90"/>
      <c r="BG903" s="90"/>
      <c r="BH903" s="90"/>
      <c r="BI903" s="90"/>
      <c r="BJ903" s="90"/>
      <c r="BK903" s="90"/>
      <c r="BL903" s="90"/>
      <c r="BM903" s="90"/>
      <c r="BN903" s="90"/>
      <c r="BO903" s="90"/>
      <c r="BP903" s="90"/>
    </row>
    <row r="904" spans="1:68" ht="9.7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c r="BB904" s="90"/>
      <c r="BC904" s="90"/>
      <c r="BD904" s="90"/>
      <c r="BE904" s="90"/>
      <c r="BF904" s="90"/>
      <c r="BG904" s="90"/>
      <c r="BH904" s="90"/>
      <c r="BI904" s="90"/>
      <c r="BJ904" s="90"/>
      <c r="BK904" s="90"/>
      <c r="BL904" s="90"/>
      <c r="BM904" s="90"/>
      <c r="BN904" s="90"/>
      <c r="BO904" s="90"/>
      <c r="BP904" s="90"/>
    </row>
    <row r="905" spans="1:68" ht="9.7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c r="AX905" s="90"/>
      <c r="AY905" s="90"/>
      <c r="AZ905" s="90"/>
      <c r="BA905" s="90"/>
      <c r="BB905" s="90"/>
      <c r="BC905" s="90"/>
      <c r="BD905" s="90"/>
      <c r="BE905" s="90"/>
      <c r="BF905" s="90"/>
      <c r="BG905" s="90"/>
      <c r="BH905" s="90"/>
      <c r="BI905" s="90"/>
      <c r="BJ905" s="90"/>
      <c r="BK905" s="90"/>
      <c r="BL905" s="90"/>
      <c r="BM905" s="90"/>
      <c r="BN905" s="90"/>
      <c r="BO905" s="90"/>
      <c r="BP905" s="90"/>
    </row>
    <row r="906" spans="1:68" ht="9.7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c r="AX906" s="90"/>
      <c r="AY906" s="90"/>
      <c r="AZ906" s="90"/>
      <c r="BA906" s="90"/>
      <c r="BB906" s="90"/>
      <c r="BC906" s="90"/>
      <c r="BD906" s="90"/>
      <c r="BE906" s="90"/>
      <c r="BF906" s="90"/>
      <c r="BG906" s="90"/>
      <c r="BH906" s="90"/>
      <c r="BI906" s="90"/>
      <c r="BJ906" s="90"/>
      <c r="BK906" s="90"/>
      <c r="BL906" s="90"/>
      <c r="BM906" s="90"/>
      <c r="BN906" s="90"/>
      <c r="BO906" s="90"/>
      <c r="BP906" s="90"/>
    </row>
    <row r="907" spans="1:68" ht="9.7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c r="AX907" s="90"/>
      <c r="AY907" s="90"/>
      <c r="AZ907" s="90"/>
      <c r="BA907" s="90"/>
      <c r="BB907" s="90"/>
      <c r="BC907" s="90"/>
      <c r="BD907" s="90"/>
      <c r="BE907" s="90"/>
      <c r="BF907" s="90"/>
      <c r="BG907" s="90"/>
      <c r="BH907" s="90"/>
      <c r="BI907" s="90"/>
      <c r="BJ907" s="90"/>
      <c r="BK907" s="90"/>
      <c r="BL907" s="90"/>
      <c r="BM907" s="90"/>
      <c r="BN907" s="90"/>
      <c r="BO907" s="90"/>
      <c r="BP907" s="90"/>
    </row>
    <row r="908" spans="1:68" ht="9.7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c r="BB908" s="90"/>
      <c r="BC908" s="90"/>
      <c r="BD908" s="90"/>
      <c r="BE908" s="90"/>
      <c r="BF908" s="90"/>
      <c r="BG908" s="90"/>
      <c r="BH908" s="90"/>
      <c r="BI908" s="90"/>
      <c r="BJ908" s="90"/>
      <c r="BK908" s="90"/>
      <c r="BL908" s="90"/>
      <c r="BM908" s="90"/>
      <c r="BN908" s="90"/>
      <c r="BO908" s="90"/>
      <c r="BP908" s="90"/>
    </row>
    <row r="909" spans="1:68" ht="9.7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c r="AX909" s="90"/>
      <c r="AY909" s="90"/>
      <c r="AZ909" s="90"/>
      <c r="BA909" s="90"/>
      <c r="BB909" s="90"/>
      <c r="BC909" s="90"/>
      <c r="BD909" s="90"/>
      <c r="BE909" s="90"/>
      <c r="BF909" s="90"/>
      <c r="BG909" s="90"/>
      <c r="BH909" s="90"/>
      <c r="BI909" s="90"/>
      <c r="BJ909" s="90"/>
      <c r="BK909" s="90"/>
      <c r="BL909" s="90"/>
      <c r="BM909" s="90"/>
      <c r="BN909" s="90"/>
      <c r="BO909" s="90"/>
      <c r="BP909" s="90"/>
    </row>
    <row r="910" spans="1:68" ht="9.7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c r="AX910" s="90"/>
      <c r="AY910" s="90"/>
      <c r="AZ910" s="90"/>
      <c r="BA910" s="90"/>
      <c r="BB910" s="90"/>
      <c r="BC910" s="90"/>
      <c r="BD910" s="90"/>
      <c r="BE910" s="90"/>
      <c r="BF910" s="90"/>
      <c r="BG910" s="90"/>
      <c r="BH910" s="90"/>
      <c r="BI910" s="90"/>
      <c r="BJ910" s="90"/>
      <c r="BK910" s="90"/>
      <c r="BL910" s="90"/>
      <c r="BM910" s="90"/>
      <c r="BN910" s="90"/>
      <c r="BO910" s="90"/>
      <c r="BP910" s="90"/>
    </row>
    <row r="911" spans="1:68" ht="9.7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c r="BF911" s="90"/>
      <c r="BG911" s="90"/>
      <c r="BH911" s="90"/>
      <c r="BI911" s="90"/>
      <c r="BJ911" s="90"/>
      <c r="BK911" s="90"/>
      <c r="BL911" s="90"/>
      <c r="BM911" s="90"/>
      <c r="BN911" s="90"/>
      <c r="BO911" s="90"/>
      <c r="BP911" s="90"/>
    </row>
    <row r="912" spans="1:68" ht="9.7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row>
    <row r="913" spans="1:68" ht="9.7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c r="BP913" s="90"/>
    </row>
    <row r="914" spans="1:68" ht="9.7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c r="AX914" s="90"/>
      <c r="AY914" s="90"/>
      <c r="AZ914" s="90"/>
      <c r="BA914" s="90"/>
      <c r="BB914" s="90"/>
      <c r="BC914" s="90"/>
      <c r="BD914" s="90"/>
      <c r="BE914" s="90"/>
      <c r="BF914" s="90"/>
      <c r="BG914" s="90"/>
      <c r="BH914" s="90"/>
      <c r="BI914" s="90"/>
      <c r="BJ914" s="90"/>
      <c r="BK914" s="90"/>
      <c r="BL914" s="90"/>
      <c r="BM914" s="90"/>
      <c r="BN914" s="90"/>
      <c r="BO914" s="90"/>
      <c r="BP914" s="90"/>
    </row>
    <row r="915" spans="1:68" ht="9.7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c r="AX915" s="90"/>
      <c r="AY915" s="90"/>
      <c r="AZ915" s="90"/>
      <c r="BA915" s="90"/>
      <c r="BB915" s="90"/>
      <c r="BC915" s="90"/>
      <c r="BD915" s="90"/>
      <c r="BE915" s="90"/>
      <c r="BF915" s="90"/>
      <c r="BG915" s="90"/>
      <c r="BH915" s="90"/>
      <c r="BI915" s="90"/>
      <c r="BJ915" s="90"/>
      <c r="BK915" s="90"/>
      <c r="BL915" s="90"/>
      <c r="BM915" s="90"/>
      <c r="BN915" s="90"/>
      <c r="BO915" s="90"/>
      <c r="BP915" s="90"/>
    </row>
    <row r="916" spans="1:68" ht="9.7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c r="BB916" s="90"/>
      <c r="BC916" s="90"/>
      <c r="BD916" s="90"/>
      <c r="BE916" s="90"/>
      <c r="BF916" s="90"/>
      <c r="BG916" s="90"/>
      <c r="BH916" s="90"/>
      <c r="BI916" s="90"/>
      <c r="BJ916" s="90"/>
      <c r="BK916" s="90"/>
      <c r="BL916" s="90"/>
      <c r="BM916" s="90"/>
      <c r="BN916" s="90"/>
      <c r="BO916" s="90"/>
      <c r="BP916" s="90"/>
    </row>
    <row r="917" spans="1:68" ht="9.7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c r="AX917" s="90"/>
      <c r="AY917" s="90"/>
      <c r="AZ917" s="90"/>
      <c r="BA917" s="90"/>
      <c r="BB917" s="90"/>
      <c r="BC917" s="90"/>
      <c r="BD917" s="90"/>
      <c r="BE917" s="90"/>
      <c r="BF917" s="90"/>
      <c r="BG917" s="90"/>
      <c r="BH917" s="90"/>
      <c r="BI917" s="90"/>
      <c r="BJ917" s="90"/>
      <c r="BK917" s="90"/>
      <c r="BL917" s="90"/>
      <c r="BM917" s="90"/>
      <c r="BN917" s="90"/>
      <c r="BO917" s="90"/>
      <c r="BP917" s="90"/>
    </row>
    <row r="918" spans="1:68" ht="9.7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c r="BB918" s="90"/>
      <c r="BC918" s="90"/>
      <c r="BD918" s="90"/>
      <c r="BE918" s="90"/>
      <c r="BF918" s="90"/>
      <c r="BG918" s="90"/>
      <c r="BH918" s="90"/>
      <c r="BI918" s="90"/>
      <c r="BJ918" s="90"/>
      <c r="BK918" s="90"/>
      <c r="BL918" s="90"/>
      <c r="BM918" s="90"/>
      <c r="BN918" s="90"/>
      <c r="BO918" s="90"/>
      <c r="BP918" s="90"/>
    </row>
    <row r="919" spans="1:68" ht="9.7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c r="BB919" s="90"/>
      <c r="BC919" s="90"/>
      <c r="BD919" s="90"/>
      <c r="BE919" s="90"/>
      <c r="BF919" s="90"/>
      <c r="BG919" s="90"/>
      <c r="BH919" s="90"/>
      <c r="BI919" s="90"/>
      <c r="BJ919" s="90"/>
      <c r="BK919" s="90"/>
      <c r="BL919" s="90"/>
      <c r="BM919" s="90"/>
      <c r="BN919" s="90"/>
      <c r="BO919" s="90"/>
      <c r="BP919" s="90"/>
    </row>
    <row r="920" spans="1:68" ht="9.7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c r="BB920" s="90"/>
      <c r="BC920" s="90"/>
      <c r="BD920" s="90"/>
      <c r="BE920" s="90"/>
      <c r="BF920" s="90"/>
      <c r="BG920" s="90"/>
      <c r="BH920" s="90"/>
      <c r="BI920" s="90"/>
      <c r="BJ920" s="90"/>
      <c r="BK920" s="90"/>
      <c r="BL920" s="90"/>
      <c r="BM920" s="90"/>
      <c r="BN920" s="90"/>
      <c r="BO920" s="90"/>
      <c r="BP920" s="90"/>
    </row>
    <row r="921" spans="1:68" ht="9.7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c r="BB921" s="90"/>
      <c r="BC921" s="90"/>
      <c r="BD921" s="90"/>
      <c r="BE921" s="90"/>
      <c r="BF921" s="90"/>
      <c r="BG921" s="90"/>
      <c r="BH921" s="90"/>
      <c r="BI921" s="90"/>
      <c r="BJ921" s="90"/>
      <c r="BK921" s="90"/>
      <c r="BL921" s="90"/>
      <c r="BM921" s="90"/>
      <c r="BN921" s="90"/>
      <c r="BO921" s="90"/>
      <c r="BP921" s="90"/>
    </row>
    <row r="922" spans="1:68" ht="9.7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c r="BK922" s="90"/>
      <c r="BL922" s="90"/>
      <c r="BM922" s="90"/>
      <c r="BN922" s="90"/>
      <c r="BO922" s="90"/>
      <c r="BP922" s="90"/>
    </row>
    <row r="923" spans="1:68" ht="9.7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c r="AX923" s="90"/>
      <c r="AY923" s="90"/>
      <c r="AZ923" s="90"/>
      <c r="BA923" s="90"/>
      <c r="BB923" s="90"/>
      <c r="BC923" s="90"/>
      <c r="BD923" s="90"/>
      <c r="BE923" s="90"/>
      <c r="BF923" s="90"/>
      <c r="BG923" s="90"/>
      <c r="BH923" s="90"/>
      <c r="BI923" s="90"/>
      <c r="BJ923" s="90"/>
      <c r="BK923" s="90"/>
      <c r="BL923" s="90"/>
      <c r="BM923" s="90"/>
      <c r="BN923" s="90"/>
      <c r="BO923" s="90"/>
      <c r="BP923" s="90"/>
    </row>
    <row r="924" spans="1:68" ht="9.7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c r="BB924" s="90"/>
      <c r="BC924" s="90"/>
      <c r="BD924" s="90"/>
      <c r="BE924" s="90"/>
      <c r="BF924" s="90"/>
      <c r="BG924" s="90"/>
      <c r="BH924" s="90"/>
      <c r="BI924" s="90"/>
      <c r="BJ924" s="90"/>
      <c r="BK924" s="90"/>
      <c r="BL924" s="90"/>
      <c r="BM924" s="90"/>
      <c r="BN924" s="90"/>
      <c r="BO924" s="90"/>
      <c r="BP924" s="90"/>
    </row>
    <row r="925" spans="1:68" ht="9.7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c r="AX925" s="90"/>
      <c r="AY925" s="90"/>
      <c r="AZ925" s="90"/>
      <c r="BA925" s="90"/>
      <c r="BB925" s="90"/>
      <c r="BC925" s="90"/>
      <c r="BD925" s="90"/>
      <c r="BE925" s="90"/>
      <c r="BF925" s="90"/>
      <c r="BG925" s="90"/>
      <c r="BH925" s="90"/>
      <c r="BI925" s="90"/>
      <c r="BJ925" s="90"/>
      <c r="BK925" s="90"/>
      <c r="BL925" s="90"/>
      <c r="BM925" s="90"/>
      <c r="BN925" s="90"/>
      <c r="BO925" s="90"/>
      <c r="BP925" s="90"/>
    </row>
    <row r="926" spans="1:68" ht="9.7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c r="BK926" s="90"/>
      <c r="BL926" s="90"/>
      <c r="BM926" s="90"/>
      <c r="BN926" s="90"/>
      <c r="BO926" s="90"/>
      <c r="BP926" s="90"/>
    </row>
    <row r="927" spans="1:68" ht="9.7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c r="BB927" s="90"/>
      <c r="BC927" s="90"/>
      <c r="BD927" s="90"/>
      <c r="BE927" s="90"/>
      <c r="BF927" s="90"/>
      <c r="BG927" s="90"/>
      <c r="BH927" s="90"/>
      <c r="BI927" s="90"/>
      <c r="BJ927" s="90"/>
      <c r="BK927" s="90"/>
      <c r="BL927" s="90"/>
      <c r="BM927" s="90"/>
      <c r="BN927" s="90"/>
      <c r="BO927" s="90"/>
      <c r="BP927" s="90"/>
    </row>
    <row r="928" spans="1:68" ht="9.7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c r="AX928" s="90"/>
      <c r="AY928" s="90"/>
      <c r="AZ928" s="90"/>
      <c r="BA928" s="90"/>
      <c r="BB928" s="90"/>
      <c r="BC928" s="90"/>
      <c r="BD928" s="90"/>
      <c r="BE928" s="90"/>
      <c r="BF928" s="90"/>
      <c r="BG928" s="90"/>
      <c r="BH928" s="90"/>
      <c r="BI928" s="90"/>
      <c r="BJ928" s="90"/>
      <c r="BK928" s="90"/>
      <c r="BL928" s="90"/>
      <c r="BM928" s="90"/>
      <c r="BN928" s="90"/>
      <c r="BO928" s="90"/>
      <c r="BP928" s="90"/>
    </row>
    <row r="929" spans="1:68" ht="9.7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c r="AX929" s="90"/>
      <c r="AY929" s="90"/>
      <c r="AZ929" s="90"/>
      <c r="BA929" s="90"/>
      <c r="BB929" s="90"/>
      <c r="BC929" s="90"/>
      <c r="BD929" s="90"/>
      <c r="BE929" s="90"/>
      <c r="BF929" s="90"/>
      <c r="BG929" s="90"/>
      <c r="BH929" s="90"/>
      <c r="BI929" s="90"/>
      <c r="BJ929" s="90"/>
      <c r="BK929" s="90"/>
      <c r="BL929" s="90"/>
      <c r="BM929" s="90"/>
      <c r="BN929" s="90"/>
      <c r="BO929" s="90"/>
      <c r="BP929" s="90"/>
    </row>
    <row r="930" spans="1:68" ht="9.7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c r="AX930" s="90"/>
      <c r="AY930" s="90"/>
      <c r="AZ930" s="90"/>
      <c r="BA930" s="90"/>
      <c r="BB930" s="90"/>
      <c r="BC930" s="90"/>
      <c r="BD930" s="90"/>
      <c r="BE930" s="90"/>
      <c r="BF930" s="90"/>
      <c r="BG930" s="90"/>
      <c r="BH930" s="90"/>
      <c r="BI930" s="90"/>
      <c r="BJ930" s="90"/>
      <c r="BK930" s="90"/>
      <c r="BL930" s="90"/>
      <c r="BM930" s="90"/>
      <c r="BN930" s="90"/>
      <c r="BO930" s="90"/>
      <c r="BP930" s="90"/>
    </row>
    <row r="931" spans="1:68" ht="9.7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c r="AX931" s="90"/>
      <c r="AY931" s="90"/>
      <c r="AZ931" s="90"/>
      <c r="BA931" s="90"/>
      <c r="BB931" s="90"/>
      <c r="BC931" s="90"/>
      <c r="BD931" s="90"/>
      <c r="BE931" s="90"/>
      <c r="BF931" s="90"/>
      <c r="BG931" s="90"/>
      <c r="BH931" s="90"/>
      <c r="BI931" s="90"/>
      <c r="BJ931" s="90"/>
      <c r="BK931" s="90"/>
      <c r="BL931" s="90"/>
      <c r="BM931" s="90"/>
      <c r="BN931" s="90"/>
      <c r="BO931" s="90"/>
      <c r="BP931" s="90"/>
    </row>
    <row r="932" spans="1:68" ht="9.7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c r="AX932" s="90"/>
      <c r="AY932" s="90"/>
      <c r="AZ932" s="90"/>
      <c r="BA932" s="90"/>
      <c r="BB932" s="90"/>
      <c r="BC932" s="90"/>
      <c r="BD932" s="90"/>
      <c r="BE932" s="90"/>
      <c r="BF932" s="90"/>
      <c r="BG932" s="90"/>
      <c r="BH932" s="90"/>
      <c r="BI932" s="90"/>
      <c r="BJ932" s="90"/>
      <c r="BK932" s="90"/>
      <c r="BL932" s="90"/>
      <c r="BM932" s="90"/>
      <c r="BN932" s="90"/>
      <c r="BO932" s="90"/>
      <c r="BP932" s="90"/>
    </row>
    <row r="933" spans="1:68" ht="9.7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c r="BB933" s="90"/>
      <c r="BC933" s="90"/>
      <c r="BD933" s="90"/>
      <c r="BE933" s="90"/>
      <c r="BF933" s="90"/>
      <c r="BG933" s="90"/>
      <c r="BH933" s="90"/>
      <c r="BI933" s="90"/>
      <c r="BJ933" s="90"/>
      <c r="BK933" s="90"/>
      <c r="BL933" s="90"/>
      <c r="BM933" s="90"/>
      <c r="BN933" s="90"/>
      <c r="BO933" s="90"/>
      <c r="BP933" s="90"/>
    </row>
    <row r="934" spans="1:68" ht="9.7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c r="AX934" s="90"/>
      <c r="AY934" s="90"/>
      <c r="AZ934" s="90"/>
      <c r="BA934" s="90"/>
      <c r="BB934" s="90"/>
      <c r="BC934" s="90"/>
      <c r="BD934" s="90"/>
      <c r="BE934" s="90"/>
      <c r="BF934" s="90"/>
      <c r="BG934" s="90"/>
      <c r="BH934" s="90"/>
      <c r="BI934" s="90"/>
      <c r="BJ934" s="90"/>
      <c r="BK934" s="90"/>
      <c r="BL934" s="90"/>
      <c r="BM934" s="90"/>
      <c r="BN934" s="90"/>
      <c r="BO934" s="90"/>
      <c r="BP934" s="90"/>
    </row>
    <row r="935" spans="1:68" ht="9.7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c r="BF935" s="90"/>
      <c r="BG935" s="90"/>
      <c r="BH935" s="90"/>
      <c r="BI935" s="90"/>
      <c r="BJ935" s="90"/>
      <c r="BK935" s="90"/>
      <c r="BL935" s="90"/>
      <c r="BM935" s="90"/>
      <c r="BN935" s="90"/>
      <c r="BO935" s="90"/>
      <c r="BP935" s="90"/>
    </row>
    <row r="936" spans="1:68" ht="9.7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c r="BK936" s="90"/>
      <c r="BL936" s="90"/>
      <c r="BM936" s="90"/>
      <c r="BN936" s="90"/>
      <c r="BO936" s="90"/>
      <c r="BP936" s="90"/>
    </row>
    <row r="937" spans="1:68" ht="9.7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c r="BB937" s="90"/>
      <c r="BC937" s="90"/>
      <c r="BD937" s="90"/>
      <c r="BE937" s="90"/>
      <c r="BF937" s="90"/>
      <c r="BG937" s="90"/>
      <c r="BH937" s="90"/>
      <c r="BI937" s="90"/>
      <c r="BJ937" s="90"/>
      <c r="BK937" s="90"/>
      <c r="BL937" s="90"/>
      <c r="BM937" s="90"/>
      <c r="BN937" s="90"/>
      <c r="BO937" s="90"/>
      <c r="BP937" s="90"/>
    </row>
    <row r="938" spans="1:68" ht="9.7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c r="BB938" s="90"/>
      <c r="BC938" s="90"/>
      <c r="BD938" s="90"/>
      <c r="BE938" s="90"/>
      <c r="BF938" s="90"/>
      <c r="BG938" s="90"/>
      <c r="BH938" s="90"/>
      <c r="BI938" s="90"/>
      <c r="BJ938" s="90"/>
      <c r="BK938" s="90"/>
      <c r="BL938" s="90"/>
      <c r="BM938" s="90"/>
      <c r="BN938" s="90"/>
      <c r="BO938" s="90"/>
      <c r="BP938" s="90"/>
    </row>
    <row r="939" spans="1:68" ht="9.7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c r="BB939" s="90"/>
      <c r="BC939" s="90"/>
      <c r="BD939" s="90"/>
      <c r="BE939" s="90"/>
      <c r="BF939" s="90"/>
      <c r="BG939" s="90"/>
      <c r="BH939" s="90"/>
      <c r="BI939" s="90"/>
      <c r="BJ939" s="90"/>
      <c r="BK939" s="90"/>
      <c r="BL939" s="90"/>
      <c r="BM939" s="90"/>
      <c r="BN939" s="90"/>
      <c r="BO939" s="90"/>
      <c r="BP939" s="90"/>
    </row>
    <row r="940" spans="1:68" ht="9.7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c r="BK940" s="90"/>
      <c r="BL940" s="90"/>
      <c r="BM940" s="90"/>
      <c r="BN940" s="90"/>
      <c r="BO940" s="90"/>
      <c r="BP940" s="90"/>
    </row>
    <row r="941" spans="1:68" ht="9.7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c r="BK941" s="90"/>
      <c r="BL941" s="90"/>
      <c r="BM941" s="90"/>
      <c r="BN941" s="90"/>
      <c r="BO941" s="90"/>
      <c r="BP941" s="90"/>
    </row>
    <row r="942" spans="1:68" ht="9.7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c r="BK942" s="90"/>
      <c r="BL942" s="90"/>
      <c r="BM942" s="90"/>
      <c r="BN942" s="90"/>
      <c r="BO942" s="90"/>
      <c r="BP942" s="90"/>
    </row>
    <row r="943" spans="1:68" ht="9.7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c r="BK943" s="90"/>
      <c r="BL943" s="90"/>
      <c r="BM943" s="90"/>
      <c r="BN943" s="90"/>
      <c r="BO943" s="90"/>
      <c r="BP943" s="90"/>
    </row>
    <row r="944" spans="1:68" ht="9.7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c r="BK944" s="90"/>
      <c r="BL944" s="90"/>
      <c r="BM944" s="90"/>
      <c r="BN944" s="90"/>
      <c r="BO944" s="90"/>
      <c r="BP944" s="90"/>
    </row>
    <row r="945" spans="1:68" ht="9.7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c r="BK945" s="90"/>
      <c r="BL945" s="90"/>
      <c r="BM945" s="90"/>
      <c r="BN945" s="90"/>
      <c r="BO945" s="90"/>
      <c r="BP945" s="90"/>
    </row>
    <row r="946" spans="1:68" ht="9.7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c r="BK946" s="90"/>
      <c r="BL946" s="90"/>
      <c r="BM946" s="90"/>
      <c r="BN946" s="90"/>
      <c r="BO946" s="90"/>
      <c r="BP946" s="90"/>
    </row>
    <row r="947" spans="1:68" ht="9.7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c r="BK947" s="90"/>
      <c r="BL947" s="90"/>
      <c r="BM947" s="90"/>
      <c r="BN947" s="90"/>
      <c r="BO947" s="90"/>
      <c r="BP947" s="90"/>
    </row>
    <row r="948" spans="1:68" ht="9.7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c r="BK948" s="90"/>
      <c r="BL948" s="90"/>
      <c r="BM948" s="90"/>
      <c r="BN948" s="90"/>
      <c r="BO948" s="90"/>
      <c r="BP948" s="90"/>
    </row>
    <row r="949" spans="1:68" ht="9.7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c r="BP949" s="90"/>
    </row>
    <row r="950" spans="1:68" ht="9.7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c r="BB950" s="90"/>
      <c r="BC950" s="90"/>
      <c r="BD950" s="90"/>
      <c r="BE950" s="90"/>
      <c r="BF950" s="90"/>
      <c r="BG950" s="90"/>
      <c r="BH950" s="90"/>
      <c r="BI950" s="90"/>
      <c r="BJ950" s="90"/>
      <c r="BK950" s="90"/>
      <c r="BL950" s="90"/>
      <c r="BM950" s="90"/>
      <c r="BN950" s="90"/>
      <c r="BO950" s="90"/>
      <c r="BP950" s="90"/>
    </row>
    <row r="951" spans="1:68" ht="9.7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c r="BK951" s="90"/>
      <c r="BL951" s="90"/>
      <c r="BM951" s="90"/>
      <c r="BN951" s="90"/>
      <c r="BO951" s="90"/>
      <c r="BP951" s="90"/>
    </row>
    <row r="952" spans="1:68" ht="9.7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c r="BJ952" s="90"/>
      <c r="BK952" s="90"/>
      <c r="BL952" s="90"/>
      <c r="BM952" s="90"/>
      <c r="BN952" s="90"/>
      <c r="BO952" s="90"/>
      <c r="BP952" s="90"/>
    </row>
    <row r="953" spans="1:68" ht="9.7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c r="BJ953" s="90"/>
      <c r="BK953" s="90"/>
      <c r="BL953" s="90"/>
      <c r="BM953" s="90"/>
      <c r="BN953" s="90"/>
      <c r="BO953" s="90"/>
      <c r="BP953" s="90"/>
    </row>
    <row r="954" spans="1:68" ht="9.7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c r="BJ954" s="90"/>
      <c r="BK954" s="90"/>
      <c r="BL954" s="90"/>
      <c r="BM954" s="90"/>
      <c r="BN954" s="90"/>
      <c r="BO954" s="90"/>
      <c r="BP954" s="90"/>
    </row>
    <row r="955" spans="1:68" ht="9.7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c r="BB955" s="90"/>
      <c r="BC955" s="90"/>
      <c r="BD955" s="90"/>
      <c r="BE955" s="90"/>
      <c r="BF955" s="90"/>
      <c r="BG955" s="90"/>
      <c r="BH955" s="90"/>
      <c r="BI955" s="90"/>
      <c r="BJ955" s="90"/>
      <c r="BK955" s="90"/>
      <c r="BL955" s="90"/>
      <c r="BM955" s="90"/>
      <c r="BN955" s="90"/>
      <c r="BO955" s="90"/>
      <c r="BP955" s="90"/>
    </row>
    <row r="956" spans="1:68" ht="9.7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c r="BB956" s="90"/>
      <c r="BC956" s="90"/>
      <c r="BD956" s="90"/>
      <c r="BE956" s="90"/>
      <c r="BF956" s="90"/>
      <c r="BG956" s="90"/>
      <c r="BH956" s="90"/>
      <c r="BI956" s="90"/>
      <c r="BJ956" s="90"/>
      <c r="BK956" s="90"/>
      <c r="BL956" s="90"/>
      <c r="BM956" s="90"/>
      <c r="BN956" s="90"/>
      <c r="BO956" s="90"/>
      <c r="BP956" s="90"/>
    </row>
    <row r="957" spans="1:68" ht="9.7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90"/>
      <c r="BK957" s="90"/>
      <c r="BL957" s="90"/>
      <c r="BM957" s="90"/>
      <c r="BN957" s="90"/>
      <c r="BO957" s="90"/>
      <c r="BP957" s="90"/>
    </row>
    <row r="958" spans="1:68" ht="9.7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c r="BB958" s="90"/>
      <c r="BC958" s="90"/>
      <c r="BD958" s="90"/>
      <c r="BE958" s="90"/>
      <c r="BF958" s="90"/>
      <c r="BG958" s="90"/>
      <c r="BH958" s="90"/>
      <c r="BI958" s="90"/>
      <c r="BJ958" s="90"/>
      <c r="BK958" s="90"/>
      <c r="BL958" s="90"/>
      <c r="BM958" s="90"/>
      <c r="BN958" s="90"/>
      <c r="BO958" s="90"/>
      <c r="BP958" s="90"/>
    </row>
    <row r="959" spans="1:68" ht="9.7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c r="BB959" s="90"/>
      <c r="BC959" s="90"/>
      <c r="BD959" s="90"/>
      <c r="BE959" s="90"/>
      <c r="BF959" s="90"/>
      <c r="BG959" s="90"/>
      <c r="BH959" s="90"/>
      <c r="BI959" s="90"/>
      <c r="BJ959" s="90"/>
      <c r="BK959" s="90"/>
      <c r="BL959" s="90"/>
      <c r="BM959" s="90"/>
      <c r="BN959" s="90"/>
      <c r="BO959" s="90"/>
      <c r="BP959" s="90"/>
    </row>
    <row r="960" spans="1:68" ht="9.7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c r="BB960" s="90"/>
      <c r="BC960" s="90"/>
      <c r="BD960" s="90"/>
      <c r="BE960" s="90"/>
      <c r="BF960" s="90"/>
      <c r="BG960" s="90"/>
      <c r="BH960" s="90"/>
      <c r="BI960" s="90"/>
      <c r="BJ960" s="90"/>
      <c r="BK960" s="90"/>
      <c r="BL960" s="90"/>
      <c r="BM960" s="90"/>
      <c r="BN960" s="90"/>
      <c r="BO960" s="90"/>
      <c r="BP960" s="90"/>
    </row>
    <row r="961" spans="1:68" ht="9.7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c r="BB961" s="90"/>
      <c r="BC961" s="90"/>
      <c r="BD961" s="90"/>
      <c r="BE961" s="90"/>
      <c r="BF961" s="90"/>
      <c r="BG961" s="90"/>
      <c r="BH961" s="90"/>
      <c r="BI961" s="90"/>
      <c r="BJ961" s="90"/>
      <c r="BK961" s="90"/>
      <c r="BL961" s="90"/>
      <c r="BM961" s="90"/>
      <c r="BN961" s="90"/>
      <c r="BO961" s="90"/>
      <c r="BP961" s="90"/>
    </row>
    <row r="962" spans="1:68" ht="9.7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c r="BF962" s="90"/>
      <c r="BG962" s="90"/>
      <c r="BH962" s="90"/>
      <c r="BI962" s="90"/>
      <c r="BJ962" s="90"/>
      <c r="BK962" s="90"/>
      <c r="BL962" s="90"/>
      <c r="BM962" s="90"/>
      <c r="BN962" s="90"/>
      <c r="BO962" s="90"/>
      <c r="BP962" s="90"/>
    </row>
    <row r="963" spans="1:68" ht="9.7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c r="BB963" s="90"/>
      <c r="BC963" s="90"/>
      <c r="BD963" s="90"/>
      <c r="BE963" s="90"/>
      <c r="BF963" s="90"/>
      <c r="BG963" s="90"/>
      <c r="BH963" s="90"/>
      <c r="BI963" s="90"/>
      <c r="BJ963" s="90"/>
      <c r="BK963" s="90"/>
      <c r="BL963" s="90"/>
      <c r="BM963" s="90"/>
      <c r="BN963" s="90"/>
      <c r="BO963" s="90"/>
      <c r="BP963" s="90"/>
    </row>
    <row r="964" spans="1:68" ht="9.7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c r="BF964" s="90"/>
      <c r="BG964" s="90"/>
      <c r="BH964" s="90"/>
      <c r="BI964" s="90"/>
      <c r="BJ964" s="90"/>
      <c r="BK964" s="90"/>
      <c r="BL964" s="90"/>
      <c r="BM964" s="90"/>
      <c r="BN964" s="90"/>
      <c r="BO964" s="90"/>
      <c r="BP964" s="90"/>
    </row>
    <row r="965" spans="1:68" ht="9.7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c r="BF965" s="90"/>
      <c r="BG965" s="90"/>
      <c r="BH965" s="90"/>
      <c r="BI965" s="90"/>
      <c r="BJ965" s="90"/>
      <c r="BK965" s="90"/>
      <c r="BL965" s="90"/>
      <c r="BM965" s="90"/>
      <c r="BN965" s="90"/>
      <c r="BO965" s="90"/>
      <c r="BP965" s="90"/>
    </row>
    <row r="966" spans="1:68" ht="9.7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c r="BP966" s="90"/>
    </row>
    <row r="967" spans="1:68" ht="9.7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c r="BB967" s="90"/>
      <c r="BC967" s="90"/>
      <c r="BD967" s="90"/>
      <c r="BE967" s="90"/>
      <c r="BF967" s="90"/>
      <c r="BG967" s="90"/>
      <c r="BH967" s="90"/>
      <c r="BI967" s="90"/>
      <c r="BJ967" s="90"/>
      <c r="BK967" s="90"/>
      <c r="BL967" s="90"/>
      <c r="BM967" s="90"/>
      <c r="BN967" s="90"/>
      <c r="BO967" s="90"/>
      <c r="BP967" s="90"/>
    </row>
    <row r="968" spans="1:68" ht="9.7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c r="BF968" s="90"/>
      <c r="BG968" s="90"/>
      <c r="BH968" s="90"/>
      <c r="BI968" s="90"/>
      <c r="BJ968" s="90"/>
      <c r="BK968" s="90"/>
      <c r="BL968" s="90"/>
      <c r="BM968" s="90"/>
      <c r="BN968" s="90"/>
      <c r="BO968" s="90"/>
      <c r="BP968" s="90"/>
    </row>
    <row r="969" spans="1:68" ht="9.7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c r="BB969" s="90"/>
      <c r="BC969" s="90"/>
      <c r="BD969" s="90"/>
      <c r="BE969" s="90"/>
      <c r="BF969" s="90"/>
      <c r="BG969" s="90"/>
      <c r="BH969" s="90"/>
      <c r="BI969" s="90"/>
      <c r="BJ969" s="90"/>
      <c r="BK969" s="90"/>
      <c r="BL969" s="90"/>
      <c r="BM969" s="90"/>
      <c r="BN969" s="90"/>
      <c r="BO969" s="90"/>
      <c r="BP969" s="90"/>
    </row>
    <row r="970" spans="1:68" ht="9.7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c r="BF970" s="90"/>
      <c r="BG970" s="90"/>
      <c r="BH970" s="90"/>
      <c r="BI970" s="90"/>
      <c r="BJ970" s="90"/>
      <c r="BK970" s="90"/>
      <c r="BL970" s="90"/>
      <c r="BM970" s="90"/>
      <c r="BN970" s="90"/>
      <c r="BO970" s="90"/>
      <c r="BP970" s="90"/>
    </row>
    <row r="971" spans="1:68" ht="9.7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c r="BB971" s="90"/>
      <c r="BC971" s="90"/>
      <c r="BD971" s="90"/>
      <c r="BE971" s="90"/>
      <c r="BF971" s="90"/>
      <c r="BG971" s="90"/>
      <c r="BH971" s="90"/>
      <c r="BI971" s="90"/>
      <c r="BJ971" s="90"/>
      <c r="BK971" s="90"/>
      <c r="BL971" s="90"/>
      <c r="BM971" s="90"/>
      <c r="BN971" s="90"/>
      <c r="BO971" s="90"/>
      <c r="BP971" s="90"/>
    </row>
    <row r="972" spans="1:68" ht="9.7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c r="BF972" s="90"/>
      <c r="BG972" s="90"/>
      <c r="BH972" s="90"/>
      <c r="BI972" s="90"/>
      <c r="BJ972" s="90"/>
      <c r="BK972" s="90"/>
      <c r="BL972" s="90"/>
      <c r="BM972" s="90"/>
      <c r="BN972" s="90"/>
      <c r="BO972" s="90"/>
      <c r="BP972" s="90"/>
    </row>
    <row r="973" spans="1:68" ht="9.7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c r="BB973" s="90"/>
      <c r="BC973" s="90"/>
      <c r="BD973" s="90"/>
      <c r="BE973" s="90"/>
      <c r="BF973" s="90"/>
      <c r="BG973" s="90"/>
      <c r="BH973" s="90"/>
      <c r="BI973" s="90"/>
      <c r="BJ973" s="90"/>
      <c r="BK973" s="90"/>
      <c r="BL973" s="90"/>
      <c r="BM973" s="90"/>
      <c r="BN973" s="90"/>
      <c r="BO973" s="90"/>
      <c r="BP973" s="90"/>
    </row>
    <row r="974" spans="1:68" ht="9.7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c r="BF974" s="90"/>
      <c r="BG974" s="90"/>
      <c r="BH974" s="90"/>
      <c r="BI974" s="90"/>
      <c r="BJ974" s="90"/>
      <c r="BK974" s="90"/>
      <c r="BL974" s="90"/>
      <c r="BM974" s="90"/>
      <c r="BN974" s="90"/>
      <c r="BO974" s="90"/>
      <c r="BP974" s="90"/>
    </row>
    <row r="975" spans="1:68" ht="9.7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c r="BB975" s="90"/>
      <c r="BC975" s="90"/>
      <c r="BD975" s="90"/>
      <c r="BE975" s="90"/>
      <c r="BF975" s="90"/>
      <c r="BG975" s="90"/>
      <c r="BH975" s="90"/>
      <c r="BI975" s="90"/>
      <c r="BJ975" s="90"/>
      <c r="BK975" s="90"/>
      <c r="BL975" s="90"/>
      <c r="BM975" s="90"/>
      <c r="BN975" s="90"/>
      <c r="BO975" s="90"/>
      <c r="BP975" s="90"/>
    </row>
    <row r="976" spans="1:68" ht="9.7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c r="BF976" s="90"/>
      <c r="BG976" s="90"/>
      <c r="BH976" s="90"/>
      <c r="BI976" s="90"/>
      <c r="BJ976" s="90"/>
      <c r="BK976" s="90"/>
      <c r="BL976" s="90"/>
      <c r="BM976" s="90"/>
      <c r="BN976" s="90"/>
      <c r="BO976" s="90"/>
      <c r="BP976" s="90"/>
    </row>
    <row r="977" spans="1:68" ht="9.7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c r="BF977" s="90"/>
      <c r="BG977" s="90"/>
      <c r="BH977" s="90"/>
      <c r="BI977" s="90"/>
      <c r="BJ977" s="90"/>
      <c r="BK977" s="90"/>
      <c r="BL977" s="90"/>
      <c r="BM977" s="90"/>
      <c r="BN977" s="90"/>
      <c r="BO977" s="90"/>
      <c r="BP977" s="90"/>
    </row>
    <row r="978" spans="1:68" ht="9.7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c r="BB978" s="90"/>
      <c r="BC978" s="90"/>
      <c r="BD978" s="90"/>
      <c r="BE978" s="90"/>
      <c r="BF978" s="90"/>
      <c r="BG978" s="90"/>
      <c r="BH978" s="90"/>
      <c r="BI978" s="90"/>
      <c r="BJ978" s="90"/>
      <c r="BK978" s="90"/>
      <c r="BL978" s="90"/>
      <c r="BM978" s="90"/>
      <c r="BN978" s="90"/>
      <c r="BO978" s="90"/>
      <c r="BP978" s="90"/>
    </row>
    <row r="979" spans="1:68" ht="9.7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c r="BB979" s="90"/>
      <c r="BC979" s="90"/>
      <c r="BD979" s="90"/>
      <c r="BE979" s="90"/>
      <c r="BF979" s="90"/>
      <c r="BG979" s="90"/>
      <c r="BH979" s="90"/>
      <c r="BI979" s="90"/>
      <c r="BJ979" s="90"/>
      <c r="BK979" s="90"/>
      <c r="BL979" s="90"/>
      <c r="BM979" s="90"/>
      <c r="BN979" s="90"/>
      <c r="BO979" s="90"/>
      <c r="BP979" s="90"/>
    </row>
    <row r="980" spans="1:68" ht="9.7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c r="AX980" s="90"/>
      <c r="AY980" s="90"/>
      <c r="AZ980" s="90"/>
      <c r="BA980" s="90"/>
      <c r="BB980" s="90"/>
      <c r="BC980" s="90"/>
      <c r="BD980" s="90"/>
      <c r="BE980" s="90"/>
      <c r="BF980" s="90"/>
      <c r="BG980" s="90"/>
      <c r="BH980" s="90"/>
      <c r="BI980" s="90"/>
      <c r="BJ980" s="90"/>
      <c r="BK980" s="90"/>
      <c r="BL980" s="90"/>
      <c r="BM980" s="90"/>
      <c r="BN980" s="90"/>
      <c r="BO980" s="90"/>
      <c r="BP980" s="90"/>
    </row>
    <row r="981" spans="1:68" ht="9.7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c r="BB981" s="90"/>
      <c r="BC981" s="90"/>
      <c r="BD981" s="90"/>
      <c r="BE981" s="90"/>
      <c r="BF981" s="90"/>
      <c r="BG981" s="90"/>
      <c r="BH981" s="90"/>
      <c r="BI981" s="90"/>
      <c r="BJ981" s="90"/>
      <c r="BK981" s="90"/>
      <c r="BL981" s="90"/>
      <c r="BM981" s="90"/>
      <c r="BN981" s="90"/>
      <c r="BO981" s="90"/>
      <c r="BP981" s="90"/>
    </row>
    <row r="982" spans="1:68" ht="9.7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c r="BF982" s="90"/>
      <c r="BG982" s="90"/>
      <c r="BH982" s="90"/>
      <c r="BI982" s="90"/>
      <c r="BJ982" s="90"/>
      <c r="BK982" s="90"/>
      <c r="BL982" s="90"/>
      <c r="BM982" s="90"/>
      <c r="BN982" s="90"/>
      <c r="BO982" s="90"/>
      <c r="BP982" s="90"/>
    </row>
    <row r="983" spans="1:68" ht="9.7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c r="BF983" s="90"/>
      <c r="BG983" s="90"/>
      <c r="BH983" s="90"/>
      <c r="BI983" s="90"/>
      <c r="BJ983" s="90"/>
      <c r="BK983" s="90"/>
      <c r="BL983" s="90"/>
      <c r="BM983" s="90"/>
      <c r="BN983" s="90"/>
      <c r="BO983" s="90"/>
      <c r="BP983" s="90"/>
    </row>
    <row r="984" spans="1:68" ht="9.7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c r="BF984" s="90"/>
      <c r="BG984" s="90"/>
      <c r="BH984" s="90"/>
      <c r="BI984" s="90"/>
      <c r="BJ984" s="90"/>
      <c r="BK984" s="90"/>
      <c r="BL984" s="90"/>
      <c r="BM984" s="90"/>
      <c r="BN984" s="90"/>
      <c r="BO984" s="90"/>
      <c r="BP984" s="90"/>
    </row>
    <row r="985" spans="1:68" ht="9.7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c r="BB985" s="90"/>
      <c r="BC985" s="90"/>
      <c r="BD985" s="90"/>
      <c r="BE985" s="90"/>
      <c r="BF985" s="90"/>
      <c r="BG985" s="90"/>
      <c r="BH985" s="90"/>
      <c r="BI985" s="90"/>
      <c r="BJ985" s="90"/>
      <c r="BK985" s="90"/>
      <c r="BL985" s="90"/>
      <c r="BM985" s="90"/>
      <c r="BN985" s="90"/>
      <c r="BO985" s="90"/>
      <c r="BP985" s="90"/>
    </row>
    <row r="986" spans="1:68" ht="9.7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c r="BF986" s="90"/>
      <c r="BG986" s="90"/>
      <c r="BH986" s="90"/>
      <c r="BI986" s="90"/>
      <c r="BJ986" s="90"/>
      <c r="BK986" s="90"/>
      <c r="BL986" s="90"/>
      <c r="BM986" s="90"/>
      <c r="BN986" s="90"/>
      <c r="BO986" s="90"/>
      <c r="BP986" s="90"/>
    </row>
    <row r="987" spans="1:68" ht="9.7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c r="BB987" s="90"/>
      <c r="BC987" s="90"/>
      <c r="BD987" s="90"/>
      <c r="BE987" s="90"/>
      <c r="BF987" s="90"/>
      <c r="BG987" s="90"/>
      <c r="BH987" s="90"/>
      <c r="BI987" s="90"/>
      <c r="BJ987" s="90"/>
      <c r="BK987" s="90"/>
      <c r="BL987" s="90"/>
      <c r="BM987" s="90"/>
      <c r="BN987" s="90"/>
      <c r="BO987" s="90"/>
      <c r="BP987" s="90"/>
    </row>
    <row r="988" spans="1:68" ht="9.7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c r="BF988" s="90"/>
      <c r="BG988" s="90"/>
      <c r="BH988" s="90"/>
      <c r="BI988" s="90"/>
      <c r="BJ988" s="90"/>
      <c r="BK988" s="90"/>
      <c r="BL988" s="90"/>
      <c r="BM988" s="90"/>
      <c r="BN988" s="90"/>
      <c r="BO988" s="90"/>
      <c r="BP988" s="90"/>
    </row>
    <row r="989" spans="1:68" ht="9.7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c r="BB989" s="90"/>
      <c r="BC989" s="90"/>
      <c r="BD989" s="90"/>
      <c r="BE989" s="90"/>
      <c r="BF989" s="90"/>
      <c r="BG989" s="90"/>
      <c r="BH989" s="90"/>
      <c r="BI989" s="90"/>
      <c r="BJ989" s="90"/>
      <c r="BK989" s="90"/>
      <c r="BL989" s="90"/>
      <c r="BM989" s="90"/>
      <c r="BN989" s="90"/>
      <c r="BO989" s="90"/>
      <c r="BP989" s="90"/>
    </row>
    <row r="990" spans="1:68" ht="9.7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c r="BB990" s="90"/>
      <c r="BC990" s="90"/>
      <c r="BD990" s="90"/>
      <c r="BE990" s="90"/>
      <c r="BF990" s="90"/>
      <c r="BG990" s="90"/>
      <c r="BH990" s="90"/>
      <c r="BI990" s="90"/>
      <c r="BJ990" s="90"/>
      <c r="BK990" s="90"/>
      <c r="BL990" s="90"/>
      <c r="BM990" s="90"/>
      <c r="BN990" s="90"/>
      <c r="BO990" s="90"/>
      <c r="BP990" s="90"/>
    </row>
    <row r="991" spans="1:68" ht="9.7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c r="BB991" s="90"/>
      <c r="BC991" s="90"/>
      <c r="BD991" s="90"/>
      <c r="BE991" s="90"/>
      <c r="BF991" s="90"/>
      <c r="BG991" s="90"/>
      <c r="BH991" s="90"/>
      <c r="BI991" s="90"/>
      <c r="BJ991" s="90"/>
      <c r="BK991" s="90"/>
      <c r="BL991" s="90"/>
      <c r="BM991" s="90"/>
      <c r="BN991" s="90"/>
      <c r="BO991" s="90"/>
      <c r="BP991" s="90"/>
    </row>
    <row r="992" spans="1:68" ht="9.7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c r="AX992" s="90"/>
      <c r="AY992" s="90"/>
      <c r="AZ992" s="90"/>
      <c r="BA992" s="90"/>
      <c r="BB992" s="90"/>
      <c r="BC992" s="90"/>
      <c r="BD992" s="90"/>
      <c r="BE992" s="90"/>
      <c r="BF992" s="90"/>
      <c r="BG992" s="90"/>
      <c r="BH992" s="90"/>
      <c r="BI992" s="90"/>
      <c r="BJ992" s="90"/>
      <c r="BK992" s="90"/>
      <c r="BL992" s="90"/>
      <c r="BM992" s="90"/>
      <c r="BN992" s="90"/>
      <c r="BO992" s="90"/>
      <c r="BP992" s="90"/>
    </row>
    <row r="993" spans="1:68" ht="9.7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c r="AX993" s="90"/>
      <c r="AY993" s="90"/>
      <c r="AZ993" s="90"/>
      <c r="BA993" s="90"/>
      <c r="BB993" s="90"/>
      <c r="BC993" s="90"/>
      <c r="BD993" s="90"/>
      <c r="BE993" s="90"/>
      <c r="BF993" s="90"/>
      <c r="BG993" s="90"/>
      <c r="BH993" s="90"/>
      <c r="BI993" s="90"/>
      <c r="BJ993" s="90"/>
      <c r="BK993" s="90"/>
      <c r="BL993" s="90"/>
      <c r="BM993" s="90"/>
      <c r="BN993" s="90"/>
      <c r="BO993" s="90"/>
      <c r="BP993" s="90"/>
    </row>
    <row r="994" spans="1:68" ht="9.7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c r="BB994" s="90"/>
      <c r="BC994" s="90"/>
      <c r="BD994" s="90"/>
      <c r="BE994" s="90"/>
      <c r="BF994" s="90"/>
      <c r="BG994" s="90"/>
      <c r="BH994" s="90"/>
      <c r="BI994" s="90"/>
      <c r="BJ994" s="90"/>
      <c r="BK994" s="90"/>
      <c r="BL994" s="90"/>
      <c r="BM994" s="90"/>
      <c r="BN994" s="90"/>
      <c r="BO994" s="90"/>
      <c r="BP994" s="90"/>
    </row>
    <row r="995" spans="1:68" ht="9.7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c r="BB995" s="90"/>
      <c r="BC995" s="90"/>
      <c r="BD995" s="90"/>
      <c r="BE995" s="90"/>
      <c r="BF995" s="90"/>
      <c r="BG995" s="90"/>
      <c r="BH995" s="90"/>
      <c r="BI995" s="90"/>
      <c r="BJ995" s="90"/>
      <c r="BK995" s="90"/>
      <c r="BL995" s="90"/>
      <c r="BM995" s="90"/>
      <c r="BN995" s="90"/>
      <c r="BO995" s="90"/>
      <c r="BP995" s="90"/>
    </row>
    <row r="996" spans="1:68" ht="9.7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c r="BF996" s="90"/>
      <c r="BG996" s="90"/>
      <c r="BH996" s="90"/>
      <c r="BI996" s="90"/>
      <c r="BJ996" s="90"/>
      <c r="BK996" s="90"/>
      <c r="BL996" s="90"/>
      <c r="BM996" s="90"/>
      <c r="BN996" s="90"/>
      <c r="BO996" s="90"/>
      <c r="BP996" s="90"/>
    </row>
    <row r="997" spans="1:68" ht="9.7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c r="AX997" s="90"/>
      <c r="AY997" s="90"/>
      <c r="AZ997" s="90"/>
      <c r="BA997" s="90"/>
      <c r="BB997" s="90"/>
      <c r="BC997" s="90"/>
      <c r="BD997" s="90"/>
      <c r="BE997" s="90"/>
      <c r="BF997" s="90"/>
      <c r="BG997" s="90"/>
      <c r="BH997" s="90"/>
      <c r="BI997" s="90"/>
      <c r="BJ997" s="90"/>
      <c r="BK997" s="90"/>
      <c r="BL997" s="90"/>
      <c r="BM997" s="90"/>
      <c r="BN997" s="90"/>
      <c r="BO997" s="90"/>
      <c r="BP997" s="90"/>
    </row>
    <row r="998" spans="1:68" ht="9.7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c r="AX998" s="90"/>
      <c r="AY998" s="90"/>
      <c r="AZ998" s="90"/>
      <c r="BA998" s="90"/>
      <c r="BB998" s="90"/>
      <c r="BC998" s="90"/>
      <c r="BD998" s="90"/>
      <c r="BE998" s="90"/>
      <c r="BF998" s="90"/>
      <c r="BG998" s="90"/>
      <c r="BH998" s="90"/>
      <c r="BI998" s="90"/>
      <c r="BJ998" s="90"/>
      <c r="BK998" s="90"/>
      <c r="BL998" s="90"/>
      <c r="BM998" s="90"/>
      <c r="BN998" s="90"/>
      <c r="BO998" s="90"/>
      <c r="BP998" s="90"/>
    </row>
    <row r="999" spans="1:68" ht="9.7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c r="AK999" s="90"/>
      <c r="AL999" s="90"/>
      <c r="AM999" s="90"/>
      <c r="AN999" s="90"/>
      <c r="AO999" s="90"/>
      <c r="AP999" s="90"/>
      <c r="AQ999" s="90"/>
      <c r="AR999" s="90"/>
      <c r="AS999" s="90"/>
      <c r="AT999" s="90"/>
      <c r="AU999" s="90"/>
      <c r="AV999" s="90"/>
      <c r="AW999" s="90"/>
      <c r="AX999" s="90"/>
      <c r="AY999" s="90"/>
      <c r="AZ999" s="90"/>
      <c r="BA999" s="90"/>
      <c r="BB999" s="90"/>
      <c r="BC999" s="90"/>
      <c r="BD999" s="90"/>
      <c r="BE999" s="90"/>
      <c r="BF999" s="90"/>
      <c r="BG999" s="90"/>
      <c r="BH999" s="90"/>
      <c r="BI999" s="90"/>
      <c r="BJ999" s="90"/>
      <c r="BK999" s="90"/>
      <c r="BL999" s="90"/>
      <c r="BM999" s="90"/>
      <c r="BN999" s="90"/>
      <c r="BO999" s="90"/>
      <c r="BP999" s="90"/>
    </row>
    <row r="1000" spans="1:68" ht="9.7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c r="AX1000" s="90"/>
      <c r="AY1000" s="90"/>
      <c r="AZ1000" s="90"/>
      <c r="BA1000" s="90"/>
      <c r="BB1000" s="90"/>
      <c r="BC1000" s="90"/>
      <c r="BD1000" s="90"/>
      <c r="BE1000" s="90"/>
      <c r="BF1000" s="90"/>
      <c r="BG1000" s="90"/>
      <c r="BH1000" s="90"/>
      <c r="BI1000" s="90"/>
      <c r="BJ1000" s="90"/>
      <c r="BK1000" s="90"/>
      <c r="BL1000" s="90"/>
      <c r="BM1000" s="90"/>
      <c r="BN1000" s="90"/>
      <c r="BO1000" s="90"/>
      <c r="BP1000" s="90"/>
    </row>
  </sheetData>
  <sheetProtection algorithmName="SHA-512" hashValue="T4kGHetp+1Zjv3Xz9F1gKw7oeyM9CmF8L3TWb0bubKLXw+oV0UxLckckfDh5tR67B4VNhJjerwf5bz6oIREyRQ==" saltValue="EWVXOrhnSDjQhFw5SDKiMA==" spinCount="100000" sheet="1" objects="1" scenarios="1"/>
  <mergeCells count="4">
    <mergeCell ref="B2:O2"/>
    <mergeCell ref="AA2:AM2"/>
    <mergeCell ref="AP2:BD2"/>
    <mergeCell ref="B22:I22"/>
  </mergeCells>
  <pageMargins left="0.75" right="0.75" top="1" bottom="1" header="0"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7CAAC"/>
  </sheetPr>
  <dimension ref="A1:BA1000"/>
  <sheetViews>
    <sheetView showGridLines="0" topLeftCell="H1" workbookViewId="0">
      <selection activeCell="Q7" sqref="Q7"/>
    </sheetView>
  </sheetViews>
  <sheetFormatPr defaultColWidth="16.7109375" defaultRowHeight="15" customHeight="1"/>
  <cols>
    <col min="1" max="1" width="3.7109375" customWidth="1"/>
    <col min="2" max="2" width="58.28515625" customWidth="1"/>
    <col min="3" max="3" width="21.28515625" customWidth="1"/>
    <col min="4" max="4" width="14.28515625" customWidth="1"/>
    <col min="5" max="6" width="15.7109375" customWidth="1"/>
    <col min="7" max="7" width="15.28515625" customWidth="1"/>
    <col min="8" max="8" width="17.42578125" customWidth="1"/>
    <col min="9" max="9" width="13.7109375" customWidth="1"/>
    <col min="10" max="10" width="15.42578125" customWidth="1"/>
    <col min="11" max="11" width="47.42578125" customWidth="1"/>
    <col min="12" max="16" width="13" customWidth="1"/>
    <col min="17" max="17" width="16.7109375" customWidth="1"/>
    <col min="18" max="18" width="15.7109375" customWidth="1"/>
    <col min="19" max="19" width="10.7109375" customWidth="1"/>
    <col min="20" max="20" width="54" customWidth="1"/>
    <col min="21" max="21" width="21.28515625" customWidth="1"/>
    <col min="22" max="27" width="13.7109375" customWidth="1"/>
    <col min="28" max="28" width="16.42578125" customWidth="1"/>
    <col min="29" max="29" width="20.7109375" customWidth="1"/>
    <col min="30" max="30" width="10.7109375" customWidth="1"/>
    <col min="31" max="31" width="7.28515625" customWidth="1"/>
    <col min="32" max="32" width="52.7109375" customWidth="1"/>
    <col min="33" max="40" width="16" customWidth="1"/>
    <col min="41" max="41" width="14.28515625" customWidth="1"/>
    <col min="42" max="42" width="12" customWidth="1"/>
    <col min="43" max="43" width="11" customWidth="1"/>
    <col min="44" max="44" width="14" customWidth="1"/>
    <col min="45" max="45" width="12" customWidth="1"/>
    <col min="46" max="46" width="10.7109375" customWidth="1"/>
    <col min="47" max="47" width="14.28515625" customWidth="1"/>
    <col min="48" max="53" width="10.7109375" customWidth="1"/>
  </cols>
  <sheetData>
    <row r="1" spans="1:53" ht="9.75" customHeight="1">
      <c r="A1" s="90"/>
      <c r="B1" s="90"/>
      <c r="C1" s="90"/>
      <c r="D1" s="90"/>
      <c r="E1" s="90"/>
      <c r="F1" s="90"/>
      <c r="G1" s="90"/>
      <c r="H1" s="90"/>
      <c r="I1" s="90"/>
      <c r="J1" s="90"/>
      <c r="K1" s="90"/>
      <c r="L1" s="90"/>
      <c r="M1" s="34"/>
      <c r="N1" s="34"/>
      <c r="O1" s="34"/>
      <c r="P1" s="34"/>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row>
    <row r="2" spans="1:53" ht="17.25" customHeight="1">
      <c r="A2" s="90"/>
      <c r="B2" s="750" t="s">
        <v>295</v>
      </c>
      <c r="C2" s="751"/>
      <c r="D2" s="751"/>
      <c r="E2" s="751"/>
      <c r="F2" s="751"/>
      <c r="G2" s="751"/>
      <c r="H2" s="751"/>
      <c r="I2" s="751"/>
      <c r="J2" s="751"/>
      <c r="K2" s="752"/>
      <c r="L2" s="151" t="s">
        <v>296</v>
      </c>
      <c r="M2" s="152"/>
      <c r="N2" s="152"/>
      <c r="O2" s="152"/>
      <c r="P2" s="152"/>
      <c r="Q2" s="152"/>
      <c r="R2" s="153"/>
      <c r="S2" s="90"/>
      <c r="T2" s="753" t="s">
        <v>297</v>
      </c>
      <c r="U2" s="751"/>
      <c r="V2" s="751"/>
      <c r="W2" s="751"/>
      <c r="X2" s="751"/>
      <c r="Y2" s="751"/>
      <c r="Z2" s="751"/>
      <c r="AA2" s="751"/>
      <c r="AB2" s="752"/>
      <c r="AC2" s="90"/>
      <c r="AD2" s="90"/>
      <c r="AE2" s="750" t="s">
        <v>298</v>
      </c>
      <c r="AF2" s="751"/>
      <c r="AG2" s="751"/>
      <c r="AH2" s="751"/>
      <c r="AI2" s="751"/>
      <c r="AJ2" s="751"/>
      <c r="AK2" s="751"/>
      <c r="AL2" s="751"/>
      <c r="AM2" s="751"/>
      <c r="AN2" s="751"/>
      <c r="AO2" s="752"/>
      <c r="AP2" s="90"/>
      <c r="AQ2" s="90"/>
      <c r="AR2" s="90"/>
      <c r="AS2" s="90"/>
      <c r="AT2" s="90"/>
      <c r="AU2" s="90"/>
      <c r="AV2" s="90"/>
      <c r="AW2" s="90"/>
      <c r="AX2" s="90"/>
      <c r="AY2" s="90"/>
      <c r="AZ2" s="90"/>
      <c r="BA2" s="90"/>
    </row>
    <row r="3" spans="1:53" ht="36" customHeight="1">
      <c r="A3" s="90"/>
      <c r="B3" s="154" t="s">
        <v>299</v>
      </c>
      <c r="C3" s="155" t="s">
        <v>200</v>
      </c>
      <c r="D3" s="156" t="s">
        <v>1364</v>
      </c>
      <c r="E3" s="156" t="s">
        <v>301</v>
      </c>
      <c r="F3" s="156" t="s">
        <v>1365</v>
      </c>
      <c r="G3" s="157" t="s">
        <v>42</v>
      </c>
      <c r="H3" s="157" t="s">
        <v>44</v>
      </c>
      <c r="I3" s="158" t="s">
        <v>43</v>
      </c>
      <c r="J3" s="159" t="s">
        <v>306</v>
      </c>
      <c r="K3" s="160" t="s">
        <v>307</v>
      </c>
      <c r="L3" s="161" t="s">
        <v>308</v>
      </c>
      <c r="M3" s="161" t="s">
        <v>309</v>
      </c>
      <c r="N3" s="161" t="s">
        <v>310</v>
      </c>
      <c r="O3" s="161" t="s">
        <v>311</v>
      </c>
      <c r="P3" s="161" t="s">
        <v>312</v>
      </c>
      <c r="Q3" s="161" t="s">
        <v>313</v>
      </c>
      <c r="R3" s="162" t="s">
        <v>314</v>
      </c>
      <c r="S3" s="161"/>
      <c r="T3" s="154" t="s">
        <v>299</v>
      </c>
      <c r="U3" s="155" t="s">
        <v>200</v>
      </c>
      <c r="V3" s="156" t="s">
        <v>300</v>
      </c>
      <c r="W3" s="156" t="s">
        <v>301</v>
      </c>
      <c r="X3" s="156" t="s">
        <v>302</v>
      </c>
      <c r="Y3" s="157" t="s">
        <v>303</v>
      </c>
      <c r="Z3" s="157" t="s">
        <v>304</v>
      </c>
      <c r="AA3" s="158" t="s">
        <v>305</v>
      </c>
      <c r="AB3" s="159" t="s">
        <v>315</v>
      </c>
      <c r="AC3" s="160" t="s">
        <v>307</v>
      </c>
      <c r="AD3" s="161"/>
      <c r="AE3" s="163"/>
      <c r="AF3" s="164" t="s">
        <v>316</v>
      </c>
      <c r="AG3" s="165"/>
      <c r="AH3" s="165"/>
      <c r="AI3" s="165"/>
      <c r="AJ3" s="165"/>
      <c r="AK3" s="165"/>
      <c r="AL3" s="165"/>
      <c r="AM3" s="165"/>
      <c r="AN3" s="165"/>
      <c r="AO3" s="166"/>
      <c r="AP3" s="90"/>
      <c r="AQ3" s="90"/>
      <c r="AR3" s="90"/>
      <c r="AS3" s="90"/>
      <c r="AT3" s="90"/>
      <c r="AU3" s="90"/>
      <c r="AV3" s="90"/>
      <c r="AW3" s="90"/>
      <c r="AX3" s="90"/>
      <c r="AY3" s="90"/>
      <c r="AZ3" s="90"/>
      <c r="BA3" s="90"/>
    </row>
    <row r="4" spans="1:53" ht="15.75" customHeight="1">
      <c r="A4" s="90"/>
      <c r="B4" s="167" t="s">
        <v>317</v>
      </c>
      <c r="C4" s="168" t="s">
        <v>318</v>
      </c>
      <c r="D4" s="169">
        <f t="shared" ref="D4:J4" si="0">SUM(D5:D15)</f>
        <v>1543.8056751316701</v>
      </c>
      <c r="E4" s="169">
        <f t="shared" si="0"/>
        <v>1665.734952777032</v>
      </c>
      <c r="F4" s="169">
        <f t="shared" si="0"/>
        <v>1696.4159073463554</v>
      </c>
      <c r="G4" s="169">
        <f t="shared" si="0"/>
        <v>1499.4019066084977</v>
      </c>
      <c r="H4" s="169">
        <f t="shared" si="0"/>
        <v>1515.271668759437</v>
      </c>
      <c r="I4" s="170">
        <f t="shared" si="0"/>
        <v>1473.5763134762813</v>
      </c>
      <c r="J4" s="171">
        <f t="shared" si="0"/>
        <v>1630.6449681847118</v>
      </c>
      <c r="K4" s="172">
        <f>J4/(($J$4*$J$25/1000)/Projectinformatie!$C$20)</f>
        <v>0.33827628305739621</v>
      </c>
      <c r="L4" s="173"/>
      <c r="M4" s="173"/>
      <c r="N4" s="173"/>
      <c r="O4" s="173"/>
      <c r="P4" s="173"/>
      <c r="Q4" s="173"/>
      <c r="R4" s="174"/>
      <c r="S4" s="90"/>
      <c r="T4" s="167" t="s">
        <v>317</v>
      </c>
      <c r="U4" s="168" t="s">
        <v>318</v>
      </c>
      <c r="V4" s="169">
        <f t="shared" ref="V4:X4" si="1">SUM(V5:V16)</f>
        <v>1543.8056751316703</v>
      </c>
      <c r="W4" s="169">
        <f t="shared" si="1"/>
        <v>1665.734952777032</v>
      </c>
      <c r="X4" s="169">
        <f t="shared" si="1"/>
        <v>1696.4159073463554</v>
      </c>
      <c r="Y4" s="169">
        <f>SUM(Y5:Y15)</f>
        <v>1499.4019066084977</v>
      </c>
      <c r="Z4" s="169">
        <f t="shared" ref="Z4:AB4" si="2">SUM(Z5:Z16)</f>
        <v>1515.271668759437</v>
      </c>
      <c r="AA4" s="170">
        <f t="shared" si="2"/>
        <v>1473.5763134762813</v>
      </c>
      <c r="AB4" s="171">
        <f t="shared" si="2"/>
        <v>1630.6449681847114</v>
      </c>
      <c r="AC4" s="172">
        <f>AB4/(($AB$4*$J$25/1000)/Projectinformatie!$C$20)</f>
        <v>0.33827628305739615</v>
      </c>
      <c r="AD4" s="90"/>
      <c r="AE4" s="175"/>
      <c r="AF4" s="91" t="s">
        <v>319</v>
      </c>
      <c r="AG4" s="90"/>
      <c r="AH4" s="90"/>
      <c r="AI4" s="90"/>
      <c r="AJ4" s="90"/>
      <c r="AK4" s="90"/>
      <c r="AL4" s="90"/>
      <c r="AM4" s="90"/>
      <c r="AN4" s="90"/>
      <c r="AO4" s="176"/>
      <c r="AP4" s="90"/>
      <c r="AQ4" s="90"/>
      <c r="AR4" s="90"/>
      <c r="AS4" s="90"/>
      <c r="AT4" s="90"/>
      <c r="AU4" s="90"/>
      <c r="AV4" s="90"/>
      <c r="AW4" s="90"/>
      <c r="AX4" s="90"/>
      <c r="AY4" s="90"/>
      <c r="AZ4" s="90"/>
      <c r="BA4" s="90"/>
    </row>
    <row r="5" spans="1:53" ht="9.75" customHeight="1">
      <c r="A5" s="90"/>
      <c r="B5" s="177" t="s">
        <v>320</v>
      </c>
      <c r="C5" s="178" t="s">
        <v>318</v>
      </c>
      <c r="D5" s="179">
        <f t="shared" ref="D5:I5" si="3">(((D42+D41)*$D92+D40*$D91)*(D55-$J60))</f>
        <v>128.79079029777256</v>
      </c>
      <c r="E5" s="186">
        <f t="shared" si="3"/>
        <v>0</v>
      </c>
      <c r="F5" s="180">
        <f t="shared" si="3"/>
        <v>150.90383523843914</v>
      </c>
      <c r="G5" s="180">
        <f t="shared" si="3"/>
        <v>121.90323599999998</v>
      </c>
      <c r="H5" s="180">
        <f t="shared" si="3"/>
        <v>124.12218</v>
      </c>
      <c r="I5" s="180">
        <f t="shared" si="3"/>
        <v>117.604032</v>
      </c>
      <c r="J5" s="181">
        <f t="shared" ref="J5:J10" si="4">IF(ISERROR((SUMPRODUCT(D5:I5,D$25:I$25)/J$25))," ",(SUMPRODUCT(D5:I5,D$25:I$25)/J$25))</f>
        <v>91.264951422968252</v>
      </c>
      <c r="K5" s="182">
        <f t="shared" ref="K5:K11" si="5">J5/($J$17/$K$17)</f>
        <v>18.059189667301524</v>
      </c>
      <c r="L5" s="183">
        <f>(((D42+D41)*$D92+D40*$D91)*(D28+D54-$J60))</f>
        <v>123.01270799999999</v>
      </c>
      <c r="M5" s="183">
        <f t="shared" ref="M5:P5" si="6">(((F42+F41)*$D92+F40*$D91)*(F28+F54-$J60))</f>
        <v>121.90323599999998</v>
      </c>
      <c r="N5" s="183">
        <f t="shared" si="6"/>
        <v>121.90323599999998</v>
      </c>
      <c r="O5" s="183">
        <f t="shared" si="6"/>
        <v>124.12218</v>
      </c>
      <c r="P5" s="183">
        <f t="shared" si="6"/>
        <v>117.604032</v>
      </c>
      <c r="Q5" s="183">
        <f>(L5*$D$25+E5*$E$25+M5*$F$25+N5*$G$25+O5*$H$25+P5*$I$25)/(J$25)</f>
        <v>79.921446639579244</v>
      </c>
      <c r="R5" s="184">
        <f>Q5/J5</f>
        <v>0.87570798420943186</v>
      </c>
      <c r="S5" s="185"/>
      <c r="T5" s="177" t="s">
        <v>320</v>
      </c>
      <c r="U5" s="178" t="s">
        <v>318</v>
      </c>
      <c r="V5" s="186">
        <f>L5</f>
        <v>123.01270799999999</v>
      </c>
      <c r="W5" s="186">
        <f>E5</f>
        <v>0</v>
      </c>
      <c r="X5" s="186">
        <f t="shared" ref="X5:AA5" si="7">M5</f>
        <v>121.90323599999998</v>
      </c>
      <c r="Y5" s="186">
        <f t="shared" si="7"/>
        <v>121.90323599999998</v>
      </c>
      <c r="Z5" s="186">
        <f t="shared" si="7"/>
        <v>124.12218</v>
      </c>
      <c r="AA5" s="186">
        <f t="shared" si="7"/>
        <v>117.604032</v>
      </c>
      <c r="AB5" s="181">
        <f t="shared" ref="AB5:AB18" si="8">SUMPRODUCT(V5:AA5,D$25:I$25)/J$25</f>
        <v>79.921446639579244</v>
      </c>
      <c r="AC5" s="187">
        <f t="shared" ref="AC5:AC11" si="9">AB5/($AB$17/$AC$17)</f>
        <v>15.814576580008417</v>
      </c>
      <c r="AD5" s="185"/>
      <c r="AE5" s="188"/>
      <c r="AF5" s="189" t="s">
        <v>321</v>
      </c>
      <c r="AG5" s="189" t="s">
        <v>322</v>
      </c>
      <c r="AH5" s="189" t="s">
        <v>323</v>
      </c>
      <c r="AI5" s="90"/>
      <c r="AJ5" s="90"/>
      <c r="AK5" s="90"/>
      <c r="AL5" s="90"/>
      <c r="AM5" s="90"/>
      <c r="AN5" s="90"/>
      <c r="AO5" s="176"/>
      <c r="AP5" s="90"/>
      <c r="AQ5" s="90"/>
      <c r="AR5" s="90"/>
      <c r="AS5" s="90"/>
      <c r="AT5" s="90"/>
      <c r="AU5" s="90"/>
      <c r="AV5" s="90"/>
      <c r="AW5" s="90"/>
      <c r="AX5" s="90"/>
      <c r="AY5" s="90"/>
      <c r="AZ5" s="90"/>
      <c r="BA5" s="90"/>
    </row>
    <row r="6" spans="1:53" ht="9.75" customHeight="1">
      <c r="A6" s="90"/>
      <c r="B6" s="190" t="s">
        <v>324</v>
      </c>
      <c r="C6" s="191" t="s">
        <v>318</v>
      </c>
      <c r="D6" s="192">
        <v>0</v>
      </c>
      <c r="E6" s="192">
        <f>IF(Projectinformatie!C69="Nee",(E43)*$D93*(E57-$J60),(E43)*$D93*(E56-$J60))</f>
        <v>146.93899999999999</v>
      </c>
      <c r="F6" s="192">
        <f t="shared" ref="F6" si="10">(F43)*$D93*(F56-$J60)</f>
        <v>0</v>
      </c>
      <c r="G6" s="192">
        <v>0</v>
      </c>
      <c r="H6" s="192">
        <v>0</v>
      </c>
      <c r="I6" s="193">
        <f>D6</f>
        <v>0</v>
      </c>
      <c r="J6" s="194">
        <f t="shared" si="4"/>
        <v>50.132219458179776</v>
      </c>
      <c r="K6" s="182">
        <f t="shared" si="5"/>
        <v>9.9199884021436944</v>
      </c>
      <c r="L6" s="183"/>
      <c r="M6" s="183"/>
      <c r="N6" s="183"/>
      <c r="O6" s="183"/>
      <c r="P6" s="183"/>
      <c r="Q6" s="183"/>
      <c r="R6" s="184"/>
      <c r="S6" s="185"/>
      <c r="T6" s="190" t="s">
        <v>324</v>
      </c>
      <c r="U6" s="191" t="s">
        <v>318</v>
      </c>
      <c r="V6" s="195">
        <f t="shared" ref="V6:AA6" si="11">D6</f>
        <v>0</v>
      </c>
      <c r="W6" s="186">
        <f t="shared" si="11"/>
        <v>146.93899999999999</v>
      </c>
      <c r="X6" s="195">
        <f t="shared" si="11"/>
        <v>0</v>
      </c>
      <c r="Y6" s="195">
        <f t="shared" si="11"/>
        <v>0</v>
      </c>
      <c r="Z6" s="195">
        <f t="shared" si="11"/>
        <v>0</v>
      </c>
      <c r="AA6" s="196">
        <f t="shared" si="11"/>
        <v>0</v>
      </c>
      <c r="AB6" s="181">
        <f t="shared" si="8"/>
        <v>50.132219458179776</v>
      </c>
      <c r="AC6" s="187">
        <f t="shared" si="9"/>
        <v>9.9199884021436944</v>
      </c>
      <c r="AD6" s="185"/>
      <c r="AE6" s="188"/>
      <c r="AF6" s="197" t="str">
        <f>Energiebalans!D13</f>
        <v>Opwarmen mineralen witte trommel</v>
      </c>
      <c r="AG6" s="197">
        <f>Energiebalans!E13</f>
        <v>17262748.523638688</v>
      </c>
      <c r="AH6" s="197">
        <f>Energiebalans!F13</f>
        <v>0</v>
      </c>
      <c r="AI6" s="90"/>
      <c r="AJ6" s="90"/>
      <c r="AK6" s="90"/>
      <c r="AL6" s="90"/>
      <c r="AM6" s="90"/>
      <c r="AN6" s="90"/>
      <c r="AO6" s="176"/>
      <c r="AP6" s="90"/>
      <c r="AQ6" s="90"/>
      <c r="AR6" s="90"/>
      <c r="AS6" s="90"/>
      <c r="AT6" s="90"/>
      <c r="AU6" s="90"/>
      <c r="AV6" s="90"/>
      <c r="AW6" s="90"/>
      <c r="AX6" s="90"/>
      <c r="AY6" s="90"/>
      <c r="AZ6" s="90"/>
      <c r="BA6" s="90"/>
    </row>
    <row r="7" spans="1:53" ht="9.75" customHeight="1">
      <c r="A7" s="90"/>
      <c r="B7" s="190" t="s">
        <v>325</v>
      </c>
      <c r="C7" s="191" t="s">
        <v>318</v>
      </c>
      <c r="D7" s="198">
        <f>(D49*($D95+$D96*($D110-$J60)+$D97*(D58-$D110)))/1000</f>
        <v>91.871662619999995</v>
      </c>
      <c r="E7" s="198">
        <v>0</v>
      </c>
      <c r="F7" s="198">
        <f>(F49*($D95+$D96*($D110-$J60)+$D97*(F58-$D110)))/1000</f>
        <v>91.871662619999995</v>
      </c>
      <c r="G7" s="198">
        <f t="shared" ref="G7:I7" si="12">(G49*($D95+$D96*($D110-$J60)+$D97*(G58-$D110)))/1000</f>
        <v>91.871662619999995</v>
      </c>
      <c r="H7" s="198">
        <f t="shared" si="12"/>
        <v>91.871662619999995</v>
      </c>
      <c r="I7" s="198">
        <f t="shared" si="12"/>
        <v>91.871662619999995</v>
      </c>
      <c r="J7" s="194">
        <f t="shared" si="4"/>
        <v>60.527156719907509</v>
      </c>
      <c r="K7" s="182">
        <f t="shared" si="5"/>
        <v>11.976902262966693</v>
      </c>
      <c r="L7" s="183">
        <f>(D49*($D95+$D96*($D110-$J60)+$D97*(Projectinformatie!C103-$D110)))/1000</f>
        <v>91.871662619999995</v>
      </c>
      <c r="M7" s="183">
        <f>(F49*($D95+$D96*($D110-$J60)+$D97*(F58-$D110)))/1000</f>
        <v>91.871662619999995</v>
      </c>
      <c r="N7" s="183">
        <f>(G49*($D95+$D96*($D110-$J60)+$D97*(Projectinformatie!C103-$D110)))/1000</f>
        <v>91.871662619999995</v>
      </c>
      <c r="O7" s="183">
        <f>(H49*($D95+$D96*($D110-$J60)+$D97*(Projectinformatie!C103-$D110)))/1000</f>
        <v>91.871662619999995</v>
      </c>
      <c r="P7" s="183">
        <f>(I49*($D95+$D96*($D110-$J60)+$D97*(Projectinformatie!C103-$D110)))/1000</f>
        <v>91.871662619999995</v>
      </c>
      <c r="Q7" s="183">
        <f>(L7*$D$25+E7*$E$25+M7*$F$25+N7*$G$25+O7*$H$25+P7*$I$25)/(J$25)</f>
        <v>60.527156719907509</v>
      </c>
      <c r="R7" s="184">
        <f>Q7/J7</f>
        <v>1</v>
      </c>
      <c r="S7" s="90"/>
      <c r="T7" s="190" t="s">
        <v>325</v>
      </c>
      <c r="U7" s="191" t="s">
        <v>318</v>
      </c>
      <c r="V7" s="195">
        <f>L7</f>
        <v>91.871662619999995</v>
      </c>
      <c r="W7" s="186">
        <f>E7</f>
        <v>0</v>
      </c>
      <c r="X7" s="195">
        <f t="shared" ref="X7:AA7" si="13">M7</f>
        <v>91.871662619999995</v>
      </c>
      <c r="Y7" s="195">
        <f t="shared" si="13"/>
        <v>91.871662619999995</v>
      </c>
      <c r="Z7" s="195">
        <f t="shared" si="13"/>
        <v>91.871662619999995</v>
      </c>
      <c r="AA7" s="195">
        <f t="shared" si="13"/>
        <v>91.871662619999995</v>
      </c>
      <c r="AB7" s="181">
        <f t="shared" si="8"/>
        <v>60.527156719907509</v>
      </c>
      <c r="AC7" s="187">
        <f t="shared" si="9"/>
        <v>11.976902262966693</v>
      </c>
      <c r="AD7" s="185"/>
      <c r="AE7" s="188"/>
      <c r="AF7" s="197" t="str">
        <f>Energiebalans!D14</f>
        <v>Opwarmen AG paralleltrommel</v>
      </c>
      <c r="AG7" s="197">
        <f>Energiebalans!E14</f>
        <v>10816034.435560273</v>
      </c>
      <c r="AH7" s="197">
        <f>Energiebalans!F14</f>
        <v>0</v>
      </c>
      <c r="AI7" s="90"/>
      <c r="AJ7" s="90"/>
      <c r="AK7" s="90"/>
      <c r="AL7" s="90"/>
      <c r="AM7" s="90"/>
      <c r="AN7" s="90"/>
      <c r="AO7" s="176"/>
      <c r="AP7" s="90"/>
      <c r="AQ7" s="90"/>
      <c r="AR7" s="90"/>
      <c r="AS7" s="90"/>
      <c r="AT7" s="90"/>
      <c r="AU7" s="90"/>
      <c r="AV7" s="90"/>
      <c r="AW7" s="90"/>
      <c r="AX7" s="90"/>
      <c r="AY7" s="90"/>
      <c r="AZ7" s="90"/>
      <c r="BA7" s="90"/>
    </row>
    <row r="8" spans="1:53" ht="9.75" customHeight="1">
      <c r="A8" s="90"/>
      <c r="B8" s="190" t="s">
        <v>326</v>
      </c>
      <c r="C8" s="191" t="s">
        <v>318</v>
      </c>
      <c r="D8" s="192">
        <v>0</v>
      </c>
      <c r="E8" s="192">
        <f>(E50*($D95+$D96*($D110-$J60)+$D97*(E58-$D110)))/1000</f>
        <v>92.960591475912494</v>
      </c>
      <c r="F8" s="192">
        <v>0</v>
      </c>
      <c r="G8" s="192">
        <v>0</v>
      </c>
      <c r="H8" s="192">
        <v>0</v>
      </c>
      <c r="I8" s="193">
        <f>D8</f>
        <v>0</v>
      </c>
      <c r="J8" s="194">
        <f t="shared" si="4"/>
        <v>31.716023471186286</v>
      </c>
      <c r="K8" s="182">
        <f t="shared" si="5"/>
        <v>6.2758558946057201</v>
      </c>
      <c r="L8" s="183"/>
      <c r="M8" s="183"/>
      <c r="N8" s="183"/>
      <c r="O8" s="183"/>
      <c r="P8" s="183"/>
      <c r="Q8" s="183"/>
      <c r="R8" s="184"/>
      <c r="S8" s="185"/>
      <c r="T8" s="190" t="s">
        <v>326</v>
      </c>
      <c r="U8" s="191" t="s">
        <v>318</v>
      </c>
      <c r="V8" s="195">
        <f t="shared" ref="V8:AA8" si="14">D8</f>
        <v>0</v>
      </c>
      <c r="W8" s="186">
        <f t="shared" si="14"/>
        <v>92.960591475912494</v>
      </c>
      <c r="X8" s="195">
        <f t="shared" si="14"/>
        <v>0</v>
      </c>
      <c r="Y8" s="195">
        <f t="shared" si="14"/>
        <v>0</v>
      </c>
      <c r="Z8" s="195">
        <f t="shared" si="14"/>
        <v>0</v>
      </c>
      <c r="AA8" s="196">
        <f t="shared" si="14"/>
        <v>0</v>
      </c>
      <c r="AB8" s="181">
        <f t="shared" si="8"/>
        <v>31.716023471186286</v>
      </c>
      <c r="AC8" s="187">
        <f t="shared" si="9"/>
        <v>6.2758558946057201</v>
      </c>
      <c r="AD8" s="185"/>
      <c r="AE8" s="188"/>
      <c r="AF8" s="197" t="str">
        <f>Energiebalans!D15</f>
        <v>Verdampen vocht mineralen witte trommel</v>
      </c>
      <c r="AG8" s="197">
        <f>Energiebalans!E15</f>
        <v>13235227.885468254</v>
      </c>
      <c r="AH8" s="197">
        <f>Energiebalans!F15</f>
        <v>0</v>
      </c>
      <c r="AI8" s="90"/>
      <c r="AJ8" s="90"/>
      <c r="AK8" s="90"/>
      <c r="AL8" s="90"/>
      <c r="AM8" s="90"/>
      <c r="AN8" s="90"/>
      <c r="AO8" s="176"/>
      <c r="AP8" s="90"/>
      <c r="AQ8" s="90"/>
      <c r="AR8" s="90"/>
      <c r="AS8" s="90"/>
      <c r="AT8" s="90"/>
      <c r="AU8" s="90"/>
      <c r="AV8" s="90"/>
      <c r="AW8" s="90"/>
      <c r="AX8" s="90"/>
      <c r="AY8" s="90"/>
      <c r="AZ8" s="90"/>
      <c r="BA8" s="90"/>
    </row>
    <row r="9" spans="1:53" ht="9.75" customHeight="1">
      <c r="A9" s="90"/>
      <c r="B9" s="190" t="s">
        <v>327</v>
      </c>
      <c r="C9" s="191" t="s">
        <v>318</v>
      </c>
      <c r="D9" s="192">
        <f t="shared" ref="D9:I9" si="15">((SUM(D5:D8))/$D105)*$D104*(D63/($D111-D63))*(($D94*(D58-$J60)+$D103*($D95+$D96*($D110-$J60)+$D97*(D58-$D110)))*$D101)/1000</f>
        <v>1263.5538109445663</v>
      </c>
      <c r="E9" s="192">
        <f>((SUM(E5:E8))/$D105)*$D104*(E63/($D111-E63))*(($D94*(E58-$J60)+$D103*($D95+$D96*($D110-$J60)+$D97*(E58-$D110)))*$D101)/1000</f>
        <v>1373.7024408541845</v>
      </c>
      <c r="F9" s="192">
        <f t="shared" si="15"/>
        <v>1390.1771754404717</v>
      </c>
      <c r="G9" s="192">
        <f t="shared" si="15"/>
        <v>1224.114407611725</v>
      </c>
      <c r="H9" s="192">
        <f t="shared" si="15"/>
        <v>1236.820489278085</v>
      </c>
      <c r="I9" s="192">
        <f t="shared" si="15"/>
        <v>1199.496374383152</v>
      </c>
      <c r="J9" s="194">
        <f t="shared" si="4"/>
        <v>1337.8653357165651</v>
      </c>
      <c r="K9" s="182">
        <f t="shared" si="5"/>
        <v>264.7321175359005</v>
      </c>
      <c r="L9" s="183">
        <f>((L5+SUM(D6:D8))/$D105)*$D104*(D63/($D111-D63))*(($D94*(Projectinformatie!C103-$J60)+$D103*($D95+$D96*($D110-$J60)+$D97*(Projectinformatie!C103-$D110)))*$D101)/1000</f>
        <v>1230.4674484449047</v>
      </c>
      <c r="M9" s="183">
        <f>((M5+SUM(F6:F8))/$D105)*$D104*(F63/($D111-F63))*(($D94*(F58-$J60)+$D103*($D95+$D96*($D110-$J60)+$D97*(F58-$D110)))*$D101)/1000</f>
        <v>1224.114407611725</v>
      </c>
      <c r="N9" s="183">
        <f>((N5+SUM(G6:G8))/$D105)*$D104*(G63/($D111-G63))*(($D94*(Projectinformatie!C103-$J60)+$D103*($D95+$D96*($D110-$J60)+$D97*(Projectinformatie!C103-$D110)))*$D101)/1000</f>
        <v>1224.114407611725</v>
      </c>
      <c r="O9" s="183">
        <f>((O5+SUM(H6:H8))/$D105)*$D104*(H63/($D111-H63))*(($D94*(Projectinformatie!C103-$J60)+$D103*($D95+$D96*($D110-$J60)+$D97*(Projectinformatie!C103-$D110)))*$D101)/1000</f>
        <v>1236.820489278085</v>
      </c>
      <c r="P9" s="183">
        <f>((P5+SUM(I6:I8))/$D105)*$D104*(I63/($D111-I63))*(($D94*(Projectinformatie!C103-$J60)+$D103*($D95+$D96*($D110-$J60)+$D97*(Projectinformatie!C103-$D110)))*$D101)/1000</f>
        <v>1199.496374383152</v>
      </c>
      <c r="Q9" s="183">
        <f t="shared" ref="Q9:Q10" si="16">(L9*$D$25+E9*$E$25+M9*$F$25+N9*$G$25+O9*$H$25+P9*$I$25)/(J$25)</f>
        <v>1272.9103399345677</v>
      </c>
      <c r="R9" s="184">
        <f t="shared" ref="R9:R10" si="17">Q9/J9</f>
        <v>0.95144877885096901</v>
      </c>
      <c r="S9" s="185"/>
      <c r="T9" s="190" t="s">
        <v>327</v>
      </c>
      <c r="U9" s="191" t="s">
        <v>318</v>
      </c>
      <c r="V9" s="195">
        <f t="shared" ref="V9:V10" si="18">L9</f>
        <v>1230.4674484449047</v>
      </c>
      <c r="W9" s="186">
        <f t="shared" ref="W9:W10" si="19">E9</f>
        <v>1373.7024408541845</v>
      </c>
      <c r="X9" s="195">
        <f t="shared" ref="X9:AA9" si="20">M9</f>
        <v>1224.114407611725</v>
      </c>
      <c r="Y9" s="195">
        <f t="shared" si="20"/>
        <v>1224.114407611725</v>
      </c>
      <c r="Z9" s="195">
        <f t="shared" si="20"/>
        <v>1236.820489278085</v>
      </c>
      <c r="AA9" s="195">
        <f t="shared" si="20"/>
        <v>1199.496374383152</v>
      </c>
      <c r="AB9" s="181">
        <f t="shared" si="8"/>
        <v>1272.9103399345677</v>
      </c>
      <c r="AC9" s="187">
        <f t="shared" si="9"/>
        <v>251.87904995216371</v>
      </c>
      <c r="AD9" s="185"/>
      <c r="AE9" s="188"/>
      <c r="AF9" s="197" t="str">
        <f>Energiebalans!D16</f>
        <v>Verdampen vocht AG paralleltrommel</v>
      </c>
      <c r="AG9" s="197">
        <f>Energiebalans!E16</f>
        <v>6842744.5331557887</v>
      </c>
      <c r="AH9" s="197">
        <f>Energiebalans!F16</f>
        <v>0</v>
      </c>
      <c r="AI9" s="90"/>
      <c r="AJ9" s="90"/>
      <c r="AK9" s="90"/>
      <c r="AL9" s="90"/>
      <c r="AM9" s="90"/>
      <c r="AN9" s="90"/>
      <c r="AO9" s="176"/>
      <c r="AP9" s="90"/>
      <c r="AQ9" s="90"/>
      <c r="AR9" s="90"/>
      <c r="AS9" s="90"/>
      <c r="AT9" s="90"/>
      <c r="AU9" s="90"/>
      <c r="AV9" s="90"/>
      <c r="AW9" s="90"/>
      <c r="AX9" s="90"/>
      <c r="AY9" s="90"/>
      <c r="AZ9" s="90"/>
      <c r="BA9" s="90"/>
    </row>
    <row r="10" spans="1:53" ht="9.75" customHeight="1">
      <c r="A10" s="90"/>
      <c r="B10" s="190" t="s">
        <v>328</v>
      </c>
      <c r="C10" s="191" t="s">
        <v>318</v>
      </c>
      <c r="D10" s="192">
        <f>($J74*SUM(D5:D9,D13:D14,D11))</f>
        <v>15.079424390430059</v>
      </c>
      <c r="E10" s="192">
        <f>($J75*SUM(E5:E9,E13:E14,E11))</f>
        <v>16.373282075107642</v>
      </c>
      <c r="F10" s="192">
        <f t="shared" ref="F10:I10" si="21">($J74*SUM(F5:F9,F13:F14,F11))</f>
        <v>16.566788484795779</v>
      </c>
      <c r="G10" s="192">
        <f t="shared" si="21"/>
        <v>14.61615481412392</v>
      </c>
      <c r="H10" s="192">
        <f t="shared" si="21"/>
        <v>14.765405070787523</v>
      </c>
      <c r="I10" s="192">
        <f t="shared" si="21"/>
        <v>14.32698244183819</v>
      </c>
      <c r="J10" s="194">
        <f t="shared" si="4"/>
        <v>15.952318619694738</v>
      </c>
      <c r="K10" s="182">
        <f t="shared" si="5"/>
        <v>3.1565890639787444</v>
      </c>
      <c r="L10" s="199">
        <f>($J74*SUM(L5:L9,D13:D14,D11))</f>
        <v>14.690779942455718</v>
      </c>
      <c r="M10" s="199">
        <f t="shared" ref="M10:P10" si="22">($J74*SUM(M5:M9,F13:F14,F11))</f>
        <v>14.61615481412392</v>
      </c>
      <c r="N10" s="199">
        <f t="shared" si="22"/>
        <v>14.61615481412392</v>
      </c>
      <c r="O10" s="199">
        <f t="shared" si="22"/>
        <v>14.765405070787523</v>
      </c>
      <c r="P10" s="199">
        <f t="shared" si="22"/>
        <v>14.32698244183819</v>
      </c>
      <c r="Q10" s="199">
        <f t="shared" si="16"/>
        <v>15.189333614040876</v>
      </c>
      <c r="R10" s="200">
        <f t="shared" si="17"/>
        <v>0.95217090230934331</v>
      </c>
      <c r="S10" s="90"/>
      <c r="T10" s="190" t="s">
        <v>328</v>
      </c>
      <c r="U10" s="191" t="s">
        <v>318</v>
      </c>
      <c r="V10" s="195">
        <f t="shared" si="18"/>
        <v>14.690779942455718</v>
      </c>
      <c r="W10" s="186">
        <f t="shared" si="19"/>
        <v>16.373282075107642</v>
      </c>
      <c r="X10" s="195">
        <f t="shared" ref="X10:AA10" si="23">M10</f>
        <v>14.61615481412392</v>
      </c>
      <c r="Y10" s="195">
        <f t="shared" si="23"/>
        <v>14.61615481412392</v>
      </c>
      <c r="Z10" s="195">
        <f t="shared" si="23"/>
        <v>14.765405070787523</v>
      </c>
      <c r="AA10" s="195">
        <f t="shared" si="23"/>
        <v>14.32698244183819</v>
      </c>
      <c r="AB10" s="181">
        <f t="shared" si="8"/>
        <v>15.189333614040876</v>
      </c>
      <c r="AC10" s="187">
        <f t="shared" si="9"/>
        <v>3.0056122572684463</v>
      </c>
      <c r="AD10" s="90"/>
      <c r="AE10" s="175"/>
      <c r="AF10" s="197" t="str">
        <f>Energiebalans!D17</f>
        <v xml:space="preserve">Opwarmen verbrandingslucht, overmaat en leklucht </v>
      </c>
      <c r="AG10" s="197">
        <f>Energiebalans!E17</f>
        <v>7923922.5833148118</v>
      </c>
      <c r="AH10" s="197">
        <f>Energiebalans!F17</f>
        <v>0</v>
      </c>
      <c r="AI10" s="90"/>
      <c r="AJ10" s="90"/>
      <c r="AK10" s="90"/>
      <c r="AL10" s="90"/>
      <c r="AM10" s="90"/>
      <c r="AN10" s="90"/>
      <c r="AO10" s="176"/>
      <c r="AP10" s="90"/>
      <c r="AQ10" s="90"/>
      <c r="AR10" s="90"/>
      <c r="AS10" s="90"/>
      <c r="AT10" s="90"/>
      <c r="AU10" s="90"/>
      <c r="AV10" s="90"/>
      <c r="AW10" s="90"/>
      <c r="AX10" s="90"/>
      <c r="AY10" s="90"/>
      <c r="AZ10" s="90"/>
      <c r="BA10" s="90"/>
    </row>
    <row r="11" spans="1:53" ht="9.75" customHeight="1">
      <c r="A11" s="90"/>
      <c r="B11" s="201" t="s">
        <v>329</v>
      </c>
      <c r="C11" s="202" t="s">
        <v>318</v>
      </c>
      <c r="D11" s="203">
        <v>0</v>
      </c>
      <c r="E11" s="203">
        <v>0</v>
      </c>
      <c r="F11" s="203">
        <v>0</v>
      </c>
      <c r="G11" s="203">
        <v>0</v>
      </c>
      <c r="H11" s="203">
        <v>0</v>
      </c>
      <c r="I11" s="203">
        <v>0</v>
      </c>
      <c r="J11" s="204">
        <f>IF(ISERROR(((D11*$D$25+SUMPRODUCT(F11:I11,F$25:I$25))/J$25))," ",((D11*$D$25+SUMPRODUCT(F11:I11,F$25:I$25))/(J$25-E25)))</f>
        <v>0</v>
      </c>
      <c r="K11" s="205">
        <f t="shared" si="5"/>
        <v>0</v>
      </c>
      <c r="L11" s="90"/>
      <c r="M11" s="90"/>
      <c r="N11" s="90"/>
      <c r="O11" s="90"/>
      <c r="P11" s="90"/>
      <c r="Q11" s="90"/>
      <c r="R11" s="90"/>
      <c r="S11" s="90"/>
      <c r="T11" s="201" t="s">
        <v>329</v>
      </c>
      <c r="U11" s="202" t="s">
        <v>318</v>
      </c>
      <c r="V11" s="206">
        <f t="shared" ref="V11:AA11" si="24">D11</f>
        <v>0</v>
      </c>
      <c r="W11" s="186">
        <f t="shared" si="24"/>
        <v>0</v>
      </c>
      <c r="X11" s="206">
        <f t="shared" si="24"/>
        <v>0</v>
      </c>
      <c r="Y11" s="206">
        <f t="shared" si="24"/>
        <v>0</v>
      </c>
      <c r="Z11" s="206">
        <f t="shared" si="24"/>
        <v>0</v>
      </c>
      <c r="AA11" s="206">
        <f t="shared" si="24"/>
        <v>0</v>
      </c>
      <c r="AB11" s="181">
        <f t="shared" si="8"/>
        <v>0</v>
      </c>
      <c r="AC11" s="187">
        <f t="shared" si="9"/>
        <v>0</v>
      </c>
      <c r="AD11" s="90"/>
      <c r="AE11" s="175"/>
      <c r="AF11" s="197" t="str">
        <f>Energiebalans!D18</f>
        <v>Straling witte trommel en paralleltrommel</v>
      </c>
      <c r="AG11" s="197">
        <f>Energiebalans!E18</f>
        <v>611995.38415841595</v>
      </c>
      <c r="AH11" s="197">
        <f>Energiebalans!F18</f>
        <v>0</v>
      </c>
      <c r="AI11" s="90"/>
      <c r="AJ11" s="90"/>
      <c r="AK11" s="90"/>
      <c r="AL11" s="90"/>
      <c r="AM11" s="90"/>
      <c r="AN11" s="90"/>
      <c r="AO11" s="176"/>
      <c r="AP11" s="90"/>
      <c r="AQ11" s="90"/>
      <c r="AR11" s="90"/>
      <c r="AS11" s="90"/>
      <c r="AT11" s="90"/>
      <c r="AU11" s="90"/>
      <c r="AV11" s="90"/>
      <c r="AW11" s="90"/>
      <c r="AX11" s="90"/>
      <c r="AY11" s="90"/>
      <c r="AZ11" s="90"/>
      <c r="BA11" s="90"/>
    </row>
    <row r="12" spans="1:53" ht="9.75" customHeight="1">
      <c r="A12" s="90"/>
      <c r="B12" s="190" t="s">
        <v>330</v>
      </c>
      <c r="C12" s="191" t="s">
        <v>318</v>
      </c>
      <c r="D12" s="192">
        <f>IF(Projectinformatie!$C$109="Elektriciteit",D80*Energiedragers!$D$17,D80*Energiedragers!$D$3)</f>
        <v>8.7503485070739231</v>
      </c>
      <c r="E12" s="192">
        <f>IF(Projectinformatie!$C$109="Elektriciteit",E80*Energiedragers!$D$17,E80*Energiedragers!$D$3)</f>
        <v>0</v>
      </c>
      <c r="F12" s="192">
        <f>IF(Projectinformatie!$C$109="Elektriciteit",F80*Energiedragers!$D$17,F80*Energiedragers!$D$3)</f>
        <v>11.136807190821356</v>
      </c>
      <c r="G12" s="192">
        <f>IF(Projectinformatie!$C$109="Elektriciteit",G80*Energiedragers!$D$17,G80*Energiedragers!$D$3)</f>
        <v>11.136807190821354</v>
      </c>
      <c r="H12" s="192">
        <f>IF(Projectinformatie!$C$109="Elektriciteit",H80*Energiedragers!$D$17,H80*Energiedragers!$D$3)</f>
        <v>11.932293418737167</v>
      </c>
      <c r="I12" s="192">
        <f>IF(Projectinformatie!$C$109="Elektriciteit",I80*Energiedragers!$D$17,I80*Energiedragers!$D$3)</f>
        <v>14.517623659463553</v>
      </c>
      <c r="J12" s="194">
        <f t="shared" ref="J12:J15" si="25">IF(ISERROR((SUMPRODUCT(D12:I12,D$25:I$25)/J$25))," ",(SUMPRODUCT(D12:I12,D$25:I$25)/J$25))</f>
        <v>7.4273244043827411</v>
      </c>
      <c r="K12" s="182">
        <f>IF(Projectinformatie!$C$109="Elektriciteit",J12,J12/($J$17/$K$17))</f>
        <v>7.4273244043827411</v>
      </c>
      <c r="L12" s="90"/>
      <c r="M12" s="90"/>
      <c r="N12" s="90"/>
      <c r="O12" s="90"/>
      <c r="P12" s="90"/>
      <c r="Q12" s="90"/>
      <c r="R12" s="90"/>
      <c r="S12" s="90"/>
      <c r="T12" s="190" t="s">
        <v>330</v>
      </c>
      <c r="U12" s="191" t="s">
        <v>318</v>
      </c>
      <c r="V12" s="195">
        <f t="shared" ref="V12:AA12" si="26">D12</f>
        <v>8.7503485070739231</v>
      </c>
      <c r="W12" s="186">
        <f t="shared" si="26"/>
        <v>0</v>
      </c>
      <c r="X12" s="195">
        <f t="shared" si="26"/>
        <v>11.136807190821356</v>
      </c>
      <c r="Y12" s="195">
        <f t="shared" si="26"/>
        <v>11.136807190821354</v>
      </c>
      <c r="Z12" s="195">
        <f t="shared" si="26"/>
        <v>11.932293418737167</v>
      </c>
      <c r="AA12" s="195">
        <f t="shared" si="26"/>
        <v>14.517623659463553</v>
      </c>
      <c r="AB12" s="181">
        <f t="shared" si="8"/>
        <v>7.4273244043827411</v>
      </c>
      <c r="AC12" s="187">
        <f>IF(Projectinformatie!$C$109="Elektriciteit",AB12,AB12/($AB$17/$AC$17))</f>
        <v>7.4273244043827411</v>
      </c>
      <c r="AD12" s="90"/>
      <c r="AE12" s="175"/>
      <c r="AF12" s="207" t="str">
        <f>Energiebalans!D19</f>
        <v>Afgas parallel trommel (overdracht op witte trommel)</v>
      </c>
      <c r="AG12" s="207">
        <f>Energiebalans!E19</f>
        <v>0</v>
      </c>
      <c r="AH12" s="207">
        <f>Energiebalans!F19</f>
        <v>0</v>
      </c>
      <c r="AI12" s="90"/>
      <c r="AJ12" s="90"/>
      <c r="AK12" s="90"/>
      <c r="AL12" s="90"/>
      <c r="AM12" s="90"/>
      <c r="AN12" s="90"/>
      <c r="AO12" s="176"/>
      <c r="AP12" s="90"/>
      <c r="AQ12" s="90"/>
      <c r="AR12" s="90"/>
      <c r="AS12" s="90"/>
      <c r="AT12" s="90"/>
      <c r="AU12" s="90"/>
      <c r="AV12" s="90"/>
      <c r="AW12" s="90"/>
      <c r="AX12" s="90"/>
      <c r="AY12" s="90"/>
      <c r="AZ12" s="90"/>
      <c r="BA12" s="90"/>
    </row>
    <row r="13" spans="1:53" ht="9.75" customHeight="1">
      <c r="A13" s="90"/>
      <c r="B13" s="190" t="s">
        <v>331</v>
      </c>
      <c r="C13" s="191" t="s">
        <v>318</v>
      </c>
      <c r="D13" s="192">
        <f t="shared" ref="D13:I13" si="27">D83</f>
        <v>15.473592509130707</v>
      </c>
      <c r="E13" s="192">
        <f>E83</f>
        <v>15.473592509130707</v>
      </c>
      <c r="F13" s="192">
        <f t="shared" si="27"/>
        <v>15.473592509130707</v>
      </c>
      <c r="G13" s="192">
        <f t="shared" si="27"/>
        <v>15.473592509130707</v>
      </c>
      <c r="H13" s="192">
        <f t="shared" si="27"/>
        <v>15.473592509130707</v>
      </c>
      <c r="I13" s="192">
        <f t="shared" si="27"/>
        <v>15.473592509130707</v>
      </c>
      <c r="J13" s="194">
        <f t="shared" si="25"/>
        <v>15.473592509130707</v>
      </c>
      <c r="K13" s="182">
        <f t="shared" ref="K13:K14" si="28">J13/($J$17/$K$17)</f>
        <v>3.0618604141019898</v>
      </c>
      <c r="L13" s="90"/>
      <c r="M13" s="90"/>
      <c r="N13" s="90"/>
      <c r="O13" s="90"/>
      <c r="P13" s="90"/>
      <c r="Q13" s="90"/>
      <c r="R13" s="90"/>
      <c r="S13" s="90"/>
      <c r="T13" s="190" t="s">
        <v>331</v>
      </c>
      <c r="U13" s="191" t="s">
        <v>318</v>
      </c>
      <c r="V13" s="195">
        <f t="shared" ref="V13:AA13" si="29">D13</f>
        <v>15.473592509130707</v>
      </c>
      <c r="W13" s="186">
        <f t="shared" si="29"/>
        <v>15.473592509130707</v>
      </c>
      <c r="X13" s="195">
        <f t="shared" si="29"/>
        <v>15.473592509130707</v>
      </c>
      <c r="Y13" s="195">
        <f t="shared" si="29"/>
        <v>15.473592509130707</v>
      </c>
      <c r="Z13" s="195">
        <f t="shared" si="29"/>
        <v>15.473592509130707</v>
      </c>
      <c r="AA13" s="195">
        <f t="shared" si="29"/>
        <v>15.473592509130707</v>
      </c>
      <c r="AB13" s="181">
        <f t="shared" si="8"/>
        <v>15.473592509130707</v>
      </c>
      <c r="AC13" s="187">
        <f t="shared" ref="AC13:AC14" si="30">AB13/($AB$17/$AC$17)</f>
        <v>3.0618604141019898</v>
      </c>
      <c r="AD13" s="90"/>
      <c r="AE13" s="175"/>
      <c r="AF13" s="197" t="str">
        <f>Energiebalans!D20</f>
        <v>Bitumenverwarming</v>
      </c>
      <c r="AG13" s="195">
        <f>IF(Energiebalans!E20="",0,Energiebalans!E20)</f>
        <v>0</v>
      </c>
      <c r="AH13" s="197">
        <f>IF(Energiebalans!F20="",0,Energiebalans!F20)</f>
        <v>400000</v>
      </c>
      <c r="AI13" s="90"/>
      <c r="AJ13" s="90"/>
      <c r="AK13" s="90"/>
      <c r="AL13" s="90"/>
      <c r="AM13" s="90"/>
      <c r="AN13" s="90"/>
      <c r="AO13" s="176"/>
      <c r="AP13" s="90"/>
      <c r="AQ13" s="90"/>
      <c r="AR13" s="90"/>
      <c r="AS13" s="90"/>
      <c r="AT13" s="90"/>
      <c r="AU13" s="90"/>
      <c r="AV13" s="90"/>
      <c r="AW13" s="90"/>
      <c r="AX13" s="90"/>
      <c r="AY13" s="90"/>
      <c r="AZ13" s="90"/>
      <c r="BA13" s="90"/>
    </row>
    <row r="14" spans="1:53" ht="9.75" customHeight="1">
      <c r="A14" s="90"/>
      <c r="B14" s="190" t="s">
        <v>332</v>
      </c>
      <c r="C14" s="191" t="s">
        <v>318</v>
      </c>
      <c r="D14" s="192">
        <f>$D112*Projectinformatie!C120/$J25</f>
        <v>8.252582671536377</v>
      </c>
      <c r="E14" s="192">
        <f>D14</f>
        <v>8.252582671536377</v>
      </c>
      <c r="F14" s="192">
        <f>D14</f>
        <v>8.252582671536377</v>
      </c>
      <c r="G14" s="192">
        <f>D14</f>
        <v>8.252582671536377</v>
      </c>
      <c r="H14" s="192">
        <f>D14</f>
        <v>8.252582671536377</v>
      </c>
      <c r="I14" s="193">
        <f>D14</f>
        <v>8.252582671536377</v>
      </c>
      <c r="J14" s="194">
        <f t="shared" si="25"/>
        <v>8.252582671536377</v>
      </c>
      <c r="K14" s="182">
        <f t="shared" si="28"/>
        <v>1.6329922208543945</v>
      </c>
      <c r="L14" s="90"/>
      <c r="M14" s="90"/>
      <c r="N14" s="90"/>
      <c r="O14" s="90"/>
      <c r="P14" s="90"/>
      <c r="Q14" s="90"/>
      <c r="R14" s="90"/>
      <c r="S14" s="90"/>
      <c r="T14" s="190" t="s">
        <v>332</v>
      </c>
      <c r="U14" s="191" t="s">
        <v>318</v>
      </c>
      <c r="V14" s="195">
        <f t="shared" ref="V14:AA14" si="31">D14</f>
        <v>8.252582671536377</v>
      </c>
      <c r="W14" s="186">
        <f t="shared" si="31"/>
        <v>8.252582671536377</v>
      </c>
      <c r="X14" s="195">
        <f t="shared" si="31"/>
        <v>8.252582671536377</v>
      </c>
      <c r="Y14" s="195">
        <f t="shared" si="31"/>
        <v>8.252582671536377</v>
      </c>
      <c r="Z14" s="195">
        <f t="shared" si="31"/>
        <v>8.252582671536377</v>
      </c>
      <c r="AA14" s="196">
        <f t="shared" si="31"/>
        <v>8.252582671536377</v>
      </c>
      <c r="AB14" s="181">
        <f t="shared" si="8"/>
        <v>8.252582671536377</v>
      </c>
      <c r="AC14" s="187">
        <f t="shared" si="30"/>
        <v>1.6329922208543945</v>
      </c>
      <c r="AD14" s="90"/>
      <c r="AE14" s="175"/>
      <c r="AF14" s="197" t="str">
        <f>Energiebalans!D21</f>
        <v>Receptwisselingen</v>
      </c>
      <c r="AG14" s="197">
        <f>Energiebalans!E21</f>
        <v>3338387.2530676713</v>
      </c>
      <c r="AH14" s="197">
        <f>Energiebalans!F21</f>
        <v>0</v>
      </c>
      <c r="AI14" s="90"/>
      <c r="AJ14" s="90"/>
      <c r="AK14" s="90"/>
      <c r="AL14" s="90"/>
      <c r="AM14" s="90"/>
      <c r="AN14" s="90"/>
      <c r="AO14" s="176"/>
      <c r="AP14" s="90"/>
      <c r="AQ14" s="90"/>
      <c r="AR14" s="90"/>
      <c r="AS14" s="90"/>
      <c r="AT14" s="90"/>
      <c r="AU14" s="90"/>
      <c r="AV14" s="90"/>
      <c r="AW14" s="90"/>
      <c r="AX14" s="90"/>
      <c r="AY14" s="90"/>
      <c r="AZ14" s="90"/>
      <c r="BA14" s="90"/>
    </row>
    <row r="15" spans="1:53" ht="9.75" customHeight="1">
      <c r="A15" s="90"/>
      <c r="B15" s="190" t="s">
        <v>333</v>
      </c>
      <c r="C15" s="191" t="s">
        <v>318</v>
      </c>
      <c r="D15" s="192">
        <f>D87*Energiedragers!$D$17</f>
        <v>12.033463191160246</v>
      </c>
      <c r="E15" s="192">
        <f>E87*Energiedragers!$D$17</f>
        <v>12.033463191160246</v>
      </c>
      <c r="F15" s="192">
        <f>F87*Energiedragers!$D$17</f>
        <v>12.033463191160246</v>
      </c>
      <c r="G15" s="192">
        <f>G87*Energiedragers!$D$17</f>
        <v>12.033463191160246</v>
      </c>
      <c r="H15" s="192">
        <f>H87*Energiedragers!$D$17</f>
        <v>12.033463191160246</v>
      </c>
      <c r="I15" s="193">
        <f>I87*Energiedragers!$D$17</f>
        <v>12.033463191160246</v>
      </c>
      <c r="J15" s="194">
        <f t="shared" si="25"/>
        <v>12.033463191160246</v>
      </c>
      <c r="K15" s="208">
        <f>J15</f>
        <v>12.033463191160246</v>
      </c>
      <c r="L15" s="90"/>
      <c r="M15" s="90"/>
      <c r="N15" s="90"/>
      <c r="O15" s="90"/>
      <c r="P15" s="90"/>
      <c r="Q15" s="90"/>
      <c r="R15" s="90"/>
      <c r="S15" s="90"/>
      <c r="T15" s="190" t="s">
        <v>333</v>
      </c>
      <c r="U15" s="191" t="s">
        <v>318</v>
      </c>
      <c r="V15" s="195">
        <f t="shared" ref="V15:AA15" si="32">D15</f>
        <v>12.033463191160246</v>
      </c>
      <c r="W15" s="186">
        <f t="shared" si="32"/>
        <v>12.033463191160246</v>
      </c>
      <c r="X15" s="195">
        <f t="shared" si="32"/>
        <v>12.033463191160246</v>
      </c>
      <c r="Y15" s="195">
        <f t="shared" si="32"/>
        <v>12.033463191160246</v>
      </c>
      <c r="Z15" s="195">
        <f t="shared" si="32"/>
        <v>12.033463191160246</v>
      </c>
      <c r="AA15" s="196">
        <f t="shared" si="32"/>
        <v>12.033463191160246</v>
      </c>
      <c r="AB15" s="181">
        <f t="shared" si="8"/>
        <v>12.033463191160246</v>
      </c>
      <c r="AC15" s="209">
        <f>AB15</f>
        <v>12.033463191160246</v>
      </c>
      <c r="AD15" s="90"/>
      <c r="AE15" s="175"/>
      <c r="AF15" s="197" t="str">
        <f>Energiebalans!D22</f>
        <v>Starts en stops</v>
      </c>
      <c r="AG15" s="197">
        <f>Energiebalans!E22</f>
        <v>1780473.2016360909</v>
      </c>
      <c r="AH15" s="197">
        <f>Energiebalans!F22</f>
        <v>0</v>
      </c>
      <c r="AI15" s="90"/>
      <c r="AJ15" s="90"/>
      <c r="AK15" s="90"/>
      <c r="AL15" s="90"/>
      <c r="AM15" s="90"/>
      <c r="AN15" s="90"/>
      <c r="AO15" s="176"/>
      <c r="AP15" s="90"/>
      <c r="AQ15" s="90"/>
      <c r="AR15" s="90"/>
      <c r="AS15" s="90"/>
      <c r="AT15" s="90"/>
      <c r="AU15" s="90"/>
      <c r="AV15" s="90"/>
      <c r="AW15" s="90"/>
      <c r="AX15" s="90"/>
      <c r="AY15" s="90"/>
      <c r="AZ15" s="90"/>
      <c r="BA15" s="90"/>
    </row>
    <row r="16" spans="1:53" ht="9.75" customHeight="1">
      <c r="A16" s="90"/>
      <c r="B16" s="190"/>
      <c r="C16" s="191"/>
      <c r="D16" s="192"/>
      <c r="E16" s="192"/>
      <c r="F16" s="192"/>
      <c r="G16" s="192"/>
      <c r="H16" s="192"/>
      <c r="I16" s="193"/>
      <c r="J16" s="194"/>
      <c r="K16" s="208"/>
      <c r="L16" s="90"/>
      <c r="M16" s="90"/>
      <c r="N16" s="90"/>
      <c r="O16" s="90"/>
      <c r="P16" s="90"/>
      <c r="Q16" s="90"/>
      <c r="R16" s="90"/>
      <c r="S16" s="90"/>
      <c r="T16" s="190" t="s">
        <v>334</v>
      </c>
      <c r="U16" s="191" t="s">
        <v>318</v>
      </c>
      <c r="V16" s="195">
        <f>D5-L5+D7-L7+D9-L9+D10-L10</f>
        <v>39.253089245408432</v>
      </c>
      <c r="W16" s="195">
        <v>0</v>
      </c>
      <c r="X16" s="195">
        <f t="shared" ref="X16:AA16" si="33">F5-M5+F7-M7+F9-M9+F10-M10</f>
        <v>197.0140007378578</v>
      </c>
      <c r="Y16" s="195">
        <f t="shared" si="33"/>
        <v>0</v>
      </c>
      <c r="Z16" s="195">
        <f t="shared" si="33"/>
        <v>0</v>
      </c>
      <c r="AA16" s="196">
        <f t="shared" si="33"/>
        <v>0</v>
      </c>
      <c r="AB16" s="181">
        <f t="shared" si="8"/>
        <v>77.061485571040066</v>
      </c>
      <c r="AC16" s="209">
        <f>AB16/($AB$17/$AC$17)</f>
        <v>15.248657477740105</v>
      </c>
      <c r="AD16" s="90"/>
      <c r="AE16" s="175"/>
      <c r="AF16" s="197" t="str">
        <f>Energiebalans!D23</f>
        <v>Elektriciteit (overig)</v>
      </c>
      <c r="AG16" s="197">
        <f>Energiebalans!E23</f>
        <v>0</v>
      </c>
      <c r="AH16" s="197">
        <f>Energiebalans!F23</f>
        <v>648064.50000000012</v>
      </c>
      <c r="AI16" s="90"/>
      <c r="AJ16" s="90"/>
      <c r="AK16" s="90"/>
      <c r="AL16" s="90"/>
      <c r="AM16" s="90"/>
      <c r="AN16" s="90"/>
      <c r="AO16" s="176"/>
      <c r="AP16" s="90"/>
      <c r="AQ16" s="90"/>
      <c r="AR16" s="90"/>
      <c r="AS16" s="90"/>
      <c r="AT16" s="90"/>
      <c r="AU16" s="90"/>
      <c r="AV16" s="90"/>
      <c r="AW16" s="90"/>
      <c r="AX16" s="90"/>
      <c r="AY16" s="90"/>
      <c r="AZ16" s="90"/>
      <c r="BA16" s="90"/>
    </row>
    <row r="17" spans="1:53" ht="9.75" customHeight="1">
      <c r="A17" s="90"/>
      <c r="B17" s="210" t="s">
        <v>335</v>
      </c>
      <c r="C17" s="211" t="str">
        <f>VLOOKUP(Projectinformatie!C68,Energiedragers_tabel,2,FALSE) &amp; " / ton asfalt"</f>
        <v>m3 / ton asfalt</v>
      </c>
      <c r="D17" s="212">
        <f>(D4-D15-IF(Projectinformatie!$C$109="Elektriciteit",D12,0))/Energiedragers!$D$3</f>
        <v>1523.0218634334358</v>
      </c>
      <c r="E17" s="212">
        <f>(E4-E15-IF(Projectinformatie!$C$109="Elektriciteit",E12,0))/Energiedragers!$D$3</f>
        <v>1653.7014895858717</v>
      </c>
      <c r="F17" s="212">
        <f>(F4-F15-IF(Projectinformatie!$C$109="Elektriciteit",F12,0))/Energiedragers!$D$3</f>
        <v>1673.2456369643737</v>
      </c>
      <c r="G17" s="212">
        <f>(G4-G15-IF(Projectinformatie!$C$109="Elektriciteit",G12,0))/Energiedragers!$D$3</f>
        <v>1476.231636226516</v>
      </c>
      <c r="H17" s="212">
        <f>(H4-H15-IF(Projectinformatie!$C$109="Elektriciteit",H12,0))/Energiedragers!$D$3</f>
        <v>1491.3059121495396</v>
      </c>
      <c r="I17" s="213">
        <f>(I4-I15-IF(Projectinformatie!$C$109="Elektriciteit",I12,0))/Energiedragers!$D$3</f>
        <v>1447.0252266256573</v>
      </c>
      <c r="J17" s="214">
        <f>SUMPRODUCT(D17:I17,D25:I25)/J25</f>
        <v>1611.1841805891686</v>
      </c>
      <c r="K17" s="209">
        <f>J17/(((J17*Energiedragers!D3)/1000000*J25)/(Projectinformatie!C20-Projectinformatie!C19))</f>
        <v>318.81549546185317</v>
      </c>
      <c r="L17" s="90"/>
      <c r="M17" s="90"/>
      <c r="N17" s="90"/>
      <c r="O17" s="90"/>
      <c r="P17" s="90"/>
      <c r="Q17" s="90"/>
      <c r="R17" s="90"/>
      <c r="S17" s="90"/>
      <c r="T17" s="210" t="s">
        <v>335</v>
      </c>
      <c r="U17" s="211" t="str">
        <f t="shared" ref="U17:U18" si="34">C17</f>
        <v>m3 / ton asfalt</v>
      </c>
      <c r="V17" s="212">
        <f>(V4-V15-IF(Projectinformatie!$C$109="Elektriciteit",V12,0))/Energiedragers!$D$3</f>
        <v>1523.021863433436</v>
      </c>
      <c r="W17" s="212">
        <f>(W4-W15-IF(Projectinformatie!$C$109="Elektriciteit",W12,0))/Energiedragers!$D$3</f>
        <v>1653.7014895858717</v>
      </c>
      <c r="X17" s="212">
        <f>(X4-X15-IF(Projectinformatie!$C$109="Elektriciteit",X12,0))/Energiedragers!$D$3</f>
        <v>1673.2456369643737</v>
      </c>
      <c r="Y17" s="212">
        <f>(Y4-Y15-IF(Projectinformatie!$C$109="Elektriciteit",Y12,0))/Energiedragers!$D$3</f>
        <v>1476.231636226516</v>
      </c>
      <c r="Z17" s="212">
        <f>(Z4-Z15-IF(Projectinformatie!$C$109="Elektriciteit",Z12,0))/Energiedragers!$D$3</f>
        <v>1491.3059121495396</v>
      </c>
      <c r="AA17" s="213">
        <f>(AA4-AA15-IF(Projectinformatie!$C$109="Elektriciteit",AA12,0))/Energiedragers!$D$3</f>
        <v>1447.0252266256573</v>
      </c>
      <c r="AB17" s="215">
        <f t="shared" si="8"/>
        <v>1611.1841805891686</v>
      </c>
      <c r="AC17" s="209">
        <f>AB17/(((AB17*Energiedragers!D3)/1000000*J25)/(Projectinformatie!C20-Projectinformatie!C19))</f>
        <v>318.81549546185317</v>
      </c>
      <c r="AD17" s="90"/>
      <c r="AE17" s="175"/>
      <c r="AF17" s="197" t="s">
        <v>336</v>
      </c>
      <c r="AG17" s="191">
        <v>0</v>
      </c>
      <c r="AH17" s="191">
        <v>0</v>
      </c>
      <c r="AI17" s="90"/>
      <c r="AJ17" s="90"/>
      <c r="AK17" s="90"/>
      <c r="AL17" s="90"/>
      <c r="AM17" s="90"/>
      <c r="AN17" s="90"/>
      <c r="AO17" s="176"/>
      <c r="AP17" s="90"/>
      <c r="AQ17" s="90"/>
      <c r="AR17" s="90"/>
      <c r="AS17" s="90"/>
      <c r="AT17" s="90"/>
      <c r="AU17" s="90"/>
      <c r="AV17" s="90"/>
      <c r="AW17" s="90"/>
      <c r="AX17" s="90"/>
      <c r="AY17" s="90"/>
      <c r="AZ17" s="90"/>
      <c r="BA17" s="90"/>
    </row>
    <row r="18" spans="1:53" ht="9.75" customHeight="1">
      <c r="A18" s="90"/>
      <c r="B18" s="210" t="s">
        <v>337</v>
      </c>
      <c r="C18" s="211" t="s">
        <v>338</v>
      </c>
      <c r="D18" s="212">
        <f>(D15/Energiedragers!$D$17)+IF(Projectinformatie!$C$109="Elektriciteit",(D12/Energiedragers!$D$17),0)</f>
        <v>5.7732810272872692</v>
      </c>
      <c r="E18" s="212">
        <f>(E15/Energiedragers!$D$17)+IF(Projectinformatie!$C$109="Elektriciteit",(E12/Energiedragers!$D$17),0)</f>
        <v>3.3426286642111793</v>
      </c>
      <c r="F18" s="212">
        <f>(F15/Energiedragers!$D$17)+IF(Projectinformatie!$C$109="Elektriciteit",(F12/Energiedragers!$D$17),0)</f>
        <v>6.4361862172171111</v>
      </c>
      <c r="G18" s="212">
        <f>(G15/Energiedragers!$D$17)+IF(Projectinformatie!$C$109="Elektriciteit",(G12/Energiedragers!$D$17),0)</f>
        <v>6.4361862172171111</v>
      </c>
      <c r="H18" s="212">
        <f>(H15/Energiedragers!$D$17)+IF(Projectinformatie!$C$109="Elektriciteit",(H12/Energiedragers!$D$17),0)</f>
        <v>6.6571546138603921</v>
      </c>
      <c r="I18" s="213">
        <f>(I15/Energiedragers!$D$17)+IF(Projectinformatie!$C$109="Elektriciteit",(I12/Energiedragers!$D$17),0)</f>
        <v>7.3753019029510547</v>
      </c>
      <c r="J18" s="214">
        <f>SUMPRODUCT(D18:I18,D25:I25)/J25</f>
        <v>5.405774332095274</v>
      </c>
      <c r="K18" s="209">
        <f>J18/((J18*Energiedragers!D17/1000000*J25)/(Projectinformatie!C19))</f>
        <v>5.405774332095274</v>
      </c>
      <c r="L18" s="90"/>
      <c r="M18" s="90"/>
      <c r="N18" s="90"/>
      <c r="O18" s="90"/>
      <c r="P18" s="90"/>
      <c r="Q18" s="90"/>
      <c r="R18" s="90"/>
      <c r="S18" s="90"/>
      <c r="T18" s="210" t="s">
        <v>337</v>
      </c>
      <c r="U18" s="211" t="str">
        <f t="shared" si="34"/>
        <v>kWh_e / ton asfalt</v>
      </c>
      <c r="V18" s="212">
        <f>(V15/Energiedragers!$D$17)+IF(Projectinformatie!$C$109="Elektriciteit",(V12/Energiedragers!$D$17),0)</f>
        <v>5.7732810272872692</v>
      </c>
      <c r="W18" s="212">
        <f>(W15/Energiedragers!$D$17)+IF(Projectinformatie!$C$109="Elektriciteit",(W12/Energiedragers!$D$17),0)</f>
        <v>3.3426286642111793</v>
      </c>
      <c r="X18" s="212">
        <f>(X15/Energiedragers!$D$17)+IF(Projectinformatie!$C$109="Elektriciteit",(X12/Energiedragers!$D$17),0)</f>
        <v>6.4361862172171111</v>
      </c>
      <c r="Y18" s="212">
        <f>(Y15/Energiedragers!$D$17)+IF(Projectinformatie!$C$109="Elektriciteit",(Y12/Energiedragers!$D$17),0)</f>
        <v>6.4361862172171111</v>
      </c>
      <c r="Z18" s="212">
        <f>(Z15/Energiedragers!$D$17)+IF(Projectinformatie!$C$109="Elektriciteit",(Z12/Energiedragers!$D$17),0)</f>
        <v>6.6571546138603921</v>
      </c>
      <c r="AA18" s="213">
        <f>(AA15/Energiedragers!$D$17)+IF(Projectinformatie!$C$109="Elektriciteit",(AA12/Energiedragers!$D$17),0)</f>
        <v>7.3753019029510547</v>
      </c>
      <c r="AB18" s="215">
        <f t="shared" si="8"/>
        <v>5.405774332095274</v>
      </c>
      <c r="AC18" s="209">
        <f>AB18/((AB18*Energiedragers!D17/1000000*J25)/(Projectinformatie!C19))</f>
        <v>5.405774332095274</v>
      </c>
      <c r="AD18" s="90"/>
      <c r="AE18" s="175"/>
      <c r="AF18" s="211" t="s">
        <v>339</v>
      </c>
      <c r="AG18" s="216">
        <f t="shared" ref="AG18:AH18" si="35">SUM(AG6:AG16)</f>
        <v>61811533.799999997</v>
      </c>
      <c r="AH18" s="216">
        <f t="shared" si="35"/>
        <v>1048064.5000000001</v>
      </c>
      <c r="AI18" s="90"/>
      <c r="AJ18" s="90"/>
      <c r="AK18" s="90"/>
      <c r="AL18" s="90"/>
      <c r="AM18" s="90"/>
      <c r="AN18" s="90"/>
      <c r="AO18" s="176"/>
      <c r="AP18" s="90"/>
      <c r="AQ18" s="90"/>
      <c r="AR18" s="90"/>
      <c r="AS18" s="90"/>
      <c r="AT18" s="90"/>
      <c r="AU18" s="90"/>
      <c r="AV18" s="90"/>
      <c r="AW18" s="90"/>
      <c r="AX18" s="90"/>
      <c r="AY18" s="90"/>
      <c r="AZ18" s="90"/>
      <c r="BA18" s="90"/>
    </row>
    <row r="19" spans="1:53" ht="9.75" customHeight="1">
      <c r="A19" s="90"/>
      <c r="B19" s="210" t="s">
        <v>340</v>
      </c>
      <c r="C19" s="211" t="s">
        <v>341</v>
      </c>
      <c r="D19" s="216">
        <f t="shared" ref="D19:J19" si="36">D17*D25</f>
        <v>42421001.496938162</v>
      </c>
      <c r="E19" s="216">
        <f t="shared" si="36"/>
        <v>109387341.82837108</v>
      </c>
      <c r="F19" s="216">
        <f t="shared" si="36"/>
        <v>117605158.8769507</v>
      </c>
      <c r="G19" s="216">
        <f t="shared" si="36"/>
        <v>7029519.8053834243</v>
      </c>
      <c r="H19" s="216">
        <f t="shared" si="36"/>
        <v>1491.3059121495396</v>
      </c>
      <c r="I19" s="217">
        <f t="shared" si="36"/>
        <v>35929781.079637729</v>
      </c>
      <c r="J19" s="218">
        <f t="shared" si="36"/>
        <v>312374294.39319324</v>
      </c>
      <c r="K19" s="208">
        <f>K17*J25</f>
        <v>61811533.799999997</v>
      </c>
      <c r="L19" s="219"/>
      <c r="M19" s="219"/>
      <c r="N19" s="219"/>
      <c r="O19" s="219"/>
      <c r="P19" s="219"/>
      <c r="Q19" s="90"/>
      <c r="R19" s="90"/>
      <c r="S19" s="90"/>
      <c r="T19" s="210" t="s">
        <v>340</v>
      </c>
      <c r="U19" s="211" t="s">
        <v>341</v>
      </c>
      <c r="V19" s="216">
        <f t="shared" ref="V19:AB19" si="37">V17*D25</f>
        <v>42421001.496938169</v>
      </c>
      <c r="W19" s="216">
        <f t="shared" si="37"/>
        <v>109387341.82837108</v>
      </c>
      <c r="X19" s="216">
        <f t="shared" si="37"/>
        <v>117605158.8769507</v>
      </c>
      <c r="Y19" s="216">
        <f t="shared" si="37"/>
        <v>7029519.8053834243</v>
      </c>
      <c r="Z19" s="216">
        <f t="shared" si="37"/>
        <v>1491.3059121495396</v>
      </c>
      <c r="AA19" s="217">
        <f t="shared" si="37"/>
        <v>35929781.079637729</v>
      </c>
      <c r="AB19" s="218">
        <f t="shared" si="37"/>
        <v>312374294.39319324</v>
      </c>
      <c r="AC19" s="208">
        <f>AC17*J25</f>
        <v>61811533.799999997</v>
      </c>
      <c r="AD19" s="90"/>
      <c r="AE19" s="175"/>
      <c r="AF19" s="90"/>
      <c r="AG19" s="90"/>
      <c r="AH19" s="90"/>
      <c r="AI19" s="90"/>
      <c r="AJ19" s="90"/>
      <c r="AK19" s="90"/>
      <c r="AL19" s="90"/>
      <c r="AM19" s="90"/>
      <c r="AN19" s="90"/>
      <c r="AO19" s="176"/>
      <c r="AP19" s="90"/>
      <c r="AQ19" s="90"/>
      <c r="AR19" s="90"/>
      <c r="AS19" s="90"/>
      <c r="AT19" s="90"/>
      <c r="AU19" s="90"/>
      <c r="AV19" s="90"/>
      <c r="AW19" s="90"/>
      <c r="AX19" s="90"/>
      <c r="AY19" s="90"/>
      <c r="AZ19" s="90"/>
      <c r="BA19" s="90"/>
    </row>
    <row r="20" spans="1:53" ht="9.75" customHeight="1">
      <c r="A20" s="90"/>
      <c r="B20" s="220" t="s">
        <v>342</v>
      </c>
      <c r="C20" s="221" t="s">
        <v>343</v>
      </c>
      <c r="D20" s="222">
        <f t="shared" ref="D20:J20" si="38">D18*D25</f>
        <v>160804.23333430482</v>
      </c>
      <c r="E20" s="222">
        <f t="shared" si="38"/>
        <v>221104.75596713976</v>
      </c>
      <c r="F20" s="222">
        <f t="shared" si="38"/>
        <v>452371.53823433217</v>
      </c>
      <c r="G20" s="222">
        <f t="shared" si="38"/>
        <v>30647.831529144441</v>
      </c>
      <c r="H20" s="222">
        <f t="shared" si="38"/>
        <v>6.6571546138603921</v>
      </c>
      <c r="I20" s="223">
        <f t="shared" si="38"/>
        <v>183129.48378046497</v>
      </c>
      <c r="J20" s="224">
        <f t="shared" si="38"/>
        <v>1048064.5000000001</v>
      </c>
      <c r="K20" s="225">
        <f>K18*J25</f>
        <v>1048064.5000000001</v>
      </c>
      <c r="L20" s="219"/>
      <c r="M20" s="219"/>
      <c r="N20" s="219"/>
      <c r="O20" s="219"/>
      <c r="P20" s="219"/>
      <c r="Q20" s="90"/>
      <c r="R20" s="90"/>
      <c r="S20" s="90"/>
      <c r="T20" s="220" t="s">
        <v>342</v>
      </c>
      <c r="U20" s="221" t="s">
        <v>343</v>
      </c>
      <c r="V20" s="222">
        <f t="shared" ref="V20:AB20" si="39">V18*D25</f>
        <v>160804.23333430482</v>
      </c>
      <c r="W20" s="222">
        <f t="shared" si="39"/>
        <v>221104.75596713976</v>
      </c>
      <c r="X20" s="222">
        <f t="shared" si="39"/>
        <v>452371.53823433217</v>
      </c>
      <c r="Y20" s="222">
        <f t="shared" si="39"/>
        <v>30647.831529144441</v>
      </c>
      <c r="Z20" s="222">
        <f t="shared" si="39"/>
        <v>6.6571546138603921</v>
      </c>
      <c r="AA20" s="223">
        <f t="shared" si="39"/>
        <v>183129.48378046497</v>
      </c>
      <c r="AB20" s="224">
        <f t="shared" si="39"/>
        <v>1048064.5000000001</v>
      </c>
      <c r="AC20" s="225">
        <f>AC18*J25</f>
        <v>1048064.5000000001</v>
      </c>
      <c r="AD20" s="90"/>
      <c r="AE20" s="175"/>
      <c r="AF20" s="173"/>
      <c r="AG20" s="161"/>
      <c r="AH20" s="90"/>
      <c r="AI20" s="90"/>
      <c r="AJ20" s="183"/>
      <c r="AK20" s="90"/>
      <c r="AL20" s="90"/>
      <c r="AM20" s="90"/>
      <c r="AN20" s="90"/>
      <c r="AO20" s="176"/>
      <c r="AP20" s="90"/>
      <c r="AQ20" s="90"/>
      <c r="AR20" s="90"/>
      <c r="AS20" s="90"/>
      <c r="AT20" s="90"/>
      <c r="AU20" s="90"/>
      <c r="AV20" s="90"/>
      <c r="AW20" s="90"/>
      <c r="AX20" s="90"/>
      <c r="AY20" s="90"/>
      <c r="AZ20" s="90"/>
      <c r="BA20" s="90"/>
    </row>
    <row r="21" spans="1:53" ht="9.75" customHeight="1">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175"/>
      <c r="AF21" s="91" t="s">
        <v>344</v>
      </c>
      <c r="AG21" s="90"/>
      <c r="AH21" s="161"/>
      <c r="AI21" s="90"/>
      <c r="AJ21" s="183"/>
      <c r="AK21" s="90"/>
      <c r="AL21" s="90"/>
      <c r="AM21" s="90"/>
      <c r="AN21" s="90"/>
      <c r="AO21" s="176"/>
      <c r="AP21" s="90"/>
      <c r="AQ21" s="90"/>
      <c r="AR21" s="90"/>
      <c r="AS21" s="90"/>
      <c r="AT21" s="90"/>
      <c r="AU21" s="90"/>
      <c r="AV21" s="90"/>
      <c r="AW21" s="90"/>
      <c r="AX21" s="90"/>
      <c r="AY21" s="90"/>
      <c r="AZ21" s="90"/>
      <c r="BA21" s="90"/>
    </row>
    <row r="22" spans="1:53" ht="9.75" customHeight="1">
      <c r="A22" s="90"/>
      <c r="B22" s="753" t="s">
        <v>345</v>
      </c>
      <c r="C22" s="751"/>
      <c r="D22" s="751"/>
      <c r="E22" s="751"/>
      <c r="F22" s="751"/>
      <c r="G22" s="751"/>
      <c r="H22" s="751"/>
      <c r="I22" s="752"/>
      <c r="J22" s="226" t="s">
        <v>315</v>
      </c>
      <c r="K22" s="227"/>
      <c r="L22" s="227" t="s">
        <v>346</v>
      </c>
      <c r="M22" s="227" t="s">
        <v>302</v>
      </c>
      <c r="N22" s="227" t="s">
        <v>303</v>
      </c>
      <c r="O22" s="227" t="s">
        <v>304</v>
      </c>
      <c r="P22" s="227" t="s">
        <v>305</v>
      </c>
      <c r="Q22" s="90"/>
      <c r="R22" s="90"/>
      <c r="S22" s="90"/>
      <c r="T22" s="90"/>
      <c r="U22" s="90"/>
      <c r="V22" s="90"/>
      <c r="W22" s="90"/>
      <c r="X22" s="90"/>
      <c r="Y22" s="90"/>
      <c r="Z22" s="90"/>
      <c r="AA22" s="90"/>
      <c r="AB22" s="90"/>
      <c r="AC22" s="90"/>
      <c r="AD22" s="90"/>
      <c r="AE22" s="175"/>
      <c r="AF22" s="189" t="s">
        <v>321</v>
      </c>
      <c r="AG22" s="189" t="s">
        <v>322</v>
      </c>
      <c r="AH22" s="189" t="s">
        <v>323</v>
      </c>
      <c r="AI22" s="161"/>
      <c r="AJ22" s="228"/>
      <c r="AK22" s="90"/>
      <c r="AL22" s="90"/>
      <c r="AM22" s="90"/>
      <c r="AN22" s="90"/>
      <c r="AO22" s="176"/>
      <c r="AP22" s="90"/>
      <c r="AQ22" s="90"/>
      <c r="AR22" s="90"/>
      <c r="AS22" s="90"/>
      <c r="AT22" s="90"/>
      <c r="AU22" s="90"/>
      <c r="AV22" s="90"/>
      <c r="AW22" s="90"/>
      <c r="AX22" s="90"/>
      <c r="AY22" s="90"/>
      <c r="AZ22" s="90"/>
      <c r="BA22" s="90"/>
    </row>
    <row r="23" spans="1:53" ht="9.75" customHeight="1">
      <c r="A23" s="90"/>
      <c r="B23" s="229"/>
      <c r="C23" s="178"/>
      <c r="D23" s="178"/>
      <c r="E23" s="178"/>
      <c r="F23" s="178"/>
      <c r="G23" s="178"/>
      <c r="H23" s="230"/>
      <c r="I23" s="231"/>
      <c r="J23" s="232"/>
      <c r="K23" s="233" t="s">
        <v>347</v>
      </c>
      <c r="L23" s="234">
        <f>IFERROR(Projectinformatie!C84,0)</f>
        <v>165</v>
      </c>
      <c r="M23" s="234">
        <f>IFERROR(Projectinformatie!C88,0)</f>
        <v>165</v>
      </c>
      <c r="N23" s="234">
        <f>IFERROR(Projectinformatie!C85,0)</f>
        <v>170</v>
      </c>
      <c r="O23" s="234">
        <f>IFERROR(Projectinformatie!C86,0)</f>
        <v>160</v>
      </c>
      <c r="P23" s="234">
        <f>IFERROR(AVERAGE(Projectinformatie!C43*Projectinformatie!C87+Projectinformatie!C45*Projectinformatie!C89)/(Projectinformatie!C43+Projectinformatie!C45),0)</f>
        <v>165</v>
      </c>
      <c r="Q23" s="90"/>
      <c r="R23" s="90"/>
      <c r="S23" s="90"/>
      <c r="T23" s="90"/>
      <c r="U23" s="90"/>
      <c r="V23" s="90"/>
      <c r="W23" s="90"/>
      <c r="X23" s="90"/>
      <c r="Y23" s="90"/>
      <c r="Z23" s="90"/>
      <c r="AA23" s="90"/>
      <c r="AB23" s="90"/>
      <c r="AC23" s="90"/>
      <c r="AD23" s="90"/>
      <c r="AE23" s="175"/>
      <c r="AF23" s="235" t="s">
        <v>320</v>
      </c>
      <c r="AG23" s="236">
        <f>AG6*R5</f>
        <v>15117126.711549981</v>
      </c>
      <c r="AH23" s="236">
        <f>AH6</f>
        <v>0</v>
      </c>
      <c r="AI23" s="90"/>
      <c r="AJ23" s="90"/>
      <c r="AK23" s="90"/>
      <c r="AL23" s="90"/>
      <c r="AM23" s="90"/>
      <c r="AN23" s="90"/>
      <c r="AO23" s="176"/>
      <c r="AP23" s="90"/>
      <c r="AQ23" s="90"/>
      <c r="AR23" s="90"/>
      <c r="AS23" s="90"/>
      <c r="AT23" s="90"/>
      <c r="AU23" s="90"/>
      <c r="AV23" s="90"/>
      <c r="AW23" s="90"/>
      <c r="AX23" s="90"/>
      <c r="AY23" s="90"/>
      <c r="AZ23" s="90"/>
      <c r="BA23" s="90"/>
    </row>
    <row r="24" spans="1:53" ht="9.75" customHeight="1">
      <c r="A24" s="90"/>
      <c r="B24" s="237" t="s">
        <v>348</v>
      </c>
      <c r="C24" s="191"/>
      <c r="D24" s="191"/>
      <c r="E24" s="191"/>
      <c r="F24" s="191"/>
      <c r="G24" s="191"/>
      <c r="H24" s="191"/>
      <c r="I24" s="238"/>
      <c r="J24" s="239"/>
      <c r="K24" s="233"/>
      <c r="L24" s="234"/>
      <c r="M24" s="234">
        <f>IFERROR(Projectinformatie!C97,0)</f>
        <v>120</v>
      </c>
      <c r="N24" s="234">
        <f>IFERROR(Projectinformatie!C94,0)</f>
        <v>120</v>
      </c>
      <c r="O24" s="234">
        <f>IFERROR(Projectinformatie!C95,0)</f>
        <v>120</v>
      </c>
      <c r="P24" s="234">
        <f>IFERROR(Projectinformatie!C98,0)</f>
        <v>120</v>
      </c>
      <c r="Q24" s="90"/>
      <c r="R24" s="90"/>
      <c r="S24" s="90"/>
      <c r="T24" s="90"/>
      <c r="U24" s="90"/>
      <c r="V24" s="90"/>
      <c r="W24" s="90"/>
      <c r="X24" s="90"/>
      <c r="Y24" s="90"/>
      <c r="Z24" s="90"/>
      <c r="AA24" s="90"/>
      <c r="AB24" s="173"/>
      <c r="AC24" s="90"/>
      <c r="AD24" s="90"/>
      <c r="AE24" s="175"/>
      <c r="AF24" s="235" t="s">
        <v>324</v>
      </c>
      <c r="AG24" s="236">
        <f t="shared" ref="AG24:AH24" si="40">AG7</f>
        <v>10816034.435560273</v>
      </c>
      <c r="AH24" s="236">
        <f t="shared" si="40"/>
        <v>0</v>
      </c>
      <c r="AI24" s="90"/>
      <c r="AJ24" s="90"/>
      <c r="AK24" s="90"/>
      <c r="AL24" s="90"/>
      <c r="AM24" s="90"/>
      <c r="AN24" s="90"/>
      <c r="AO24" s="176"/>
      <c r="AP24" s="90"/>
      <c r="AQ24" s="90"/>
      <c r="AR24" s="90"/>
      <c r="AS24" s="90"/>
      <c r="AT24" s="90"/>
      <c r="AU24" s="90"/>
      <c r="AV24" s="90"/>
      <c r="AW24" s="90"/>
      <c r="AX24" s="90"/>
      <c r="AY24" s="90"/>
      <c r="AZ24" s="90"/>
      <c r="BA24" s="90"/>
    </row>
    <row r="25" spans="1:53" ht="9.75" customHeight="1">
      <c r="A25" s="90"/>
      <c r="B25" s="190" t="s">
        <v>350</v>
      </c>
      <c r="C25" s="191" t="s">
        <v>224</v>
      </c>
      <c r="D25" s="197">
        <f>IF(Projectinformatie!C51=0,1,Projectinformatie!C51)</f>
        <v>27853.179600000003</v>
      </c>
      <c r="E25" s="197">
        <f>IF(Projectinformatie!C52=0,1,Projectinformatie!C52)</f>
        <v>66146.969400000002</v>
      </c>
      <c r="F25" s="197">
        <f>IF(Projectinformatie!C55=0,1,Projectinformatie!C55)</f>
        <v>70285.651000000013</v>
      </c>
      <c r="G25" s="197">
        <f>IF(Projectinformatie!C54=0,1,Projectinformatie!C54)</f>
        <v>4761.8</v>
      </c>
      <c r="H25" s="197">
        <f>IF(Projectinformatie!C53=0,1,Projectinformatie!C53)</f>
        <v>1</v>
      </c>
      <c r="I25" s="240">
        <f>IF(Projectinformatie!C56=0,1,Projectinformatie!C56)</f>
        <v>24830.1</v>
      </c>
      <c r="J25" s="241">
        <f>SUM(D25:I25)</f>
        <v>193878.7</v>
      </c>
      <c r="K25" s="90"/>
      <c r="L25" s="173"/>
      <c r="M25" s="173"/>
      <c r="N25" s="173"/>
      <c r="O25" s="173"/>
      <c r="P25" s="173"/>
      <c r="Q25" s="183"/>
      <c r="R25" s="173"/>
      <c r="S25" s="90"/>
      <c r="T25" s="90"/>
      <c r="U25" s="90"/>
      <c r="V25" s="90"/>
      <c r="W25" s="90"/>
      <c r="X25" s="90"/>
      <c r="Y25" s="90"/>
      <c r="Z25" s="90"/>
      <c r="AA25" s="90"/>
      <c r="AB25" s="173"/>
      <c r="AC25" s="90"/>
      <c r="AD25" s="90"/>
      <c r="AE25" s="175"/>
      <c r="AF25" s="235" t="s">
        <v>325</v>
      </c>
      <c r="AG25" s="236">
        <f>AG8*R7</f>
        <v>13235227.885468254</v>
      </c>
      <c r="AH25" s="236">
        <f>AH8</f>
        <v>0</v>
      </c>
      <c r="AI25" s="90"/>
      <c r="AJ25" s="90"/>
      <c r="AK25" s="90"/>
      <c r="AL25" s="90"/>
      <c r="AM25" s="90"/>
      <c r="AN25" s="90"/>
      <c r="AO25" s="176"/>
      <c r="AP25" s="90"/>
      <c r="AQ25" s="90"/>
      <c r="AR25" s="90"/>
      <c r="AS25" s="90"/>
      <c r="AT25" s="90"/>
      <c r="AU25" s="90"/>
      <c r="AV25" s="90"/>
      <c r="AW25" s="90"/>
      <c r="AX25" s="90"/>
      <c r="AY25" s="90"/>
      <c r="AZ25" s="90"/>
      <c r="BA25" s="90"/>
    </row>
    <row r="26" spans="1:53" ht="9.75" customHeight="1">
      <c r="A26" s="90"/>
      <c r="B26" s="190"/>
      <c r="C26" s="191"/>
      <c r="D26" s="197"/>
      <c r="E26" s="197"/>
      <c r="F26" s="197"/>
      <c r="G26" s="197"/>
      <c r="H26" s="197"/>
      <c r="I26" s="240"/>
      <c r="J26" s="241"/>
      <c r="K26" s="90"/>
      <c r="L26" s="173"/>
      <c r="M26" s="173"/>
      <c r="N26" s="173"/>
      <c r="O26" s="173"/>
      <c r="P26" s="173"/>
      <c r="Q26" s="183"/>
      <c r="R26" s="173"/>
      <c r="S26" s="90"/>
      <c r="T26" s="90"/>
      <c r="U26" s="90"/>
      <c r="V26" s="90"/>
      <c r="W26" s="90"/>
      <c r="X26" s="90"/>
      <c r="Y26" s="90"/>
      <c r="Z26" s="90"/>
      <c r="AA26" s="90"/>
      <c r="AB26" s="173"/>
      <c r="AC26" s="90"/>
      <c r="AD26" s="90"/>
      <c r="AE26" s="175"/>
      <c r="AF26" s="235" t="s">
        <v>326</v>
      </c>
      <c r="AG26" s="236">
        <f t="shared" ref="AG26:AH26" si="41">AG9</f>
        <v>6842744.5331557887</v>
      </c>
      <c r="AH26" s="236">
        <f t="shared" si="41"/>
        <v>0</v>
      </c>
      <c r="AI26" s="90"/>
      <c r="AJ26" s="90"/>
      <c r="AK26" s="90"/>
      <c r="AL26" s="90"/>
      <c r="AM26" s="90"/>
      <c r="AN26" s="90"/>
      <c r="AO26" s="176"/>
      <c r="AP26" s="90"/>
      <c r="AQ26" s="90"/>
      <c r="AR26" s="90"/>
      <c r="AS26" s="90"/>
      <c r="AT26" s="90"/>
      <c r="AU26" s="90"/>
      <c r="AV26" s="90"/>
      <c r="AW26" s="90"/>
      <c r="AX26" s="90"/>
      <c r="AY26" s="90"/>
      <c r="AZ26" s="90"/>
      <c r="BA26" s="90"/>
    </row>
    <row r="27" spans="1:53" ht="9.75" customHeight="1">
      <c r="A27" s="90"/>
      <c r="B27" s="237" t="s">
        <v>351</v>
      </c>
      <c r="C27" s="191"/>
      <c r="D27" s="197"/>
      <c r="E27" s="197"/>
      <c r="F27" s="197"/>
      <c r="G27" s="197"/>
      <c r="H27" s="197"/>
      <c r="I27" s="240"/>
      <c r="J27" s="241"/>
      <c r="K27" s="90"/>
      <c r="L27" s="173"/>
      <c r="M27" s="173"/>
      <c r="N27" s="173"/>
      <c r="O27" s="173"/>
      <c r="P27" s="173"/>
      <c r="Q27" s="183"/>
      <c r="R27" s="173"/>
      <c r="S27" s="90"/>
      <c r="T27" s="90"/>
      <c r="U27" s="90"/>
      <c r="V27" s="90"/>
      <c r="W27" s="90"/>
      <c r="X27" s="90"/>
      <c r="Y27" s="90"/>
      <c r="Z27" s="90"/>
      <c r="AA27" s="90"/>
      <c r="AB27" s="173"/>
      <c r="AC27" s="90"/>
      <c r="AD27" s="90"/>
      <c r="AE27" s="175"/>
      <c r="AF27" s="235" t="s">
        <v>327</v>
      </c>
      <c r="AG27" s="236">
        <f t="shared" ref="AG27:AG28" si="42">AG10*R9</f>
        <v>7539206.4656044934</v>
      </c>
      <c r="AH27" s="236">
        <f t="shared" ref="AH27:AH28" si="43">AH10</f>
        <v>0</v>
      </c>
      <c r="AI27" s="90"/>
      <c r="AJ27" s="90"/>
      <c r="AK27" s="90"/>
      <c r="AL27" s="90"/>
      <c r="AM27" s="90"/>
      <c r="AN27" s="90"/>
      <c r="AO27" s="176"/>
      <c r="AP27" s="90"/>
      <c r="AQ27" s="90"/>
      <c r="AR27" s="90"/>
      <c r="AS27" s="90"/>
      <c r="AT27" s="90"/>
      <c r="AU27" s="90"/>
      <c r="AV27" s="90"/>
      <c r="AW27" s="90"/>
      <c r="AX27" s="90"/>
      <c r="AY27" s="90"/>
      <c r="AZ27" s="90"/>
      <c r="BA27" s="90"/>
    </row>
    <row r="28" spans="1:53" ht="9.75" customHeight="1">
      <c r="A28" s="90"/>
      <c r="B28" s="190" t="s">
        <v>347</v>
      </c>
      <c r="C28" s="191"/>
      <c r="D28" s="197">
        <f>Results!C51</f>
        <v>165</v>
      </c>
      <c r="E28" s="191"/>
      <c r="F28" s="197">
        <f>Results!C51</f>
        <v>165</v>
      </c>
      <c r="G28" s="197">
        <f>Results!C51</f>
        <v>165</v>
      </c>
      <c r="H28" s="197">
        <f>Results!C51</f>
        <v>165</v>
      </c>
      <c r="I28" s="240">
        <f>Results!C51</f>
        <v>165</v>
      </c>
      <c r="J28" s="241"/>
      <c r="K28" s="90"/>
      <c r="L28" s="173"/>
      <c r="M28" s="173"/>
      <c r="N28" s="173"/>
      <c r="O28" s="173"/>
      <c r="P28" s="173"/>
      <c r="Q28" s="183"/>
      <c r="R28" s="173"/>
      <c r="S28" s="90"/>
      <c r="T28" s="90"/>
      <c r="U28" s="90"/>
      <c r="V28" s="90"/>
      <c r="W28" s="90"/>
      <c r="X28" s="90"/>
      <c r="Y28" s="90"/>
      <c r="Z28" s="90"/>
      <c r="AA28" s="90"/>
      <c r="AB28" s="173"/>
      <c r="AC28" s="90"/>
      <c r="AD28" s="90"/>
      <c r="AE28" s="175"/>
      <c r="AF28" s="235" t="s">
        <v>328</v>
      </c>
      <c r="AG28" s="236">
        <f t="shared" si="42"/>
        <v>582724.19714327215</v>
      </c>
      <c r="AH28" s="236">
        <f t="shared" si="43"/>
        <v>0</v>
      </c>
      <c r="AI28" s="90"/>
      <c r="AJ28" s="90"/>
      <c r="AK28" s="90"/>
      <c r="AL28" s="90"/>
      <c r="AM28" s="90"/>
      <c r="AN28" s="90"/>
      <c r="AO28" s="176"/>
      <c r="AP28" s="90"/>
      <c r="AQ28" s="90"/>
      <c r="AR28" s="90"/>
      <c r="AS28" s="90"/>
      <c r="AT28" s="90"/>
      <c r="AU28" s="90"/>
      <c r="AV28" s="90"/>
      <c r="AW28" s="90"/>
      <c r="AX28" s="90"/>
      <c r="AY28" s="90"/>
      <c r="AZ28" s="90"/>
      <c r="BA28" s="90"/>
    </row>
    <row r="29" spans="1:53" ht="9.75" customHeight="1">
      <c r="A29" s="90"/>
      <c r="B29" s="190" t="s">
        <v>349</v>
      </c>
      <c r="C29" s="191"/>
      <c r="D29" s="197">
        <f>IFERROR(Projectinformatie!C93,0)</f>
        <v>120</v>
      </c>
      <c r="E29" s="191"/>
      <c r="F29" s="197">
        <f>IFERROR(Projectinformatie!C97,0)</f>
        <v>120</v>
      </c>
      <c r="G29" s="197">
        <f>IFERROR(Projectinformatie!C94,0)</f>
        <v>120</v>
      </c>
      <c r="H29" s="197">
        <f>IFERROR(Projectinformatie!C98,0)</f>
        <v>120</v>
      </c>
      <c r="I29" s="240">
        <f>IFERROR(Projectinformatie!C98,0)</f>
        <v>120</v>
      </c>
      <c r="J29" s="241"/>
      <c r="K29" s="90"/>
      <c r="L29" s="173"/>
      <c r="M29" s="173"/>
      <c r="N29" s="173"/>
      <c r="O29" s="173"/>
      <c r="P29" s="173"/>
      <c r="Q29" s="183"/>
      <c r="R29" s="173"/>
      <c r="S29" s="90"/>
      <c r="T29" s="90"/>
      <c r="U29" s="90"/>
      <c r="V29" s="90"/>
      <c r="W29" s="90"/>
      <c r="X29" s="90"/>
      <c r="Y29" s="90"/>
      <c r="Z29" s="90"/>
      <c r="AA29" s="90"/>
      <c r="AB29" s="173"/>
      <c r="AC29" s="90"/>
      <c r="AD29" s="90"/>
      <c r="AE29" s="175"/>
      <c r="AF29" s="242" t="s">
        <v>329</v>
      </c>
      <c r="AG29" s="243">
        <f t="shared" ref="AG29:AH29" si="44">AG12</f>
        <v>0</v>
      </c>
      <c r="AH29" s="243">
        <f t="shared" si="44"/>
        <v>0</v>
      </c>
      <c r="AI29" s="90"/>
      <c r="AJ29" s="90"/>
      <c r="AK29" s="90"/>
      <c r="AL29" s="90"/>
      <c r="AM29" s="90"/>
      <c r="AN29" s="90"/>
      <c r="AO29" s="176"/>
      <c r="AP29" s="90"/>
      <c r="AQ29" s="90"/>
      <c r="AR29" s="90"/>
      <c r="AS29" s="90"/>
      <c r="AT29" s="90"/>
      <c r="AU29" s="90"/>
      <c r="AV29" s="90"/>
      <c r="AW29" s="90"/>
      <c r="AX29" s="90"/>
      <c r="AY29" s="90"/>
      <c r="AZ29" s="90"/>
      <c r="BA29" s="90"/>
    </row>
    <row r="30" spans="1:53" ht="9.75" customHeight="1">
      <c r="A30" s="90"/>
      <c r="B30" s="210"/>
      <c r="C30" s="191"/>
      <c r="D30" s="191"/>
      <c r="E30" s="191"/>
      <c r="F30" s="191"/>
      <c r="G30" s="191"/>
      <c r="H30" s="191"/>
      <c r="I30" s="238"/>
      <c r="J30" s="244"/>
      <c r="K30" s="90"/>
      <c r="L30" s="173"/>
      <c r="M30" s="173"/>
      <c r="N30" s="173"/>
      <c r="O30" s="173"/>
      <c r="P30" s="173"/>
      <c r="Q30" s="173"/>
      <c r="R30" s="173"/>
      <c r="S30" s="90"/>
      <c r="T30" s="90"/>
      <c r="U30" s="90"/>
      <c r="V30" s="90"/>
      <c r="W30" s="90"/>
      <c r="X30" s="90"/>
      <c r="Y30" s="90"/>
      <c r="Z30" s="90"/>
      <c r="AA30" s="90"/>
      <c r="AB30" s="173"/>
      <c r="AC30" s="90"/>
      <c r="AD30" s="90"/>
      <c r="AE30" s="175"/>
      <c r="AF30" s="235" t="s">
        <v>330</v>
      </c>
      <c r="AG30" s="236">
        <f t="shared" ref="AG30:AH30" si="45">AG13</f>
        <v>0</v>
      </c>
      <c r="AH30" s="236">
        <f t="shared" si="45"/>
        <v>400000</v>
      </c>
      <c r="AI30" s="90"/>
      <c r="AJ30" s="90"/>
      <c r="AK30" s="90"/>
      <c r="AL30" s="90"/>
      <c r="AM30" s="90"/>
      <c r="AN30" s="90"/>
      <c r="AO30" s="176"/>
      <c r="AP30" s="90"/>
      <c r="AQ30" s="90"/>
      <c r="AR30" s="90"/>
      <c r="AS30" s="90"/>
      <c r="AT30" s="90"/>
      <c r="AU30" s="90"/>
      <c r="AV30" s="90"/>
      <c r="AW30" s="90"/>
      <c r="AX30" s="90"/>
      <c r="AY30" s="90"/>
      <c r="AZ30" s="90"/>
      <c r="BA30" s="90"/>
    </row>
    <row r="31" spans="1:53" ht="9.75" customHeight="1">
      <c r="A31" s="90"/>
      <c r="B31" s="237" t="s">
        <v>352</v>
      </c>
      <c r="C31" s="191"/>
      <c r="D31" s="198"/>
      <c r="E31" s="198"/>
      <c r="F31" s="198"/>
      <c r="G31" s="198"/>
      <c r="H31" s="198"/>
      <c r="I31" s="245"/>
      <c r="J31" s="244"/>
      <c r="K31" s="90"/>
      <c r="L31" s="173"/>
      <c r="M31" s="90"/>
      <c r="N31" s="90"/>
      <c r="O31" s="90"/>
      <c r="P31" s="90"/>
      <c r="Q31" s="90"/>
      <c r="R31" s="173"/>
      <c r="S31" s="90"/>
      <c r="T31" s="90"/>
      <c r="U31" s="90"/>
      <c r="V31" s="90"/>
      <c r="W31" s="90"/>
      <c r="X31" s="90"/>
      <c r="Y31" s="90"/>
      <c r="Z31" s="90"/>
      <c r="AA31" s="90"/>
      <c r="AB31" s="173"/>
      <c r="AC31" s="90"/>
      <c r="AD31" s="90"/>
      <c r="AE31" s="175"/>
      <c r="AF31" s="235" t="s">
        <v>331</v>
      </c>
      <c r="AG31" s="236">
        <f t="shared" ref="AG31:AH31" si="46">AG14</f>
        <v>3338387.2530676713</v>
      </c>
      <c r="AH31" s="236">
        <f t="shared" si="46"/>
        <v>0</v>
      </c>
      <c r="AI31" s="90"/>
      <c r="AJ31" s="90"/>
      <c r="AK31" s="90"/>
      <c r="AL31" s="90"/>
      <c r="AM31" s="90"/>
      <c r="AN31" s="90"/>
      <c r="AO31" s="176"/>
      <c r="AP31" s="90"/>
      <c r="AQ31" s="90"/>
      <c r="AR31" s="90"/>
      <c r="AS31" s="90"/>
      <c r="AT31" s="90"/>
      <c r="AU31" s="90"/>
      <c r="AV31" s="90"/>
      <c r="AW31" s="90"/>
      <c r="AX31" s="90"/>
      <c r="AY31" s="90"/>
      <c r="AZ31" s="90"/>
      <c r="BA31" s="90"/>
    </row>
    <row r="32" spans="1:53" ht="9.75" customHeight="1">
      <c r="A32" s="90"/>
      <c r="B32" s="190" t="s">
        <v>353</v>
      </c>
      <c r="C32" s="191" t="s">
        <v>354</v>
      </c>
      <c r="D32" s="192">
        <v>583</v>
      </c>
      <c r="E32" s="192">
        <v>0</v>
      </c>
      <c r="F32" s="192">
        <v>592</v>
      </c>
      <c r="G32" s="192">
        <v>592</v>
      </c>
      <c r="H32" s="192">
        <v>784</v>
      </c>
      <c r="I32" s="192">
        <v>321</v>
      </c>
      <c r="J32" s="244"/>
      <c r="K32" s="90"/>
      <c r="L32" s="173"/>
      <c r="M32" s="219"/>
      <c r="N32" s="219"/>
      <c r="O32" s="219"/>
      <c r="P32" s="219"/>
      <c r="Q32" s="173"/>
      <c r="R32" s="173"/>
      <c r="S32" s="90"/>
      <c r="T32" s="90"/>
      <c r="U32" s="90"/>
      <c r="V32" s="90"/>
      <c r="W32" s="90"/>
      <c r="X32" s="90"/>
      <c r="Y32" s="90"/>
      <c r="Z32" s="90"/>
      <c r="AA32" s="90"/>
      <c r="AB32" s="173"/>
      <c r="AC32" s="90"/>
      <c r="AD32" s="90"/>
      <c r="AE32" s="175"/>
      <c r="AF32" s="235" t="s">
        <v>332</v>
      </c>
      <c r="AG32" s="236">
        <f t="shared" ref="AG32:AH32" si="47">AG15</f>
        <v>1780473.2016360909</v>
      </c>
      <c r="AH32" s="236">
        <f t="shared" si="47"/>
        <v>0</v>
      </c>
      <c r="AI32" s="90"/>
      <c r="AJ32" s="90"/>
      <c r="AK32" s="90"/>
      <c r="AL32" s="90"/>
      <c r="AM32" s="90"/>
      <c r="AN32" s="90"/>
      <c r="AO32" s="176"/>
      <c r="AP32" s="90"/>
      <c r="AQ32" s="90"/>
      <c r="AR32" s="90"/>
      <c r="AS32" s="90"/>
      <c r="AT32" s="90"/>
      <c r="AU32" s="90"/>
      <c r="AV32" s="90"/>
      <c r="AW32" s="90"/>
      <c r="AX32" s="90"/>
      <c r="AY32" s="90"/>
      <c r="AZ32" s="90"/>
      <c r="BA32" s="90"/>
    </row>
    <row r="33" spans="1:53" ht="9.75" customHeight="1">
      <c r="A33" s="90"/>
      <c r="B33" s="190" t="s">
        <v>355</v>
      </c>
      <c r="C33" s="191" t="s">
        <v>354</v>
      </c>
      <c r="D33" s="192">
        <v>228</v>
      </c>
      <c r="E33" s="192">
        <v>0</v>
      </c>
      <c r="F33" s="192">
        <v>215.25</v>
      </c>
      <c r="G33" s="192">
        <v>143.5</v>
      </c>
      <c r="H33" s="192">
        <v>111</v>
      </c>
      <c r="I33" s="192">
        <v>395.25</v>
      </c>
      <c r="J33" s="244"/>
      <c r="K33" s="90"/>
      <c r="L33" s="173"/>
      <c r="M33" s="90"/>
      <c r="N33" s="90"/>
      <c r="O33" s="90"/>
      <c r="P33" s="90"/>
      <c r="Q33" s="90"/>
      <c r="R33" s="173"/>
      <c r="S33" s="90"/>
      <c r="T33" s="90"/>
      <c r="U33" s="90"/>
      <c r="V33" s="90"/>
      <c r="W33" s="90"/>
      <c r="X33" s="90"/>
      <c r="Y33" s="90"/>
      <c r="Z33" s="90"/>
      <c r="AA33" s="90"/>
      <c r="AB33" s="173"/>
      <c r="AC33" s="90"/>
      <c r="AD33" s="90"/>
      <c r="AE33" s="175"/>
      <c r="AF33" s="235" t="s">
        <v>356</v>
      </c>
      <c r="AG33" s="236">
        <f t="shared" ref="AG33:AH33" si="48">AG16</f>
        <v>0</v>
      </c>
      <c r="AH33" s="236">
        <f t="shared" si="48"/>
        <v>648064.50000000012</v>
      </c>
      <c r="AI33" s="90"/>
      <c r="AJ33" s="90"/>
      <c r="AK33" s="90"/>
      <c r="AL33" s="90"/>
      <c r="AM33" s="90"/>
      <c r="AN33" s="90"/>
      <c r="AO33" s="176"/>
      <c r="AP33" s="90"/>
      <c r="AQ33" s="90"/>
      <c r="AR33" s="90"/>
      <c r="AS33" s="90"/>
      <c r="AT33" s="90"/>
      <c r="AU33" s="90"/>
      <c r="AV33" s="90"/>
      <c r="AW33" s="90"/>
      <c r="AX33" s="90"/>
      <c r="AY33" s="90"/>
      <c r="AZ33" s="90"/>
      <c r="BA33" s="90"/>
    </row>
    <row r="34" spans="1:53" ht="9.75" customHeight="1">
      <c r="A34" s="90"/>
      <c r="B34" s="190" t="s">
        <v>357</v>
      </c>
      <c r="C34" s="191" t="s">
        <v>354</v>
      </c>
      <c r="D34" s="192">
        <v>76</v>
      </c>
      <c r="E34" s="192">
        <v>0</v>
      </c>
      <c r="F34" s="192">
        <v>71.75</v>
      </c>
      <c r="G34" s="192">
        <v>143.5</v>
      </c>
      <c r="H34" s="192">
        <v>0</v>
      </c>
      <c r="I34" s="192">
        <v>131.75</v>
      </c>
      <c r="J34" s="244"/>
      <c r="K34" s="90"/>
      <c r="L34" s="173"/>
      <c r="M34" s="219"/>
      <c r="N34" s="173"/>
      <c r="O34" s="173"/>
      <c r="P34" s="173"/>
      <c r="Q34" s="173"/>
      <c r="R34" s="173"/>
      <c r="S34" s="90"/>
      <c r="T34" s="90"/>
      <c r="U34" s="90"/>
      <c r="V34" s="90"/>
      <c r="W34" s="90"/>
      <c r="X34" s="90"/>
      <c r="Y34" s="90"/>
      <c r="Z34" s="90"/>
      <c r="AA34" s="90"/>
      <c r="AB34" s="173"/>
      <c r="AC34" s="90"/>
      <c r="AD34" s="90"/>
      <c r="AE34" s="175"/>
      <c r="AF34" s="236" t="s">
        <v>336</v>
      </c>
      <c r="AG34" s="236">
        <f>AG6-AG23+AG8-AG25+AG10-AG27+AG11-AG28</f>
        <v>2559609.1168141696</v>
      </c>
      <c r="AH34" s="235">
        <f>AH17</f>
        <v>0</v>
      </c>
      <c r="AI34" s="90"/>
      <c r="AJ34" s="90"/>
      <c r="AK34" s="90"/>
      <c r="AL34" s="90"/>
      <c r="AM34" s="90"/>
      <c r="AN34" s="90"/>
      <c r="AO34" s="176"/>
      <c r="AP34" s="90"/>
      <c r="AQ34" s="90"/>
      <c r="AR34" s="90"/>
      <c r="AS34" s="90"/>
      <c r="AT34" s="90"/>
      <c r="AU34" s="90"/>
      <c r="AV34" s="90"/>
      <c r="AW34" s="90"/>
      <c r="AX34" s="90"/>
      <c r="AY34" s="90"/>
      <c r="AZ34" s="90"/>
      <c r="BA34" s="90"/>
    </row>
    <row r="35" spans="1:53" ht="9.75" customHeight="1">
      <c r="A35" s="90"/>
      <c r="B35" s="190" t="s">
        <v>358</v>
      </c>
      <c r="C35" s="191" t="s">
        <v>354</v>
      </c>
      <c r="D35" s="192">
        <v>0</v>
      </c>
      <c r="E35" s="192">
        <v>1000</v>
      </c>
      <c r="F35" s="192">
        <v>0</v>
      </c>
      <c r="G35" s="192">
        <v>0</v>
      </c>
      <c r="H35" s="192">
        <v>0</v>
      </c>
      <c r="I35" s="192">
        <v>0</v>
      </c>
      <c r="J35" s="244"/>
      <c r="K35" s="90"/>
      <c r="L35" s="173"/>
      <c r="M35" s="219"/>
      <c r="N35" s="173"/>
      <c r="O35" s="173"/>
      <c r="P35" s="173"/>
      <c r="Q35" s="173"/>
      <c r="R35" s="173"/>
      <c r="S35" s="90"/>
      <c r="T35" s="90"/>
      <c r="U35" s="90"/>
      <c r="V35" s="90"/>
      <c r="W35" s="90"/>
      <c r="X35" s="90"/>
      <c r="Y35" s="90"/>
      <c r="Z35" s="90"/>
      <c r="AA35" s="90"/>
      <c r="AB35" s="173"/>
      <c r="AC35" s="90"/>
      <c r="AD35" s="90"/>
      <c r="AE35" s="175"/>
      <c r="AF35" s="246" t="s">
        <v>339</v>
      </c>
      <c r="AG35" s="246">
        <f t="shared" ref="AG35:AH35" si="49">SUM(AG23:AG34)</f>
        <v>61811533.79999999</v>
      </c>
      <c r="AH35" s="246">
        <f t="shared" si="49"/>
        <v>1048064.5000000001</v>
      </c>
      <c r="AI35" s="90"/>
      <c r="AJ35" s="90"/>
      <c r="AK35" s="90"/>
      <c r="AL35" s="90"/>
      <c r="AM35" s="90"/>
      <c r="AN35" s="90"/>
      <c r="AO35" s="176"/>
      <c r="AP35" s="90"/>
      <c r="AQ35" s="90"/>
      <c r="AR35" s="90"/>
      <c r="AS35" s="90"/>
      <c r="AT35" s="247"/>
      <c r="AU35" s="90"/>
      <c r="AV35" s="90"/>
      <c r="AW35" s="90"/>
      <c r="AX35" s="90"/>
      <c r="AY35" s="90"/>
      <c r="AZ35" s="90"/>
      <c r="BA35" s="90"/>
    </row>
    <row r="36" spans="1:53" ht="9.75" customHeight="1">
      <c r="A36" s="90"/>
      <c r="B36" s="190" t="s">
        <v>359</v>
      </c>
      <c r="C36" s="191" t="s">
        <v>354</v>
      </c>
      <c r="D36" s="192">
        <v>44</v>
      </c>
      <c r="E36" s="192">
        <v>0</v>
      </c>
      <c r="F36" s="192">
        <v>56</v>
      </c>
      <c r="G36" s="192">
        <v>56</v>
      </c>
      <c r="H36" s="192">
        <v>60</v>
      </c>
      <c r="I36" s="192">
        <v>73</v>
      </c>
      <c r="J36" s="248"/>
      <c r="K36" s="90"/>
      <c r="L36" s="173"/>
      <c r="M36" s="219"/>
      <c r="N36" s="90"/>
      <c r="O36" s="90"/>
      <c r="P36" s="90"/>
      <c r="Q36" s="90"/>
      <c r="R36" s="173"/>
      <c r="S36" s="90"/>
      <c r="T36" s="90"/>
      <c r="U36" s="90"/>
      <c r="V36" s="90"/>
      <c r="W36" s="90"/>
      <c r="X36" s="90"/>
      <c r="Y36" s="90"/>
      <c r="Z36" s="90"/>
      <c r="AA36" s="90"/>
      <c r="AB36" s="173"/>
      <c r="AC36" s="90"/>
      <c r="AD36" s="90"/>
      <c r="AE36" s="175"/>
      <c r="AF36" s="90"/>
      <c r="AG36" s="90"/>
      <c r="AH36" s="90"/>
      <c r="AI36" s="90"/>
      <c r="AJ36" s="90"/>
      <c r="AK36" s="90"/>
      <c r="AL36" s="90"/>
      <c r="AM36" s="90"/>
      <c r="AN36" s="90"/>
      <c r="AO36" s="176"/>
      <c r="AP36" s="90"/>
      <c r="AQ36" s="90"/>
      <c r="AR36" s="90"/>
      <c r="AS36" s="90"/>
      <c r="AT36" s="90"/>
      <c r="AU36" s="90"/>
      <c r="AV36" s="90"/>
      <c r="AW36" s="90"/>
      <c r="AX36" s="90"/>
      <c r="AY36" s="90"/>
      <c r="AZ36" s="90"/>
      <c r="BA36" s="90"/>
    </row>
    <row r="37" spans="1:53" ht="9.75" customHeight="1">
      <c r="A37" s="90"/>
      <c r="B37" s="190" t="s">
        <v>360</v>
      </c>
      <c r="C37" s="191" t="s">
        <v>354</v>
      </c>
      <c r="D37" s="192">
        <v>69</v>
      </c>
      <c r="E37" s="192">
        <v>0</v>
      </c>
      <c r="F37" s="192">
        <v>65</v>
      </c>
      <c r="G37" s="192">
        <v>65</v>
      </c>
      <c r="H37" s="192">
        <v>45</v>
      </c>
      <c r="I37" s="192">
        <v>79</v>
      </c>
      <c r="J37" s="248"/>
      <c r="K37" s="90"/>
      <c r="L37" s="173"/>
      <c r="M37" s="90"/>
      <c r="N37" s="90"/>
      <c r="O37" s="90"/>
      <c r="P37" s="90"/>
      <c r="Q37" s="90"/>
      <c r="R37" s="173"/>
      <c r="S37" s="90"/>
      <c r="T37" s="90"/>
      <c r="U37" s="90"/>
      <c r="V37" s="90"/>
      <c r="W37" s="90"/>
      <c r="X37" s="90"/>
      <c r="Y37" s="90"/>
      <c r="Z37" s="90"/>
      <c r="AA37" s="90"/>
      <c r="AB37" s="173"/>
      <c r="AC37" s="90"/>
      <c r="AD37" s="90"/>
      <c r="AE37" s="175"/>
      <c r="AF37" s="90"/>
      <c r="AG37" s="90"/>
      <c r="AH37" s="90"/>
      <c r="AI37" s="90"/>
      <c r="AJ37" s="90"/>
      <c r="AK37" s="90"/>
      <c r="AL37" s="90"/>
      <c r="AM37" s="90"/>
      <c r="AN37" s="90"/>
      <c r="AO37" s="176"/>
      <c r="AP37" s="90"/>
      <c r="AQ37" s="90"/>
      <c r="AR37" s="90"/>
      <c r="AS37" s="90"/>
      <c r="AT37" s="90"/>
      <c r="AU37" s="90"/>
      <c r="AV37" s="90"/>
      <c r="AW37" s="90"/>
      <c r="AX37" s="90"/>
      <c r="AY37" s="90"/>
      <c r="AZ37" s="90"/>
      <c r="BA37" s="90"/>
    </row>
    <row r="38" spans="1:53" ht="9.75" customHeight="1">
      <c r="A38" s="90"/>
      <c r="B38" s="190" t="s">
        <v>361</v>
      </c>
      <c r="C38" s="191" t="s">
        <v>354</v>
      </c>
      <c r="D38" s="192">
        <f t="shared" ref="D38:I38" si="50">SUM(D32:D37)</f>
        <v>1000</v>
      </c>
      <c r="E38" s="192">
        <f t="shared" si="50"/>
        <v>1000</v>
      </c>
      <c r="F38" s="192">
        <f t="shared" si="50"/>
        <v>1000</v>
      </c>
      <c r="G38" s="192">
        <f t="shared" si="50"/>
        <v>1000</v>
      </c>
      <c r="H38" s="192">
        <f t="shared" si="50"/>
        <v>1000</v>
      </c>
      <c r="I38" s="193">
        <f t="shared" si="50"/>
        <v>1000</v>
      </c>
      <c r="J38" s="244"/>
      <c r="K38" s="219"/>
      <c r="L38" s="90"/>
      <c r="M38" s="173"/>
      <c r="N38" s="173"/>
      <c r="O38" s="173"/>
      <c r="P38" s="173"/>
      <c r="Q38" s="173"/>
      <c r="R38" s="173"/>
      <c r="S38" s="90"/>
      <c r="T38" s="90"/>
      <c r="U38" s="90"/>
      <c r="V38" s="90"/>
      <c r="W38" s="90"/>
      <c r="X38" s="90"/>
      <c r="Y38" s="90"/>
      <c r="Z38" s="90"/>
      <c r="AA38" s="90"/>
      <c r="AB38" s="173"/>
      <c r="AC38" s="90"/>
      <c r="AD38" s="90"/>
      <c r="AE38" s="175"/>
      <c r="AF38" s="34" t="s">
        <v>362</v>
      </c>
      <c r="AG38" s="90"/>
      <c r="AH38" s="90"/>
      <c r="AI38" s="90"/>
      <c r="AJ38" s="90"/>
      <c r="AK38" s="90"/>
      <c r="AL38" s="90"/>
      <c r="AM38" s="90"/>
      <c r="AN38" s="90"/>
      <c r="AO38" s="176"/>
      <c r="AP38" s="90"/>
      <c r="AQ38" s="90"/>
      <c r="AR38" s="90"/>
      <c r="AS38" s="90"/>
      <c r="AT38" s="90"/>
      <c r="AU38" s="90"/>
      <c r="AV38" s="90"/>
      <c r="AW38" s="90"/>
      <c r="AX38" s="90"/>
      <c r="AY38" s="90"/>
      <c r="AZ38" s="90"/>
      <c r="BA38" s="90"/>
    </row>
    <row r="39" spans="1:53" ht="9.75" customHeight="1">
      <c r="A39" s="90"/>
      <c r="B39" s="190"/>
      <c r="C39" s="191"/>
      <c r="D39" s="192"/>
      <c r="E39" s="192"/>
      <c r="F39" s="192"/>
      <c r="G39" s="192"/>
      <c r="H39" s="192"/>
      <c r="I39" s="193"/>
      <c r="J39" s="244"/>
      <c r="K39" s="90"/>
      <c r="L39" s="90"/>
      <c r="M39" s="173"/>
      <c r="N39" s="173"/>
      <c r="O39" s="173"/>
      <c r="P39" s="173"/>
      <c r="Q39" s="173"/>
      <c r="R39" s="173"/>
      <c r="S39" s="90"/>
      <c r="T39" s="90"/>
      <c r="U39" s="90"/>
      <c r="V39" s="90"/>
      <c r="W39" s="90"/>
      <c r="X39" s="90"/>
      <c r="Y39" s="90"/>
      <c r="Z39" s="90"/>
      <c r="AA39" s="90"/>
      <c r="AB39" s="173"/>
      <c r="AC39" s="90"/>
      <c r="AD39" s="90"/>
      <c r="AE39" s="175"/>
      <c r="AF39" s="191" t="s">
        <v>63</v>
      </c>
      <c r="AG39" s="191" t="s">
        <v>300</v>
      </c>
      <c r="AH39" s="191" t="s">
        <v>302</v>
      </c>
      <c r="AI39" s="191" t="s">
        <v>42</v>
      </c>
      <c r="AJ39" s="191" t="s">
        <v>363</v>
      </c>
      <c r="AK39" s="191" t="s">
        <v>305</v>
      </c>
      <c r="AL39" s="90"/>
      <c r="AM39" s="90"/>
      <c r="AN39" s="90"/>
      <c r="AO39" s="176"/>
      <c r="AP39" s="90"/>
      <c r="AQ39" s="90"/>
      <c r="AR39" s="90"/>
      <c r="AS39" s="90"/>
      <c r="AT39" s="90"/>
      <c r="AU39" s="90"/>
      <c r="AV39" s="90"/>
      <c r="AW39" s="90"/>
      <c r="AX39" s="90"/>
      <c r="AY39" s="90"/>
      <c r="AZ39" s="90"/>
      <c r="BA39" s="90"/>
    </row>
    <row r="40" spans="1:53" ht="9.75" customHeight="1">
      <c r="A40" s="90"/>
      <c r="B40" s="190" t="s">
        <v>364</v>
      </c>
      <c r="C40" s="191" t="s">
        <v>241</v>
      </c>
      <c r="D40" s="249">
        <f t="shared" ref="D40:I40" si="51">D32/D$38</f>
        <v>0.58299999999999996</v>
      </c>
      <c r="E40" s="249">
        <f t="shared" si="51"/>
        <v>0</v>
      </c>
      <c r="F40" s="249">
        <f t="shared" si="51"/>
        <v>0.59199999999999997</v>
      </c>
      <c r="G40" s="249">
        <f t="shared" si="51"/>
        <v>0.59199999999999997</v>
      </c>
      <c r="H40" s="249">
        <f t="shared" si="51"/>
        <v>0.78400000000000003</v>
      </c>
      <c r="I40" s="250">
        <f t="shared" si="51"/>
        <v>0.32100000000000001</v>
      </c>
      <c r="J40" s="244"/>
      <c r="K40" s="90"/>
      <c r="L40" s="90"/>
      <c r="M40" s="173"/>
      <c r="N40" s="173"/>
      <c r="O40" s="173"/>
      <c r="P40" s="173"/>
      <c r="Q40" s="173"/>
      <c r="R40" s="173"/>
      <c r="S40" s="90"/>
      <c r="T40" s="90"/>
      <c r="U40" s="90"/>
      <c r="V40" s="90"/>
      <c r="W40" s="90"/>
      <c r="X40" s="90"/>
      <c r="Y40" s="90"/>
      <c r="Z40" s="90"/>
      <c r="AA40" s="90"/>
      <c r="AB40" s="90"/>
      <c r="AC40" s="90"/>
      <c r="AD40" s="90"/>
      <c r="AE40" s="175"/>
      <c r="AF40" s="191" t="s">
        <v>365</v>
      </c>
      <c r="AG40" s="251">
        <f>D28+D54-J60</f>
        <v>165.1</v>
      </c>
      <c r="AH40" s="251">
        <f>F28+F54-J60</f>
        <v>165.1</v>
      </c>
      <c r="AI40" s="251">
        <f>G28+G54-J60</f>
        <v>165.1</v>
      </c>
      <c r="AJ40" s="251">
        <f>H28+H54-J60</f>
        <v>165.1</v>
      </c>
      <c r="AK40" s="251">
        <f>I28+I54-J60</f>
        <v>165.1</v>
      </c>
      <c r="AL40" s="90"/>
      <c r="AM40" s="90"/>
      <c r="AN40" s="90"/>
      <c r="AO40" s="176"/>
      <c r="AP40" s="90"/>
      <c r="AQ40" s="90"/>
      <c r="AR40" s="90"/>
      <c r="AS40" s="90"/>
      <c r="AT40" s="90"/>
      <c r="AU40" s="90"/>
      <c r="AV40" s="90"/>
      <c r="AW40" s="90"/>
      <c r="AX40" s="90"/>
      <c r="AY40" s="90"/>
      <c r="AZ40" s="90"/>
      <c r="BA40" s="90"/>
    </row>
    <row r="41" spans="1:53" ht="9.75" customHeight="1">
      <c r="A41" s="90"/>
      <c r="B41" s="190" t="s">
        <v>366</v>
      </c>
      <c r="C41" s="191" t="s">
        <v>241</v>
      </c>
      <c r="D41" s="249">
        <f t="shared" ref="D41:I41" si="52">D33/D$38</f>
        <v>0.22800000000000001</v>
      </c>
      <c r="E41" s="249">
        <f t="shared" si="52"/>
        <v>0</v>
      </c>
      <c r="F41" s="249">
        <f t="shared" si="52"/>
        <v>0.21525</v>
      </c>
      <c r="G41" s="249">
        <f t="shared" si="52"/>
        <v>0.14349999999999999</v>
      </c>
      <c r="H41" s="249">
        <f t="shared" si="52"/>
        <v>0.111</v>
      </c>
      <c r="I41" s="250">
        <f t="shared" si="52"/>
        <v>0.39524999999999999</v>
      </c>
      <c r="J41" s="244"/>
      <c r="K41" s="90"/>
      <c r="L41" s="173"/>
      <c r="M41" s="173"/>
      <c r="N41" s="173"/>
      <c r="O41" s="173"/>
      <c r="P41" s="173"/>
      <c r="Q41" s="173"/>
      <c r="R41" s="173"/>
      <c r="S41" s="90"/>
      <c r="T41" s="90"/>
      <c r="U41" s="90"/>
      <c r="V41" s="90"/>
      <c r="W41" s="90"/>
      <c r="X41" s="90"/>
      <c r="Y41" s="90"/>
      <c r="Z41" s="90"/>
      <c r="AA41" s="90"/>
      <c r="AB41" s="90"/>
      <c r="AC41" s="90"/>
      <c r="AD41" s="90"/>
      <c r="AE41" s="175"/>
      <c r="AF41" s="191" t="s">
        <v>367</v>
      </c>
      <c r="AG41" s="251">
        <f>D29-J60</f>
        <v>110.1</v>
      </c>
      <c r="AH41" s="251">
        <f>F29-J60</f>
        <v>110.1</v>
      </c>
      <c r="AI41" s="251">
        <f>G29-J60</f>
        <v>110.1</v>
      </c>
      <c r="AJ41" s="251">
        <f>H29-J60</f>
        <v>110.1</v>
      </c>
      <c r="AK41" s="251">
        <f>I29-J60</f>
        <v>110.1</v>
      </c>
      <c r="AL41" s="90"/>
      <c r="AM41" s="90"/>
      <c r="AN41" s="90"/>
      <c r="AO41" s="176"/>
      <c r="AP41" s="90"/>
      <c r="AQ41" s="90"/>
      <c r="AR41" s="90"/>
      <c r="AS41" s="90"/>
      <c r="AT41" s="252"/>
      <c r="AU41" s="90"/>
      <c r="AV41" s="90"/>
      <c r="AW41" s="90"/>
      <c r="AX41" s="90"/>
      <c r="AY41" s="90"/>
      <c r="AZ41" s="90"/>
      <c r="BA41" s="90"/>
    </row>
    <row r="42" spans="1:53" ht="9.75" customHeight="1">
      <c r="A42" s="90"/>
      <c r="B42" s="190" t="s">
        <v>368</v>
      </c>
      <c r="C42" s="191" t="s">
        <v>241</v>
      </c>
      <c r="D42" s="249">
        <f t="shared" ref="D42:I42" si="53">D34/D$38</f>
        <v>7.5999999999999998E-2</v>
      </c>
      <c r="E42" s="249">
        <f t="shared" si="53"/>
        <v>0</v>
      </c>
      <c r="F42" s="249">
        <f t="shared" si="53"/>
        <v>7.1749999999999994E-2</v>
      </c>
      <c r="G42" s="249">
        <f t="shared" si="53"/>
        <v>0.14349999999999999</v>
      </c>
      <c r="H42" s="249">
        <f t="shared" si="53"/>
        <v>0</v>
      </c>
      <c r="I42" s="250">
        <f t="shared" si="53"/>
        <v>0.13175000000000001</v>
      </c>
      <c r="J42" s="244"/>
      <c r="K42" s="90"/>
      <c r="L42" s="173"/>
      <c r="M42" s="173"/>
      <c r="N42" s="173"/>
      <c r="O42" s="173"/>
      <c r="P42" s="173"/>
      <c r="Q42" s="173"/>
      <c r="R42" s="173"/>
      <c r="S42" s="90"/>
      <c r="T42" s="90"/>
      <c r="U42" s="90"/>
      <c r="V42" s="90"/>
      <c r="W42" s="90"/>
      <c r="X42" s="90"/>
      <c r="Y42" s="90"/>
      <c r="Z42" s="90"/>
      <c r="AA42" s="90"/>
      <c r="AB42" s="90"/>
      <c r="AC42" s="90"/>
      <c r="AD42" s="90"/>
      <c r="AE42" s="175"/>
      <c r="AF42" s="191" t="s">
        <v>369</v>
      </c>
      <c r="AG42" s="253">
        <f>($D95+$D96*($D110-$J60)+$D97*(D58-$D110))/1000</f>
        <v>2.656018</v>
      </c>
      <c r="AH42" s="253">
        <f t="shared" ref="AH42:AK42" si="54">($D95+$D96*($D110-$J60)+$D97*(F58-$D110))/1000</f>
        <v>2.656018</v>
      </c>
      <c r="AI42" s="253">
        <f t="shared" si="54"/>
        <v>2.656018</v>
      </c>
      <c r="AJ42" s="253">
        <f t="shared" si="54"/>
        <v>2.656018</v>
      </c>
      <c r="AK42" s="253">
        <f t="shared" si="54"/>
        <v>2.656018</v>
      </c>
      <c r="AL42" s="90"/>
      <c r="AM42" s="90"/>
      <c r="AN42" s="90"/>
      <c r="AO42" s="176"/>
      <c r="AP42" s="90"/>
      <c r="AQ42" s="90"/>
      <c r="AR42" s="90"/>
      <c r="AS42" s="90"/>
      <c r="AT42" s="90"/>
      <c r="AU42" s="90"/>
      <c r="AV42" s="90"/>
      <c r="AW42" s="90"/>
      <c r="AX42" s="90"/>
      <c r="AY42" s="90"/>
      <c r="AZ42" s="90"/>
      <c r="BA42" s="90"/>
    </row>
    <row r="43" spans="1:53" ht="9.75" customHeight="1">
      <c r="A43" s="90"/>
      <c r="B43" s="190" t="s">
        <v>370</v>
      </c>
      <c r="C43" s="191" t="s">
        <v>241</v>
      </c>
      <c r="D43" s="249">
        <f t="shared" ref="D43:I43" si="55">D35/D$38</f>
        <v>0</v>
      </c>
      <c r="E43" s="249">
        <f t="shared" si="55"/>
        <v>1</v>
      </c>
      <c r="F43" s="249">
        <f t="shared" si="55"/>
        <v>0</v>
      </c>
      <c r="G43" s="249">
        <f t="shared" si="55"/>
        <v>0</v>
      </c>
      <c r="H43" s="249">
        <f t="shared" si="55"/>
        <v>0</v>
      </c>
      <c r="I43" s="250">
        <f t="shared" si="55"/>
        <v>0</v>
      </c>
      <c r="J43" s="244"/>
      <c r="K43" s="90"/>
      <c r="L43" s="173"/>
      <c r="M43" s="173"/>
      <c r="N43" s="173"/>
      <c r="O43" s="173"/>
      <c r="P43" s="173"/>
      <c r="Q43" s="173"/>
      <c r="R43" s="173"/>
      <c r="S43" s="90"/>
      <c r="T43" s="90"/>
      <c r="U43" s="90"/>
      <c r="V43" s="90"/>
      <c r="W43" s="90"/>
      <c r="X43" s="90"/>
      <c r="Y43" s="90"/>
      <c r="Z43" s="90"/>
      <c r="AA43" s="90"/>
      <c r="AB43" s="90"/>
      <c r="AC43" s="90"/>
      <c r="AD43" s="90"/>
      <c r="AE43" s="175"/>
      <c r="AF43" s="191" t="s">
        <v>371</v>
      </c>
      <c r="AG43" s="251">
        <f t="shared" ref="AG43:AK43" si="56">L9</f>
        <v>1230.4674484449047</v>
      </c>
      <c r="AH43" s="251">
        <f t="shared" si="56"/>
        <v>1224.114407611725</v>
      </c>
      <c r="AI43" s="251">
        <f t="shared" si="56"/>
        <v>1224.114407611725</v>
      </c>
      <c r="AJ43" s="251">
        <f t="shared" si="56"/>
        <v>1236.820489278085</v>
      </c>
      <c r="AK43" s="251">
        <f t="shared" si="56"/>
        <v>1199.496374383152</v>
      </c>
      <c r="AL43" s="90"/>
      <c r="AM43" s="90"/>
      <c r="AN43" s="90"/>
      <c r="AO43" s="176"/>
      <c r="AP43" s="90"/>
      <c r="AQ43" s="90"/>
      <c r="AR43" s="90"/>
      <c r="AS43" s="90"/>
      <c r="AT43" s="90"/>
      <c r="AU43" s="90"/>
      <c r="AV43" s="90"/>
      <c r="AW43" s="90"/>
      <c r="AX43" s="90"/>
      <c r="AY43" s="90"/>
      <c r="AZ43" s="90"/>
      <c r="BA43" s="90"/>
    </row>
    <row r="44" spans="1:53" ht="9.75" customHeight="1">
      <c r="A44" s="90"/>
      <c r="B44" s="190" t="s">
        <v>372</v>
      </c>
      <c r="C44" s="191" t="s">
        <v>241</v>
      </c>
      <c r="D44" s="249">
        <f t="shared" ref="D44:I44" si="57">D36/D$38</f>
        <v>4.3999999999999997E-2</v>
      </c>
      <c r="E44" s="249">
        <f t="shared" si="57"/>
        <v>0</v>
      </c>
      <c r="F44" s="249">
        <f t="shared" si="57"/>
        <v>5.6000000000000001E-2</v>
      </c>
      <c r="G44" s="249">
        <f t="shared" si="57"/>
        <v>5.6000000000000001E-2</v>
      </c>
      <c r="H44" s="249">
        <f t="shared" si="57"/>
        <v>0.06</v>
      </c>
      <c r="I44" s="250">
        <f t="shared" si="57"/>
        <v>7.2999999999999995E-2</v>
      </c>
      <c r="J44" s="244"/>
      <c r="K44" s="90"/>
      <c r="L44" s="219"/>
      <c r="M44" s="219"/>
      <c r="N44" s="219"/>
      <c r="O44" s="219"/>
      <c r="P44" s="219"/>
      <c r="Q44" s="90"/>
      <c r="R44" s="90"/>
      <c r="S44" s="90"/>
      <c r="T44" s="90"/>
      <c r="U44" s="90"/>
      <c r="V44" s="90"/>
      <c r="W44" s="90"/>
      <c r="X44" s="90"/>
      <c r="Y44" s="90"/>
      <c r="Z44" s="90"/>
      <c r="AA44" s="90"/>
      <c r="AB44" s="90"/>
      <c r="AC44" s="90"/>
      <c r="AD44" s="90"/>
      <c r="AE44" s="175"/>
      <c r="AF44" s="191" t="s">
        <v>373</v>
      </c>
      <c r="AG44" s="251">
        <f t="shared" ref="AG44:AK44" si="58">L10</f>
        <v>14.690779942455718</v>
      </c>
      <c r="AH44" s="251">
        <f t="shared" si="58"/>
        <v>14.61615481412392</v>
      </c>
      <c r="AI44" s="251">
        <f t="shared" si="58"/>
        <v>14.61615481412392</v>
      </c>
      <c r="AJ44" s="251">
        <f t="shared" si="58"/>
        <v>14.765405070787523</v>
      </c>
      <c r="AK44" s="251">
        <f t="shared" si="58"/>
        <v>14.32698244183819</v>
      </c>
      <c r="AL44" s="90"/>
      <c r="AM44" s="90"/>
      <c r="AN44" s="90"/>
      <c r="AO44" s="176"/>
      <c r="AP44" s="90"/>
      <c r="AQ44" s="90"/>
      <c r="AR44" s="90"/>
      <c r="AS44" s="90"/>
      <c r="AT44" s="90"/>
      <c r="AU44" s="90"/>
      <c r="AV44" s="90"/>
      <c r="AW44" s="90"/>
      <c r="AX44" s="90"/>
      <c r="AY44" s="90"/>
      <c r="AZ44" s="90"/>
      <c r="BA44" s="90"/>
    </row>
    <row r="45" spans="1:53" ht="9.75" customHeight="1">
      <c r="A45" s="90"/>
      <c r="B45" s="190" t="s">
        <v>374</v>
      </c>
      <c r="C45" s="191" t="s">
        <v>241</v>
      </c>
      <c r="D45" s="249">
        <f t="shared" ref="D45:I45" si="59">D37/D$38</f>
        <v>6.9000000000000006E-2</v>
      </c>
      <c r="E45" s="249">
        <f t="shared" si="59"/>
        <v>0</v>
      </c>
      <c r="F45" s="249">
        <f t="shared" si="59"/>
        <v>6.5000000000000002E-2</v>
      </c>
      <c r="G45" s="249">
        <f t="shared" si="59"/>
        <v>6.5000000000000002E-2</v>
      </c>
      <c r="H45" s="249">
        <f t="shared" si="59"/>
        <v>4.4999999999999998E-2</v>
      </c>
      <c r="I45" s="250">
        <f t="shared" si="59"/>
        <v>7.9000000000000001E-2</v>
      </c>
      <c r="J45" s="244"/>
      <c r="K45" s="90"/>
      <c r="L45" s="90"/>
      <c r="M45" s="90"/>
      <c r="N45" s="90"/>
      <c r="O45" s="90"/>
      <c r="P45" s="90"/>
      <c r="Q45" s="90"/>
      <c r="R45" s="90"/>
      <c r="S45" s="90"/>
      <c r="T45" s="90"/>
      <c r="U45" s="90"/>
      <c r="V45" s="90"/>
      <c r="W45" s="90"/>
      <c r="X45" s="90"/>
      <c r="Y45" s="90"/>
      <c r="Z45" s="90"/>
      <c r="AA45" s="90"/>
      <c r="AB45" s="90"/>
      <c r="AC45" s="90"/>
      <c r="AD45" s="90"/>
      <c r="AE45" s="175"/>
      <c r="AF45" s="90"/>
      <c r="AG45" s="90"/>
      <c r="AH45" s="90"/>
      <c r="AI45" s="90"/>
      <c r="AJ45" s="90"/>
      <c r="AK45" s="90"/>
      <c r="AL45" s="90"/>
      <c r="AM45" s="90"/>
      <c r="AN45" s="90"/>
      <c r="AO45" s="176"/>
      <c r="AP45" s="90"/>
      <c r="AQ45" s="90"/>
      <c r="AR45" s="90"/>
      <c r="AS45" s="90"/>
      <c r="AT45" s="90"/>
      <c r="AU45" s="90"/>
      <c r="AV45" s="90"/>
      <c r="AW45" s="90"/>
      <c r="AX45" s="90"/>
      <c r="AY45" s="90"/>
      <c r="AZ45" s="90"/>
      <c r="BA45" s="90"/>
    </row>
    <row r="46" spans="1:53" ht="9.75" customHeight="1">
      <c r="A46" s="90"/>
      <c r="B46" s="190" t="s">
        <v>339</v>
      </c>
      <c r="C46" s="191" t="s">
        <v>241</v>
      </c>
      <c r="D46" s="249">
        <f t="shared" ref="D46:I46" si="60">D38/D$38</f>
        <v>1</v>
      </c>
      <c r="E46" s="249">
        <f t="shared" si="60"/>
        <v>1</v>
      </c>
      <c r="F46" s="249">
        <f t="shared" si="60"/>
        <v>1</v>
      </c>
      <c r="G46" s="249">
        <f t="shared" si="60"/>
        <v>1</v>
      </c>
      <c r="H46" s="249">
        <f t="shared" si="60"/>
        <v>1</v>
      </c>
      <c r="I46" s="250">
        <f t="shared" si="60"/>
        <v>1</v>
      </c>
      <c r="J46" s="244"/>
      <c r="K46" s="90"/>
      <c r="L46" s="90"/>
      <c r="M46" s="173"/>
      <c r="N46" s="90"/>
      <c r="O46" s="90"/>
      <c r="P46" s="90"/>
      <c r="Q46" s="90"/>
      <c r="R46" s="90"/>
      <c r="S46" s="90"/>
      <c r="T46" s="90"/>
      <c r="U46" s="90"/>
      <c r="V46" s="90"/>
      <c r="W46" s="90"/>
      <c r="X46" s="90"/>
      <c r="Y46" s="90"/>
      <c r="Z46" s="90"/>
      <c r="AA46" s="90"/>
      <c r="AB46" s="90"/>
      <c r="AC46" s="90"/>
      <c r="AD46" s="90"/>
      <c r="AE46" s="175"/>
      <c r="AF46" s="34"/>
      <c r="AG46" s="90"/>
      <c r="AH46" s="90"/>
      <c r="AI46" s="90"/>
      <c r="AJ46" s="90"/>
      <c r="AK46" s="90"/>
      <c r="AL46" s="90"/>
      <c r="AM46" s="90"/>
      <c r="AN46" s="90"/>
      <c r="AO46" s="176"/>
      <c r="AP46" s="90"/>
      <c r="AQ46" s="90"/>
      <c r="AR46" s="90"/>
      <c r="AS46" s="90"/>
      <c r="AT46" s="90"/>
      <c r="AU46" s="90"/>
      <c r="AV46" s="90"/>
      <c r="AW46" s="90"/>
      <c r="AX46" s="90"/>
      <c r="AY46" s="90"/>
      <c r="AZ46" s="90"/>
      <c r="BA46" s="90"/>
    </row>
    <row r="47" spans="1:53" ht="9.75" customHeight="1">
      <c r="A47" s="90"/>
      <c r="B47" s="190"/>
      <c r="C47" s="191"/>
      <c r="D47" s="249"/>
      <c r="E47" s="249"/>
      <c r="F47" s="249"/>
      <c r="G47" s="249"/>
      <c r="H47" s="249"/>
      <c r="I47" s="250"/>
      <c r="J47" s="244"/>
      <c r="K47" s="90"/>
      <c r="L47" s="90"/>
      <c r="M47" s="173"/>
      <c r="N47" s="90"/>
      <c r="O47" s="90"/>
      <c r="P47" s="90"/>
      <c r="Q47" s="90"/>
      <c r="R47" s="90"/>
      <c r="S47" s="90"/>
      <c r="T47" s="90"/>
      <c r="U47" s="90"/>
      <c r="V47" s="90"/>
      <c r="W47" s="90"/>
      <c r="X47" s="90"/>
      <c r="Y47" s="90"/>
      <c r="Z47" s="90"/>
      <c r="AA47" s="90"/>
      <c r="AB47" s="90"/>
      <c r="AC47" s="90"/>
      <c r="AD47" s="90"/>
      <c r="AE47" s="175"/>
      <c r="AF47" s="34" t="s">
        <v>375</v>
      </c>
      <c r="AG47" s="90"/>
      <c r="AH47" s="90"/>
      <c r="AI47" s="90"/>
      <c r="AJ47" s="90"/>
      <c r="AK47" s="90"/>
      <c r="AL47" s="90"/>
      <c r="AM47" s="90"/>
      <c r="AN47" s="90"/>
      <c r="AO47" s="176"/>
      <c r="AP47" s="90"/>
      <c r="AQ47" s="90"/>
      <c r="AR47" s="90"/>
      <c r="AS47" s="90"/>
      <c r="AT47" s="90"/>
      <c r="AU47" s="90"/>
      <c r="AV47" s="90"/>
      <c r="AW47" s="90"/>
      <c r="AX47" s="90"/>
      <c r="AY47" s="90"/>
      <c r="AZ47" s="90"/>
      <c r="BA47" s="90"/>
    </row>
    <row r="48" spans="1:53" ht="9.75" customHeight="1">
      <c r="A48" s="90"/>
      <c r="B48" s="237" t="s">
        <v>376</v>
      </c>
      <c r="C48" s="191"/>
      <c r="D48" s="249"/>
      <c r="E48" s="249"/>
      <c r="F48" s="249"/>
      <c r="G48" s="249"/>
      <c r="H48" s="249"/>
      <c r="I48" s="250"/>
      <c r="J48" s="244"/>
      <c r="K48" s="90"/>
      <c r="L48" s="90"/>
      <c r="M48" s="173"/>
      <c r="N48" s="90"/>
      <c r="O48" s="173"/>
      <c r="P48" s="173"/>
      <c r="Q48" s="173"/>
      <c r="R48" s="90"/>
      <c r="S48" s="90"/>
      <c r="T48" s="90"/>
      <c r="U48" s="90"/>
      <c r="V48" s="90"/>
      <c r="W48" s="90"/>
      <c r="X48" s="90"/>
      <c r="Y48" s="90"/>
      <c r="Z48" s="90"/>
      <c r="AA48" s="90"/>
      <c r="AB48" s="90"/>
      <c r="AC48" s="90"/>
      <c r="AD48" s="90"/>
      <c r="AE48" s="175"/>
      <c r="AF48" s="189" t="s">
        <v>299</v>
      </c>
      <c r="AG48" s="189" t="s">
        <v>200</v>
      </c>
      <c r="AH48" s="254" t="s">
        <v>1364</v>
      </c>
      <c r="AI48" s="254" t="s">
        <v>301</v>
      </c>
      <c r="AJ48" s="254" t="s">
        <v>1365</v>
      </c>
      <c r="AK48" s="216" t="s">
        <v>42</v>
      </c>
      <c r="AL48" s="216" t="s">
        <v>44</v>
      </c>
      <c r="AM48" s="211" t="s">
        <v>43</v>
      </c>
      <c r="AN48" s="255" t="s">
        <v>315</v>
      </c>
      <c r="AO48" s="176"/>
      <c r="AP48" s="90"/>
      <c r="AQ48" s="90"/>
      <c r="AR48" s="90"/>
      <c r="AS48" s="90"/>
      <c r="AT48" s="90"/>
      <c r="AU48" s="90"/>
      <c r="AV48" s="90"/>
      <c r="AW48" s="90"/>
      <c r="AX48" s="90"/>
      <c r="AY48" s="90"/>
      <c r="AZ48" s="90"/>
      <c r="BA48" s="90"/>
    </row>
    <row r="49" spans="1:53" ht="12" customHeight="1">
      <c r="A49" s="90"/>
      <c r="B49" s="190" t="s">
        <v>377</v>
      </c>
      <c r="C49" s="191" t="s">
        <v>354</v>
      </c>
      <c r="D49" s="195">
        <f>Results!C53</f>
        <v>34.589999999999996</v>
      </c>
      <c r="E49" s="195">
        <f>(E32*(Projectinformatie!$C73/(1-Projectinformatie!$C73))+E33*(Projectinformatie!$C74/(1-Projectinformatie!$C74))+E34*(Projectinformatie!$C75/(1-Projectinformatie!$C75)))</f>
        <v>0</v>
      </c>
      <c r="F49" s="195">
        <f>Results!C53</f>
        <v>34.589999999999996</v>
      </c>
      <c r="G49" s="195">
        <f>Results!C53</f>
        <v>34.589999999999996</v>
      </c>
      <c r="H49" s="195">
        <f>Results!C53</f>
        <v>34.589999999999996</v>
      </c>
      <c r="I49" s="196">
        <f>Results!C53</f>
        <v>34.589999999999996</v>
      </c>
      <c r="J49" s="244"/>
      <c r="K49" s="90"/>
      <c r="L49" s="90"/>
      <c r="M49" s="173"/>
      <c r="N49" s="90"/>
      <c r="O49" s="173"/>
      <c r="P49" s="173"/>
      <c r="Q49" s="183"/>
      <c r="R49" s="90"/>
      <c r="S49" s="90"/>
      <c r="T49" s="90"/>
      <c r="U49" s="90"/>
      <c r="V49" s="90"/>
      <c r="W49" s="90"/>
      <c r="X49" s="90"/>
      <c r="Y49" s="90"/>
      <c r="Z49" s="90"/>
      <c r="AA49" s="90"/>
      <c r="AB49" s="90"/>
      <c r="AC49" s="90"/>
      <c r="AD49" s="90"/>
      <c r="AE49" s="175"/>
      <c r="AF49" s="211" t="s">
        <v>317</v>
      </c>
      <c r="AG49" s="211" t="s">
        <v>318</v>
      </c>
      <c r="AH49" s="256">
        <f>SUM(AH50:AH61)</f>
        <v>1671.9153991146188</v>
      </c>
      <c r="AI49" s="256">
        <f t="shared" ref="AI49:AJ49" si="61">SUM(AI50:AI61)</f>
        <v>1852.2654542619914</v>
      </c>
      <c r="AJ49" s="256">
        <f t="shared" si="61"/>
        <v>1665.9145626999255</v>
      </c>
      <c r="AK49" s="256">
        <f>SUM(AK50:AK60)</f>
        <v>1665.9145626999255</v>
      </c>
      <c r="AL49" s="256">
        <f t="shared" ref="AL49:AN49" si="62">SUM(AL50:AL61)</f>
        <v>1683.4846391247238</v>
      </c>
      <c r="AM49" s="256">
        <f t="shared" si="62"/>
        <v>1636.7946106621077</v>
      </c>
      <c r="AN49" s="256">
        <f t="shared" si="62"/>
        <v>1726.6260041589899</v>
      </c>
      <c r="AO49" s="176"/>
      <c r="AP49" s="90"/>
      <c r="AQ49" s="90"/>
      <c r="AR49" s="90"/>
      <c r="AS49" s="90"/>
      <c r="AT49" s="90"/>
      <c r="AU49" s="90"/>
      <c r="AV49" s="90"/>
      <c r="AW49" s="90"/>
      <c r="AX49" s="90"/>
      <c r="AY49" s="90"/>
      <c r="AZ49" s="90"/>
      <c r="BA49" s="90"/>
    </row>
    <row r="50" spans="1:53" ht="12" customHeight="1">
      <c r="A50" s="90"/>
      <c r="B50" s="190" t="s">
        <v>378</v>
      </c>
      <c r="C50" s="191" t="s">
        <v>354</v>
      </c>
      <c r="D50" s="195">
        <f>Results!C54</f>
        <v>35</v>
      </c>
      <c r="E50" s="195">
        <f>Results!C54</f>
        <v>35</v>
      </c>
      <c r="F50" s="195">
        <f>Results!C54</f>
        <v>35</v>
      </c>
      <c r="G50" s="195">
        <f>Results!C54</f>
        <v>35</v>
      </c>
      <c r="H50" s="195">
        <f>Results!C54</f>
        <v>35</v>
      </c>
      <c r="I50" s="196">
        <f>Results!C54</f>
        <v>35</v>
      </c>
      <c r="J50" s="244"/>
      <c r="K50" s="90"/>
      <c r="L50" s="90"/>
      <c r="M50" s="173"/>
      <c r="N50" s="90"/>
      <c r="O50" s="90"/>
      <c r="P50" s="90"/>
      <c r="Q50" s="90"/>
      <c r="R50" s="90"/>
      <c r="S50" s="90"/>
      <c r="T50" s="90"/>
      <c r="U50" s="90"/>
      <c r="V50" s="90"/>
      <c r="W50" s="90"/>
      <c r="X50" s="90"/>
      <c r="Y50" s="90"/>
      <c r="Z50" s="90"/>
      <c r="AA50" s="90"/>
      <c r="AB50" s="90"/>
      <c r="AC50" s="90"/>
      <c r="AD50" s="90"/>
      <c r="AE50" s="175"/>
      <c r="AF50" s="191" t="s">
        <v>320</v>
      </c>
      <c r="AG50" s="191" t="s">
        <v>318</v>
      </c>
      <c r="AH50" s="195">
        <f>V5*Model!$AN5/Model!$AM5</f>
        <v>136.88801878417846</v>
      </c>
      <c r="AI50" s="195">
        <f>W5*Model!$AN5/Model!$AM5</f>
        <v>0</v>
      </c>
      <c r="AJ50" s="195">
        <f>X5*Model!$AN5/Model!$AM5</f>
        <v>135.65340305669994</v>
      </c>
      <c r="AK50" s="195">
        <f>Y5*Model!$AN5/Model!$AM5</f>
        <v>135.65340305669994</v>
      </c>
      <c r="AL50" s="195">
        <f>Z5*Model!$AN5/Model!$AM5</f>
        <v>138.12263451165697</v>
      </c>
      <c r="AM50" s="195">
        <f>AA5*Model!$AN5/Model!$AM5</f>
        <v>130.86926711272079</v>
      </c>
      <c r="AN50" s="212">
        <f t="shared" ref="AN50:AN63" si="63">SUMPRODUCT(AH50:AM50,D$25:I$25)/J$25</f>
        <v>88.936246236099748</v>
      </c>
      <c r="AO50" s="176"/>
      <c r="AP50" s="90"/>
      <c r="AQ50" s="90"/>
      <c r="AR50" s="90"/>
      <c r="AS50" s="90"/>
      <c r="AT50" s="90"/>
      <c r="AU50" s="90"/>
      <c r="AV50" s="90"/>
      <c r="AW50" s="90"/>
      <c r="AX50" s="90"/>
      <c r="AY50" s="90"/>
      <c r="AZ50" s="90"/>
      <c r="BA50" s="90"/>
    </row>
    <row r="51" spans="1:53" ht="12" customHeight="1">
      <c r="A51" s="90"/>
      <c r="B51" s="190"/>
      <c r="C51" s="191"/>
      <c r="D51" s="257"/>
      <c r="E51" s="257"/>
      <c r="F51" s="257"/>
      <c r="G51" s="257"/>
      <c r="H51" s="257"/>
      <c r="I51" s="258"/>
      <c r="J51" s="244"/>
      <c r="K51" s="90"/>
      <c r="L51" s="90"/>
      <c r="M51" s="173"/>
      <c r="N51" s="90"/>
      <c r="O51" s="173"/>
      <c r="P51" s="173"/>
      <c r="Q51" s="183"/>
      <c r="R51" s="90"/>
      <c r="S51" s="90"/>
      <c r="T51" s="90"/>
      <c r="U51" s="90"/>
      <c r="V51" s="90"/>
      <c r="W51" s="90"/>
      <c r="X51" s="90"/>
      <c r="Y51" s="90"/>
      <c r="Z51" s="90"/>
      <c r="AA51" s="90"/>
      <c r="AB51" s="90"/>
      <c r="AC51" s="90"/>
      <c r="AD51" s="90"/>
      <c r="AE51" s="175"/>
      <c r="AF51" s="191" t="s">
        <v>324</v>
      </c>
      <c r="AG51" s="191" t="s">
        <v>318</v>
      </c>
      <c r="AH51" s="195">
        <f>IFERROR(V6*Model!$AN6/Model!$AM6,0)</f>
        <v>0</v>
      </c>
      <c r="AI51" s="195">
        <f>IFERROR(W6*Model!$AN6/Model!$AM6,0)</f>
        <v>163.51309485950347</v>
      </c>
      <c r="AJ51" s="195">
        <f>IFERROR(X6*Model!$AN6/Model!$AM6,0)</f>
        <v>0</v>
      </c>
      <c r="AK51" s="195">
        <f>IFERROR(Y6*Model!$AN6/Model!$AM6,0)</f>
        <v>0</v>
      </c>
      <c r="AL51" s="195">
        <f>IFERROR(Z6*Model!$AN6/Model!$AM6,0)</f>
        <v>0</v>
      </c>
      <c r="AM51" s="195">
        <f>IFERROR(AA6*Model!$AN6/Model!$AM6,0)</f>
        <v>0</v>
      </c>
      <c r="AN51" s="212">
        <f t="shared" si="63"/>
        <v>55.7869208023928</v>
      </c>
      <c r="AO51" s="176"/>
      <c r="AP51" s="90"/>
      <c r="AQ51" s="90"/>
      <c r="AR51" s="90"/>
      <c r="AS51" s="90"/>
      <c r="AT51" s="90"/>
      <c r="AU51" s="90"/>
      <c r="AV51" s="90"/>
      <c r="AW51" s="90"/>
      <c r="AX51" s="90"/>
      <c r="AY51" s="90"/>
      <c r="AZ51" s="90"/>
      <c r="BA51" s="90"/>
    </row>
    <row r="52" spans="1:53" ht="12" customHeight="1">
      <c r="A52" s="90"/>
      <c r="B52" s="237" t="s">
        <v>379</v>
      </c>
      <c r="C52" s="191"/>
      <c r="D52" s="257"/>
      <c r="E52" s="257"/>
      <c r="F52" s="257"/>
      <c r="G52" s="257"/>
      <c r="H52" s="257"/>
      <c r="I52" s="258"/>
      <c r="J52" s="244"/>
      <c r="K52" s="90"/>
      <c r="L52" s="90"/>
      <c r="M52" s="173"/>
      <c r="N52" s="90"/>
      <c r="O52" s="219"/>
      <c r="P52" s="219"/>
      <c r="Q52" s="90"/>
      <c r="R52" s="90"/>
      <c r="S52" s="90"/>
      <c r="T52" s="90"/>
      <c r="U52" s="90"/>
      <c r="V52" s="90"/>
      <c r="W52" s="90"/>
      <c r="X52" s="90"/>
      <c r="Y52" s="90"/>
      <c r="Z52" s="90"/>
      <c r="AA52" s="90"/>
      <c r="AB52" s="90"/>
      <c r="AC52" s="90"/>
      <c r="AD52" s="90"/>
      <c r="AE52" s="175"/>
      <c r="AF52" s="191" t="s">
        <v>325</v>
      </c>
      <c r="AG52" s="191" t="s">
        <v>318</v>
      </c>
      <c r="AH52" s="195">
        <f>V7*Model!$AN7/Model!$AM7</f>
        <v>102.23439580291385</v>
      </c>
      <c r="AI52" s="195">
        <f>W7*Model!$AN7/Model!$AM7</f>
        <v>0</v>
      </c>
      <c r="AJ52" s="195">
        <f>X7*Model!$AN7/Model!$AM7</f>
        <v>102.23439580291385</v>
      </c>
      <c r="AK52" s="195">
        <f>Y7*Model!$AN7/Model!$AM7</f>
        <v>102.23439580291385</v>
      </c>
      <c r="AL52" s="195">
        <f>Z7*Model!$AN7/Model!$AM7</f>
        <v>102.23439580291385</v>
      </c>
      <c r="AM52" s="195">
        <f>AA7*Model!$AN7/Model!$AM7</f>
        <v>102.23439580291385</v>
      </c>
      <c r="AN52" s="212">
        <f t="shared" si="63"/>
        <v>67.354362819389451</v>
      </c>
      <c r="AO52" s="176"/>
      <c r="AP52" s="90"/>
      <c r="AQ52" s="90"/>
      <c r="AR52" s="90"/>
      <c r="AS52" s="90"/>
      <c r="AT52" s="90"/>
      <c r="AU52" s="90"/>
      <c r="AV52" s="90"/>
      <c r="AW52" s="90"/>
      <c r="AX52" s="90"/>
      <c r="AY52" s="90"/>
      <c r="AZ52" s="90"/>
      <c r="BA52" s="90"/>
    </row>
    <row r="53" spans="1:53" ht="12" customHeight="1">
      <c r="A53" s="90"/>
      <c r="B53" s="190" t="s">
        <v>380</v>
      </c>
      <c r="C53" s="191" t="s">
        <v>381</v>
      </c>
      <c r="D53" s="257">
        <f>IFERROR(SUM(Invloedsfactoren!E19:E23)/SUM(Invloedsfactoren!C19:C23),0)</f>
        <v>0.14699999999999999</v>
      </c>
      <c r="E53" s="257">
        <v>1</v>
      </c>
      <c r="F53" s="257">
        <f>IFERROR(SUM(Invloedsfactoren!E27)/SUM(Invloedsfactoren!C27),0)</f>
        <v>0.46604677716614273</v>
      </c>
      <c r="G53" s="257">
        <f>IFERROR(SUM(Invloedsfactoren!E24)/SUM(Invloedsfactoren!C24),0)</f>
        <v>0</v>
      </c>
      <c r="H53" s="257">
        <f>IFERROR(SUM(Invloedsfactoren!E25)/SUM(Invloedsfactoren!C25),0)</f>
        <v>0</v>
      </c>
      <c r="I53" s="258">
        <f>IFERROR(SUM(Invloedsfactoren!E26,Invloedsfactoren!E28)/SUM(Invloedsfactoren!C26,Invloedsfactoren!C28),0)</f>
        <v>0</v>
      </c>
      <c r="J53" s="244"/>
      <c r="K53" s="90"/>
      <c r="L53" s="90"/>
      <c r="M53" s="173"/>
      <c r="N53" s="90"/>
      <c r="O53" s="219"/>
      <c r="P53" s="219"/>
      <c r="Q53" s="90"/>
      <c r="R53" s="90"/>
      <c r="S53" s="90"/>
      <c r="T53" s="90"/>
      <c r="U53" s="90"/>
      <c r="V53" s="90"/>
      <c r="W53" s="90"/>
      <c r="X53" s="90"/>
      <c r="Y53" s="90"/>
      <c r="Z53" s="90"/>
      <c r="AA53" s="90"/>
      <c r="AB53" s="90"/>
      <c r="AC53" s="90"/>
      <c r="AD53" s="90"/>
      <c r="AE53" s="175"/>
      <c r="AF53" s="191" t="s">
        <v>326</v>
      </c>
      <c r="AG53" s="191" t="s">
        <v>318</v>
      </c>
      <c r="AH53" s="195">
        <f>IFERROR(V8*Model!$AN8/Model!$AM8,0)</f>
        <v>0</v>
      </c>
      <c r="AI53" s="195">
        <f>IFERROR(W8*Model!$AN8/Model!$AM8,0)</f>
        <v>103.44615120693915</v>
      </c>
      <c r="AJ53" s="195">
        <f>IFERROR(X8*Model!$AN8/Model!$AM8,0)</f>
        <v>0</v>
      </c>
      <c r="AK53" s="195">
        <f>IFERROR(Y8*Model!$AN8/Model!$AM8,0)</f>
        <v>0</v>
      </c>
      <c r="AL53" s="195">
        <f>IFERROR(Z8*Model!$AN8/Model!$AM8,0)</f>
        <v>0</v>
      </c>
      <c r="AM53" s="195">
        <f>IFERROR(AA8*Model!$AN8/Model!$AM8,0)</f>
        <v>0</v>
      </c>
      <c r="AN53" s="212">
        <f t="shared" si="63"/>
        <v>35.293456158067784</v>
      </c>
      <c r="AO53" s="176"/>
      <c r="AP53" s="90"/>
      <c r="AQ53" s="90"/>
      <c r="AR53" s="90"/>
      <c r="AS53" s="90"/>
      <c r="AT53" s="90"/>
      <c r="AU53" s="90"/>
      <c r="AV53" s="90"/>
      <c r="AW53" s="90"/>
      <c r="AX53" s="90"/>
      <c r="AY53" s="90"/>
      <c r="AZ53" s="90"/>
      <c r="BA53" s="90"/>
    </row>
    <row r="54" spans="1:53" ht="12" customHeight="1">
      <c r="A54" s="90"/>
      <c r="B54" s="190" t="s">
        <v>382</v>
      </c>
      <c r="C54" s="191" t="s">
        <v>383</v>
      </c>
      <c r="D54" s="192">
        <f>Input!C37</f>
        <v>10</v>
      </c>
      <c r="E54" s="192">
        <f>Input!C39</f>
        <v>0</v>
      </c>
      <c r="F54" s="192">
        <f>Input!C37</f>
        <v>10</v>
      </c>
      <c r="G54" s="192">
        <f>Input!C37</f>
        <v>10</v>
      </c>
      <c r="H54" s="192">
        <f>Input!C37</f>
        <v>10</v>
      </c>
      <c r="I54" s="193">
        <f>Input!C37</f>
        <v>10</v>
      </c>
      <c r="J54" s="244"/>
      <c r="K54" s="90"/>
      <c r="L54" s="90"/>
      <c r="M54" s="173"/>
      <c r="N54" s="90"/>
      <c r="O54" s="219"/>
      <c r="P54" s="219"/>
      <c r="Q54" s="90"/>
      <c r="R54" s="90"/>
      <c r="S54" s="90"/>
      <c r="T54" s="90"/>
      <c r="U54" s="90"/>
      <c r="V54" s="90"/>
      <c r="W54" s="90"/>
      <c r="X54" s="90"/>
      <c r="Y54" s="90"/>
      <c r="Z54" s="90"/>
      <c r="AA54" s="90"/>
      <c r="AB54" s="90"/>
      <c r="AC54" s="90"/>
      <c r="AD54" s="90"/>
      <c r="AE54" s="175"/>
      <c r="AF54" s="191" t="s">
        <v>327</v>
      </c>
      <c r="AG54" s="191" t="s">
        <v>318</v>
      </c>
      <c r="AH54" s="195">
        <f>V9*Model!$AN9/Model!$AM9</f>
        <v>1369.2589484010568</v>
      </c>
      <c r="AI54" s="195">
        <f>W9*Model!$AN9/Model!$AM9</f>
        <v>1528.6502393518517</v>
      </c>
      <c r="AJ54" s="195">
        <f>X9*Model!$AN9/Model!$AM9</f>
        <v>1362.1893115558219</v>
      </c>
      <c r="AK54" s="195">
        <f>Y9*Model!$AN9/Model!$AM9</f>
        <v>1362.1893115558219</v>
      </c>
      <c r="AL54" s="195">
        <f>Z9*Model!$AN9/Model!$AM9</f>
        <v>1376.328585246293</v>
      </c>
      <c r="AM54" s="195">
        <f>AA9*Model!$AN9/Model!$AM9</f>
        <v>1334.7944687805336</v>
      </c>
      <c r="AN54" s="212">
        <f t="shared" si="63"/>
        <v>1416.4892177118652</v>
      </c>
      <c r="AO54" s="176"/>
      <c r="AP54" s="90"/>
      <c r="AQ54" s="90"/>
      <c r="AR54" s="90"/>
      <c r="AS54" s="90"/>
      <c r="AT54" s="90"/>
      <c r="AU54" s="90"/>
      <c r="AV54" s="90"/>
      <c r="AW54" s="90"/>
      <c r="AX54" s="90"/>
      <c r="AY54" s="90"/>
      <c r="AZ54" s="90"/>
      <c r="BA54" s="90"/>
    </row>
    <row r="55" spans="1:53" ht="12" customHeight="1">
      <c r="A55" s="90"/>
      <c r="B55" s="190" t="s">
        <v>384</v>
      </c>
      <c r="C55" s="191" t="s">
        <v>383</v>
      </c>
      <c r="D55" s="192">
        <f>((D28+D54)-((D56+D54)*D53))/(1-D53)</f>
        <v>182.75498241500586</v>
      </c>
      <c r="E55" s="192"/>
      <c r="F55" s="192">
        <f>((F28+F54)-((F56+F54)*F53))/(1-F53)</f>
        <v>214.27704539579494</v>
      </c>
      <c r="G55" s="192">
        <f>((G28+G54)-((G56+G54)*G53))/(1-G53)</f>
        <v>175</v>
      </c>
      <c r="H55" s="192">
        <f>((H28+H54)-((H56+H54)*H53))/(1-H53)</f>
        <v>175</v>
      </c>
      <c r="I55" s="192">
        <f>((I28+I54)-((I56+I54)*I53))/(1-I53)</f>
        <v>175</v>
      </c>
      <c r="J55" s="244"/>
      <c r="K55" s="90"/>
      <c r="L55" s="90"/>
      <c r="M55" s="173"/>
      <c r="N55" s="90"/>
      <c r="O55" s="185"/>
      <c r="P55" s="185"/>
      <c r="Q55" s="90"/>
      <c r="R55" s="90"/>
      <c r="S55" s="90"/>
      <c r="T55" s="90"/>
      <c r="U55" s="90"/>
      <c r="V55" s="90"/>
      <c r="W55" s="90"/>
      <c r="X55" s="90"/>
      <c r="Y55" s="90"/>
      <c r="Z55" s="90"/>
      <c r="AA55" s="90"/>
      <c r="AB55" s="90"/>
      <c r="AC55" s="90"/>
      <c r="AD55" s="90"/>
      <c r="AE55" s="175"/>
      <c r="AF55" s="191" t="s">
        <v>328</v>
      </c>
      <c r="AG55" s="191" t="s">
        <v>318</v>
      </c>
      <c r="AH55" s="195">
        <f>V10*Model!$AN10/Model!$AM10</f>
        <v>16.347837499172126</v>
      </c>
      <c r="AI55" s="195">
        <f>W10*Model!$AN10/Model!$AM10</f>
        <v>18.220118723473579</v>
      </c>
      <c r="AJ55" s="195">
        <f>X10*Model!$AN10/Model!$AM10</f>
        <v>16.264794973444989</v>
      </c>
      <c r="AK55" s="195">
        <f>Y10*Model!$AN10/Model!$AM10</f>
        <v>16.264794973444989</v>
      </c>
      <c r="AL55" s="195">
        <f>Z10*Model!$AN10/Model!$AM10</f>
        <v>16.43088002489927</v>
      </c>
      <c r="AM55" s="195">
        <f>AA10*Model!$AN10/Model!$AM10</f>
        <v>15.943005186252314</v>
      </c>
      <c r="AN55" s="212">
        <f t="shared" si="63"/>
        <v>16.902625906568783</v>
      </c>
      <c r="AO55" s="176"/>
      <c r="AP55" s="90"/>
      <c r="AQ55" s="90"/>
      <c r="AR55" s="90"/>
      <c r="AS55" s="90"/>
      <c r="AT55" s="90"/>
      <c r="AU55" s="90"/>
      <c r="AV55" s="90"/>
      <c r="AW55" s="90"/>
      <c r="AX55" s="90"/>
      <c r="AY55" s="90"/>
      <c r="AZ55" s="90"/>
      <c r="BA55" s="90"/>
    </row>
    <row r="56" spans="1:53" ht="12" customHeight="1">
      <c r="A56" s="90"/>
      <c r="B56" s="190" t="s">
        <v>385</v>
      </c>
      <c r="C56" s="191" t="s">
        <v>383</v>
      </c>
      <c r="D56" s="525">
        <f>D29</f>
        <v>120</v>
      </c>
      <c r="E56" s="526">
        <f>Results!C52</f>
        <v>120</v>
      </c>
      <c r="F56" s="525">
        <f t="shared" ref="F56:I56" si="64">F29</f>
        <v>120</v>
      </c>
      <c r="G56" s="525">
        <f t="shared" si="64"/>
        <v>120</v>
      </c>
      <c r="H56" s="527">
        <f t="shared" si="64"/>
        <v>120</v>
      </c>
      <c r="I56" s="527">
        <f t="shared" si="64"/>
        <v>120</v>
      </c>
      <c r="J56" s="244"/>
      <c r="K56" s="90"/>
      <c r="L56" s="90"/>
      <c r="M56" s="90"/>
      <c r="N56" s="90"/>
      <c r="O56" s="90"/>
      <c r="P56" s="90"/>
      <c r="Q56" s="90"/>
      <c r="R56" s="90"/>
      <c r="S56" s="90"/>
      <c r="T56" s="90"/>
      <c r="U56" s="90"/>
      <c r="V56" s="90"/>
      <c r="W56" s="90"/>
      <c r="X56" s="90"/>
      <c r="Y56" s="90"/>
      <c r="Z56" s="90"/>
      <c r="AA56" s="90"/>
      <c r="AB56" s="90"/>
      <c r="AC56" s="90"/>
      <c r="AD56" s="90"/>
      <c r="AE56" s="175"/>
      <c r="AF56" s="202" t="s">
        <v>329</v>
      </c>
      <c r="AG56" s="202" t="s">
        <v>318</v>
      </c>
      <c r="AH56" s="195">
        <v>0</v>
      </c>
      <c r="AI56" s="195">
        <v>0</v>
      </c>
      <c r="AJ56" s="195">
        <v>0</v>
      </c>
      <c r="AK56" s="195">
        <v>0</v>
      </c>
      <c r="AL56" s="195">
        <v>0</v>
      </c>
      <c r="AM56" s="195">
        <v>0</v>
      </c>
      <c r="AN56" s="212">
        <f t="shared" si="63"/>
        <v>0</v>
      </c>
      <c r="AO56" s="176"/>
      <c r="AP56" s="90"/>
      <c r="AQ56" s="90"/>
      <c r="AR56" s="90"/>
      <c r="AS56" s="90"/>
      <c r="AT56" s="90"/>
      <c r="AU56" s="90"/>
      <c r="AV56" s="90"/>
      <c r="AW56" s="90"/>
      <c r="AX56" s="90"/>
      <c r="AY56" s="90"/>
      <c r="AZ56" s="90"/>
      <c r="BA56" s="90"/>
    </row>
    <row r="57" spans="1:53" ht="12" customHeight="1">
      <c r="A57" s="90"/>
      <c r="B57" s="190" t="s">
        <v>1368</v>
      </c>
      <c r="C57" s="191" t="s">
        <v>383</v>
      </c>
      <c r="D57" s="525">
        <f>D28+D54</f>
        <v>175</v>
      </c>
      <c r="E57" s="525">
        <f>IFERROR((SUM(Projectinformatie!C36:C40)*D53*D57+Projectinformatie!C44*F53*F57+Projectinformatie!C41*G53*G57+Projectinformatie!C42*H53*H57+(Projectinformatie!C43+Projectinformatie!C45)*I53*I57)/E25,Projectinformatie!$C$84+D54)</f>
        <v>175</v>
      </c>
      <c r="F57" s="525">
        <f>F28+F54</f>
        <v>175</v>
      </c>
      <c r="G57" s="525">
        <f>G28+G54</f>
        <v>175</v>
      </c>
      <c r="H57" s="525">
        <f>H28+H54</f>
        <v>175</v>
      </c>
      <c r="I57" s="525">
        <f>I28+I54</f>
        <v>175</v>
      </c>
      <c r="J57" s="244"/>
      <c r="K57" s="90"/>
      <c r="L57" s="90"/>
      <c r="M57" s="90"/>
      <c r="N57" s="90"/>
      <c r="O57" s="90"/>
      <c r="P57" s="90"/>
      <c r="Q57" s="90"/>
      <c r="R57" s="90"/>
      <c r="S57" s="90"/>
      <c r="T57" s="90"/>
      <c r="U57" s="90"/>
      <c r="V57" s="90"/>
      <c r="W57" s="90"/>
      <c r="X57" s="90"/>
      <c r="Y57" s="90"/>
      <c r="Z57" s="90"/>
      <c r="AA57" s="90"/>
      <c r="AB57" s="90"/>
      <c r="AC57" s="90"/>
      <c r="AD57" s="90"/>
      <c r="AE57" s="175"/>
      <c r="AF57" s="191" t="s">
        <v>330</v>
      </c>
      <c r="AG57" s="191" t="s">
        <v>318</v>
      </c>
      <c r="AH57" s="195">
        <f>V12*Model!$AN12/Model!$AM12</f>
        <v>8.7503485070739231</v>
      </c>
      <c r="AI57" s="195">
        <f>W12*Model!$AN12/Model!$AM12</f>
        <v>0</v>
      </c>
      <c r="AJ57" s="195">
        <f>X12*Model!$AN12/Model!$AM12</f>
        <v>11.136807190821356</v>
      </c>
      <c r="AK57" s="195">
        <f>Y12*Model!$AN12/Model!$AM12</f>
        <v>11.136807190821354</v>
      </c>
      <c r="AL57" s="195">
        <f>Z12*Model!$AN12/Model!$AM12</f>
        <v>11.932293418737167</v>
      </c>
      <c r="AM57" s="195">
        <f>AA12*Model!$AN12/Model!$AM12</f>
        <v>14.517623659463553</v>
      </c>
      <c r="AN57" s="212">
        <f t="shared" si="63"/>
        <v>7.4273244043827411</v>
      </c>
      <c r="AO57" s="176"/>
      <c r="AP57" s="90"/>
      <c r="AQ57" s="90"/>
      <c r="AR57" s="90"/>
      <c r="AS57" s="90"/>
      <c r="AT57" s="90"/>
      <c r="AU57" s="90"/>
      <c r="AV57" s="90"/>
      <c r="AW57" s="90"/>
      <c r="AX57" s="90"/>
      <c r="AY57" s="90"/>
      <c r="AZ57" s="90"/>
      <c r="BA57" s="90"/>
    </row>
    <row r="58" spans="1:53" ht="12" customHeight="1">
      <c r="A58" s="90"/>
      <c r="B58" s="190" t="s">
        <v>386</v>
      </c>
      <c r="C58" s="191" t="s">
        <v>383</v>
      </c>
      <c r="D58" s="192" cm="1">
        <f t="array" ref="D58">IF(Projectinformatie!C69="Nee",Projectinformatie!C103,Projectinformatie!C103+(((TREND(DB_Overig!C20:F20,DB_Overig!C19:F19,DB_Overig!D19)-TREND(DB_Overig!C20:F20,DB_Overig!C19:F19,DB_Overig!C19))/DB_Overig!D19)*D53))</f>
        <v>110</v>
      </c>
      <c r="E58" s="192">
        <f>IF(Projectinformatie!C69="Nee",(SUM(Projectinformatie!C36:C40)*D58+Projectinformatie!C44*F58+Projectinformatie!C41*G58+Projectinformatie!C42*H58+(Projectinformatie!C43+Projectinformatie!C45)*I58)/J25,E56)</f>
        <v>109.99943263494133</v>
      </c>
      <c r="F58" s="192" cm="1">
        <f t="array" ref="F58">IF(Projectinformatie!C69="Nee",Projectinformatie!C103,Projectinformatie!C103+(((TREND(DB_Overig!C20:F20,DB_Overig!C19:F19,DB_Overig!D19)-TREND(DB_Overig!C20:F20,DB_Overig!C19:F19,DB_Overig!C19))/DB_Overig!D19)*F53))</f>
        <v>110</v>
      </c>
      <c r="G58" s="192" cm="1">
        <f t="array" ref="G58">IF(Projectinformatie!C69="Nee",Projectinformatie!C103,Projectinformatie!C103+(((TREND(DB_Overig!C20:F20,DB_Overig!C19:F19,DB_Overig!D19)-TREND(DB_Overig!C20:F20,DB_Overig!C19:F19,DB_Overig!C19))/DB_Overig!D19)*G53))</f>
        <v>110</v>
      </c>
      <c r="H58" s="192" cm="1">
        <f t="array" ref="H58">IF(Projectinformatie!C69="Nee",Projectinformatie!C103,Projectinformatie!C103+(((TREND(DB_Overig!C20:F20,DB_Overig!C19:F19,DB_Overig!D19)-TREND(DB_Overig!C20:F20,DB_Overig!C19:F19,DB_Overig!C19))/DB_Overig!D19)*H53))</f>
        <v>110</v>
      </c>
      <c r="I58" s="193" cm="1">
        <f t="array" ref="I58">IF(Projectinformatie!C69="Nee",Projectinformatie!C103,Projectinformatie!C103+(((TREND(DB_Overig!C20:F20,DB_Overig!C19:F19,DB_Overig!D19)-TREND(DB_Overig!C20:F20,DB_Overig!C19:F19,DB_Overig!C19))/DB_Overig!D19)*I53))</f>
        <v>110</v>
      </c>
      <c r="J58" s="248">
        <f>SUMPRODUCT(D25:I25,D58:I58)/J25</f>
        <v>109.99980642804407</v>
      </c>
      <c r="K58" s="90"/>
      <c r="L58" s="90"/>
      <c r="M58" s="90"/>
      <c r="N58" s="90"/>
      <c r="O58" s="90"/>
      <c r="P58" s="90"/>
      <c r="Q58" s="252"/>
      <c r="R58" s="90"/>
      <c r="S58" s="90"/>
      <c r="T58" s="90"/>
      <c r="U58" s="90"/>
      <c r="V58" s="90"/>
      <c r="W58" s="90"/>
      <c r="X58" s="90"/>
      <c r="Y58" s="90"/>
      <c r="Z58" s="90"/>
      <c r="AA58" s="90"/>
      <c r="AB58" s="90"/>
      <c r="AC58" s="90"/>
      <c r="AD58" s="90"/>
      <c r="AE58" s="175"/>
      <c r="AF58" s="191" t="s">
        <v>331</v>
      </c>
      <c r="AG58" s="191" t="s">
        <v>318</v>
      </c>
      <c r="AH58" s="195">
        <f>V13*Model!$AN13/Model!$AM13</f>
        <v>17.218947997215114</v>
      </c>
      <c r="AI58" s="195">
        <f>W13*Model!$AN13/Model!$AM13</f>
        <v>17.218947997215114</v>
      </c>
      <c r="AJ58" s="195">
        <f>X13*Model!$AN13/Model!$AM13</f>
        <v>17.218947997215114</v>
      </c>
      <c r="AK58" s="195">
        <f>Y13*Model!$AN13/Model!$AM13</f>
        <v>17.218947997215114</v>
      </c>
      <c r="AL58" s="195">
        <f>Z13*Model!$AN13/Model!$AM13</f>
        <v>17.218947997215114</v>
      </c>
      <c r="AM58" s="195">
        <f>AA13*Model!$AN13/Model!$AM13</f>
        <v>17.218947997215114</v>
      </c>
      <c r="AN58" s="212">
        <f t="shared" si="63"/>
        <v>17.218947997215114</v>
      </c>
      <c r="AO58" s="259"/>
      <c r="AP58" s="247"/>
      <c r="AQ58" s="90"/>
      <c r="AR58" s="247"/>
      <c r="AS58" s="247"/>
      <c r="AT58" s="90"/>
      <c r="AU58" s="90"/>
      <c r="AV58" s="90"/>
      <c r="AW58" s="90"/>
      <c r="AX58" s="90"/>
      <c r="AY58" s="90"/>
      <c r="AZ58" s="90"/>
      <c r="BA58" s="90"/>
    </row>
    <row r="59" spans="1:53" ht="12" customHeight="1">
      <c r="A59" s="90"/>
      <c r="B59" s="237"/>
      <c r="C59" s="191"/>
      <c r="D59" s="191"/>
      <c r="E59" s="191"/>
      <c r="F59" s="191"/>
      <c r="G59" s="191"/>
      <c r="H59" s="191"/>
      <c r="I59" s="238"/>
      <c r="J59" s="244"/>
      <c r="K59" s="90"/>
      <c r="L59" s="90"/>
      <c r="M59" s="90"/>
      <c r="N59" s="90"/>
      <c r="O59" s="90"/>
      <c r="P59" s="90"/>
      <c r="Q59" s="90"/>
      <c r="R59" s="90"/>
      <c r="S59" s="90"/>
      <c r="T59" s="90"/>
      <c r="U59" s="90"/>
      <c r="V59" s="90"/>
      <c r="W59" s="90"/>
      <c r="X59" s="90"/>
      <c r="Y59" s="90"/>
      <c r="Z59" s="90"/>
      <c r="AA59" s="90"/>
      <c r="AB59" s="90"/>
      <c r="AC59" s="90"/>
      <c r="AD59" s="90"/>
      <c r="AE59" s="175"/>
      <c r="AF59" s="191" t="s">
        <v>332</v>
      </c>
      <c r="AG59" s="191" t="s">
        <v>318</v>
      </c>
      <c r="AH59" s="195">
        <f>V14*Model!$AN14/Model!$AM14</f>
        <v>9.1834389318480589</v>
      </c>
      <c r="AI59" s="195">
        <f>W14*Model!$AN14/Model!$AM14</f>
        <v>9.1834389318480589</v>
      </c>
      <c r="AJ59" s="195">
        <f>X14*Model!$AN14/Model!$AM14</f>
        <v>9.1834389318480589</v>
      </c>
      <c r="AK59" s="195">
        <f>Y14*Model!$AN14/Model!$AM14</f>
        <v>9.1834389318480589</v>
      </c>
      <c r="AL59" s="195">
        <f>Z14*Model!$AN14/Model!$AM14</f>
        <v>9.1834389318480589</v>
      </c>
      <c r="AM59" s="195">
        <f>AA14*Model!$AN14/Model!$AM14</f>
        <v>9.1834389318480589</v>
      </c>
      <c r="AN59" s="212">
        <f t="shared" si="63"/>
        <v>9.1834389318480589</v>
      </c>
      <c r="AO59" s="176"/>
      <c r="AP59" s="90"/>
      <c r="AQ59" s="90"/>
      <c r="AR59" s="90"/>
      <c r="AS59" s="90"/>
      <c r="AT59" s="90"/>
      <c r="AU59" s="90"/>
      <c r="AV59" s="90"/>
      <c r="AW59" s="90"/>
      <c r="AX59" s="90"/>
      <c r="AY59" s="90"/>
      <c r="AZ59" s="90"/>
      <c r="BA59" s="90"/>
    </row>
    <row r="60" spans="1:53" ht="12" customHeight="1">
      <c r="A60" s="90"/>
      <c r="B60" s="190" t="s">
        <v>387</v>
      </c>
      <c r="C60" s="191" t="s">
        <v>383</v>
      </c>
      <c r="D60" s="257"/>
      <c r="E60" s="191"/>
      <c r="F60" s="191"/>
      <c r="G60" s="191"/>
      <c r="H60" s="191"/>
      <c r="I60" s="238"/>
      <c r="J60" s="244">
        <v>9.9</v>
      </c>
      <c r="K60" s="90"/>
      <c r="L60" s="90"/>
      <c r="M60" s="90"/>
      <c r="N60" s="90"/>
      <c r="O60" s="90"/>
      <c r="P60" s="90"/>
      <c r="Q60" s="90"/>
      <c r="R60" s="90"/>
      <c r="S60" s="90"/>
      <c r="T60" s="90"/>
      <c r="U60" s="90"/>
      <c r="V60" s="90"/>
      <c r="W60" s="90"/>
      <c r="X60" s="90"/>
      <c r="Y60" s="90"/>
      <c r="Z60" s="90"/>
      <c r="AA60" s="90"/>
      <c r="AB60" s="90"/>
      <c r="AC60" s="90"/>
      <c r="AD60" s="90"/>
      <c r="AE60" s="175"/>
      <c r="AF60" s="191" t="s">
        <v>333</v>
      </c>
      <c r="AG60" s="191" t="s">
        <v>318</v>
      </c>
      <c r="AH60" s="195">
        <f>V15*Model!$AN15/Model!$AM15</f>
        <v>12.033463191160248</v>
      </c>
      <c r="AI60" s="195">
        <f>W15*Model!$AN15/Model!$AM15</f>
        <v>12.033463191160248</v>
      </c>
      <c r="AJ60" s="195">
        <f>X15*Model!$AN15/Model!$AM15</f>
        <v>12.033463191160248</v>
      </c>
      <c r="AK60" s="195">
        <f>Y15*Model!$AN15/Model!$AM15</f>
        <v>12.033463191160248</v>
      </c>
      <c r="AL60" s="195">
        <f>Z15*Model!$AN15/Model!$AM15</f>
        <v>12.033463191160248</v>
      </c>
      <c r="AM60" s="195">
        <f>AA15*Model!$AN15/Model!$AM15</f>
        <v>12.033463191160248</v>
      </c>
      <c r="AN60" s="212">
        <f t="shared" si="63"/>
        <v>12.033463191160246</v>
      </c>
      <c r="AO60" s="176"/>
      <c r="AP60" s="90"/>
      <c r="AQ60" s="90"/>
      <c r="AR60" s="90"/>
      <c r="AS60" s="90"/>
      <c r="AT60" s="90"/>
      <c r="AU60" s="90"/>
      <c r="AV60" s="90"/>
      <c r="AW60" s="90"/>
      <c r="AX60" s="90"/>
      <c r="AY60" s="90"/>
      <c r="AZ60" s="90"/>
      <c r="BA60" s="90"/>
    </row>
    <row r="61" spans="1:53" ht="12" customHeight="1">
      <c r="A61" s="90"/>
      <c r="B61" s="190"/>
      <c r="C61" s="191"/>
      <c r="D61" s="192"/>
      <c r="E61" s="191"/>
      <c r="F61" s="191"/>
      <c r="G61" s="191"/>
      <c r="H61" s="191"/>
      <c r="I61" s="238"/>
      <c r="J61" s="244"/>
      <c r="K61" s="90"/>
      <c r="L61" s="90"/>
      <c r="M61" s="90"/>
      <c r="N61" s="90"/>
      <c r="O61" s="90"/>
      <c r="P61" s="90"/>
      <c r="Q61" s="90"/>
      <c r="R61" s="90"/>
      <c r="S61" s="90"/>
      <c r="T61" s="90"/>
      <c r="U61" s="90"/>
      <c r="V61" s="90"/>
      <c r="W61" s="90"/>
      <c r="X61" s="90"/>
      <c r="Y61" s="90"/>
      <c r="Z61" s="90"/>
      <c r="AA61" s="90"/>
      <c r="AB61" s="90"/>
      <c r="AC61" s="90"/>
      <c r="AD61" s="90"/>
      <c r="AE61" s="175"/>
      <c r="AF61" s="191" t="s">
        <v>334</v>
      </c>
      <c r="AG61" s="191" t="s">
        <v>318</v>
      </c>
      <c r="AH61" s="195">
        <v>0</v>
      </c>
      <c r="AI61" s="195">
        <f>IFERROR(Model!AN16*J25/E25,0)</f>
        <v>0</v>
      </c>
      <c r="AJ61" s="195">
        <v>0</v>
      </c>
      <c r="AK61" s="195">
        <v>0</v>
      </c>
      <c r="AL61" s="195">
        <v>0</v>
      </c>
      <c r="AM61" s="195">
        <v>0</v>
      </c>
      <c r="AN61" s="212">
        <f t="shared" si="63"/>
        <v>0</v>
      </c>
      <c r="AO61" s="176"/>
      <c r="AP61" s="90"/>
      <c r="AQ61" s="90"/>
      <c r="AR61" s="90"/>
      <c r="AS61" s="90"/>
      <c r="AT61" s="90"/>
      <c r="AU61" s="90"/>
      <c r="AV61" s="90"/>
      <c r="AW61" s="90"/>
      <c r="AX61" s="90"/>
      <c r="AY61" s="90"/>
      <c r="AZ61" s="90"/>
      <c r="BA61" s="90"/>
    </row>
    <row r="62" spans="1:53" ht="12" customHeight="1">
      <c r="A62" s="90"/>
      <c r="B62" s="237" t="s">
        <v>388</v>
      </c>
      <c r="C62" s="191"/>
      <c r="D62" s="191"/>
      <c r="E62" s="191"/>
      <c r="F62" s="191"/>
      <c r="G62" s="191"/>
      <c r="H62" s="191"/>
      <c r="I62" s="238"/>
      <c r="J62" s="244"/>
      <c r="K62" s="90"/>
      <c r="L62" s="90"/>
      <c r="M62" s="90"/>
      <c r="N62" s="90"/>
      <c r="O62" s="90"/>
      <c r="P62" s="90"/>
      <c r="Q62" s="90"/>
      <c r="R62" s="90"/>
      <c r="S62" s="90"/>
      <c r="T62" s="90"/>
      <c r="U62" s="90"/>
      <c r="V62" s="90"/>
      <c r="W62" s="90"/>
      <c r="X62" s="90"/>
      <c r="Y62" s="90"/>
      <c r="Z62" s="90"/>
      <c r="AA62" s="90"/>
      <c r="AB62" s="90"/>
      <c r="AC62" s="90"/>
      <c r="AD62" s="90"/>
      <c r="AE62" s="175"/>
      <c r="AF62" s="211" t="s">
        <v>335</v>
      </c>
      <c r="AG62" s="211" t="str">
        <f t="shared" ref="AG62:AG63" si="65">U17</f>
        <v>m3 / ton asfalt</v>
      </c>
      <c r="AH62" s="212">
        <f>(AH49-AH60-IF(Projectinformatie!$C$109="Elektriciteit",AH57,0))/Energiedragers!$D$3</f>
        <v>1651.1315874163845</v>
      </c>
      <c r="AI62" s="212">
        <f>(AI49-AI60-IF(Projectinformatie!$C$109="Elektriciteit",AI57,0))/Energiedragers!$D$3</f>
        <v>1840.2319910708311</v>
      </c>
      <c r="AJ62" s="212">
        <f>(AJ49-AJ60-IF(Projectinformatie!$C$109="Elektriciteit",AJ57,0))/Energiedragers!$D$3</f>
        <v>1642.7442923179437</v>
      </c>
      <c r="AK62" s="212">
        <f>(AK49-AK60-IF(Projectinformatie!$C$109="Elektriciteit",AK57,0))/Energiedragers!$D$3</f>
        <v>1642.7442923179437</v>
      </c>
      <c r="AL62" s="212">
        <f>(AL49-AL60-IF(Projectinformatie!$C$109="Elektriciteit",AL57,0))/Energiedragers!$D$3</f>
        <v>1659.5188825148264</v>
      </c>
      <c r="AM62" s="212">
        <f>(AM49-AM60-IF(Projectinformatie!$C$109="Elektriciteit",AM57,0))/Energiedragers!$D$3</f>
        <v>1610.2435238114838</v>
      </c>
      <c r="AN62" s="212">
        <f t="shared" si="63"/>
        <v>1707.1652165634473</v>
      </c>
      <c r="AO62" s="176"/>
      <c r="AP62" s="90"/>
      <c r="AQ62" s="90"/>
      <c r="AR62" s="90"/>
      <c r="AS62" s="90"/>
      <c r="AT62" s="90"/>
      <c r="AU62" s="90"/>
      <c r="AV62" s="90"/>
      <c r="AW62" s="90"/>
      <c r="AX62" s="90"/>
      <c r="AY62" s="90"/>
      <c r="AZ62" s="90"/>
      <c r="BA62" s="90"/>
    </row>
    <row r="63" spans="1:53" ht="12" customHeight="1">
      <c r="A63" s="90"/>
      <c r="B63" s="190" t="s">
        <v>389</v>
      </c>
      <c r="C63" s="191" t="s">
        <v>241</v>
      </c>
      <c r="D63" s="257" cm="1">
        <f t="array" ref="D63">IFERROR(Projectinformatie!C107+Projectinformatie!C78*((TREND(DB_Overig!C21:F21,DB_Overig!C19:F19,DB_Overig!D19)-TREND(DB_Overig!C21:F21,DB_Overig!C19:F19,DB_Overig!C19))/DB_Overig!D19),Projectinformatie!$C$107)</f>
        <v>0.16452372850976002</v>
      </c>
      <c r="E63" s="257" cm="1">
        <f t="array" ref="E63">IFERROR(Projectinformatie!C107+Projectinformatie!C78*((TREND(DB_Overig!C21:F21,DB_Overig!C19:F19,DB_Overig!D19)-TREND(DB_Overig!C21:F21,DB_Overig!C19:F19,DB_Overig!C19))/DB_Overig!D19),Projectinformatie!$C$107)</f>
        <v>0.16452372850976002</v>
      </c>
      <c r="F63" s="257" cm="1">
        <f t="array" ref="F63">IFERROR(Projectinformatie!C107+Projectinformatie!C78*((TREND(DB_Overig!C21:F21,DB_Overig!C19:F19,DB_Overig!D19)-TREND(DB_Overig!C21:F21,DB_Overig!C19:F19,DB_Overig!C19))/DB_Overig!D19),Projectinformatie!$C$107)</f>
        <v>0.16452372850976002</v>
      </c>
      <c r="G63" s="257" cm="1">
        <f t="array" ref="G63">IFERROR(Projectinformatie!C107+Projectinformatie!C78*((TREND(DB_Overig!C21:F21,DB_Overig!C19:F19,DB_Overig!D19)-TREND(DB_Overig!C21:F21,DB_Overig!C19:F19,DB_Overig!C19))/DB_Overig!D19),Projectinformatie!$C$107)</f>
        <v>0.16452372850976002</v>
      </c>
      <c r="H63" s="257" cm="1">
        <f t="array" ref="H63">IFERROR(Projectinformatie!C107+Projectinformatie!C78*((TREND(DB_Overig!C21:F21,DB_Overig!C19:F19,DB_Overig!D19)-TREND(DB_Overig!C21:F21,DB_Overig!C19:F19,DB_Overig!C19))/DB_Overig!D19),Projectinformatie!$C$107)</f>
        <v>0.16452372850976002</v>
      </c>
      <c r="I63" s="258" cm="1">
        <f t="array" ref="I63">IFERROR(Projectinformatie!C107+Projectinformatie!C78*((TREND(DB_Overig!C21:F21,DB_Overig!C19:F19,DB_Overig!D19)-TREND(DB_Overig!C21:F21,DB_Overig!C19:F19,DB_Overig!C19))/DB_Overig!D19),Projectinformatie!$C$107)</f>
        <v>0.16452372850976002</v>
      </c>
      <c r="J63" s="260">
        <f>SUMPRODUCT(D63:I63,D25:I25)/J25</f>
        <v>0.16452372850975999</v>
      </c>
      <c r="K63" s="90"/>
      <c r="L63" s="90"/>
      <c r="M63" s="90"/>
      <c r="N63" s="90"/>
      <c r="O63" s="90"/>
      <c r="P63" s="90"/>
      <c r="Q63" s="90"/>
      <c r="R63" s="90"/>
      <c r="S63" s="90"/>
      <c r="T63" s="90"/>
      <c r="U63" s="90"/>
      <c r="V63" s="90"/>
      <c r="W63" s="90"/>
      <c r="X63" s="90"/>
      <c r="Y63" s="90"/>
      <c r="Z63" s="90"/>
      <c r="AA63" s="90"/>
      <c r="AB63" s="90"/>
      <c r="AC63" s="90"/>
      <c r="AD63" s="90"/>
      <c r="AE63" s="175"/>
      <c r="AF63" s="211" t="s">
        <v>337</v>
      </c>
      <c r="AG63" s="211" t="str">
        <f t="shared" si="65"/>
        <v>kWh_e / ton asfalt</v>
      </c>
      <c r="AH63" s="212">
        <f>(AH60/Energiedragers!$D$17)+IF(Projectinformatie!$C$109="Elektriciteit",(AH57/Energiedragers!$D$17),0)</f>
        <v>5.7732810272872701</v>
      </c>
      <c r="AI63" s="212">
        <f>(AI60/Energiedragers!$D$17)+IF(Projectinformatie!$C$109="Elektriciteit",(AI57/Energiedragers!$D$17),0)</f>
        <v>3.3426286642111798</v>
      </c>
      <c r="AJ63" s="212">
        <f>(AJ60/Energiedragers!$D$17)+IF(Projectinformatie!$C$109="Elektriciteit",(AJ57/Energiedragers!$D$17),0)</f>
        <v>6.436186217217112</v>
      </c>
      <c r="AK63" s="212">
        <f>(AK60/Energiedragers!$D$17)+IF(Projectinformatie!$C$109="Elektriciteit",(AK57/Energiedragers!$D$17),0)</f>
        <v>6.4361862172171111</v>
      </c>
      <c r="AL63" s="212">
        <f>(AL60/Energiedragers!$D$17)+IF(Projectinformatie!$C$109="Elektriciteit",(AL57/Energiedragers!$D$17),0)</f>
        <v>6.657154613860393</v>
      </c>
      <c r="AM63" s="212">
        <f>(AM60/Energiedragers!$D$17)+IF(Projectinformatie!$C$109="Elektriciteit",(AM57/Energiedragers!$D$17),0)</f>
        <v>7.3753019029510556</v>
      </c>
      <c r="AN63" s="212">
        <f t="shared" si="63"/>
        <v>5.405774332095274</v>
      </c>
      <c r="AO63" s="176"/>
      <c r="AP63" s="90"/>
      <c r="AQ63" s="90"/>
      <c r="AR63" s="90"/>
      <c r="AS63" s="90"/>
      <c r="AT63" s="90"/>
      <c r="AU63" s="90"/>
      <c r="AV63" s="90"/>
      <c r="AW63" s="90"/>
      <c r="AX63" s="90"/>
      <c r="AY63" s="90"/>
      <c r="AZ63" s="90"/>
      <c r="BA63" s="90"/>
    </row>
    <row r="64" spans="1:53" ht="12" customHeight="1">
      <c r="A64" s="90"/>
      <c r="B64" s="190" t="s">
        <v>390</v>
      </c>
      <c r="C64" s="191" t="str">
        <f>IF(Projectinformatie!C68="Aardgas","m3 lucht / m3 aardgas","m3 lucht / kg brandstof")</f>
        <v>m3 lucht / m3 aardgas</v>
      </c>
      <c r="D64" s="261">
        <f>IF(ISERROR(VLOOKUP(Projectinformatie!C68,Brandstoftabel,3,FALSE)),DB_Overig!D180,VLOOKUP(Projectinformatie!C68,Brandstoftabel,3,FALSE))</f>
        <v>10.608666117659912</v>
      </c>
      <c r="E64" s="261">
        <f>IF(ISERROR(VLOOKUP(Projectinformatie!C68,Brandstoftabel,3,FALSE)),DB_Overig!D180,VLOOKUP(Projectinformatie!C68,Brandstoftabel,3,FALSE))</f>
        <v>10.608666117659912</v>
      </c>
      <c r="F64" s="261">
        <f>IF(ISERROR(VLOOKUP(Projectinformatie!C68,Brandstoftabel,3,FALSE)),DB_Overig!D180,VLOOKUP(Projectinformatie!C68,Brandstoftabel,3,FALSE))</f>
        <v>10.608666117659912</v>
      </c>
      <c r="G64" s="261">
        <f>IF(ISERROR(VLOOKUP(Projectinformatie!C68,Brandstoftabel,3,FALSE)),DB_Overig!D180,VLOOKUP(Projectinformatie!C68,Brandstoftabel,3,FALSE))</f>
        <v>10.608666117659912</v>
      </c>
      <c r="H64" s="261">
        <f>IF(ISERROR(VLOOKUP(Projectinformatie!C68,Brandstoftabel,3,FALSE)),DB_Overig!D180,VLOOKUP(Projectinformatie!C68,Brandstoftabel,3,FALSE))</f>
        <v>10.608666117659912</v>
      </c>
      <c r="I64" s="262">
        <f>IF(ISERROR(VLOOKUP(Projectinformatie!C68,Brandstoftabel,3,FALSE)),DB_Overig!D180,VLOOKUP(Projectinformatie!C68,Brandstoftabel,3,FALSE))</f>
        <v>10.608666117659912</v>
      </c>
      <c r="J64" s="263">
        <f>SUMPRODUCT(D64:I64,D25:I25)/J25</f>
        <v>10.608666117659912</v>
      </c>
      <c r="K64" s="90"/>
      <c r="L64" s="90"/>
      <c r="M64" s="90"/>
      <c r="N64" s="90"/>
      <c r="O64" s="90"/>
      <c r="P64" s="90"/>
      <c r="Q64" s="90"/>
      <c r="R64" s="90"/>
      <c r="S64" s="90"/>
      <c r="T64" s="90"/>
      <c r="U64" s="90"/>
      <c r="V64" s="90"/>
      <c r="W64" s="90"/>
      <c r="X64" s="90"/>
      <c r="Y64" s="90"/>
      <c r="Z64" s="90"/>
      <c r="AA64" s="90"/>
      <c r="AB64" s="90"/>
      <c r="AC64" s="90"/>
      <c r="AD64" s="90"/>
      <c r="AE64" s="175"/>
      <c r="AF64" s="211" t="s">
        <v>391</v>
      </c>
      <c r="AG64" s="211" t="s">
        <v>341</v>
      </c>
      <c r="AH64" s="216">
        <f>AH62*D25</f>
        <v>45989264.647541665</v>
      </c>
      <c r="AI64" s="216">
        <f t="shared" ref="AI64:AN64" si="66">AI62*E25</f>
        <v>121725769.20226334</v>
      </c>
      <c r="AJ64" s="216">
        <f t="shared" si="66"/>
        <v>115461352.01210099</v>
      </c>
      <c r="AK64" s="216">
        <f t="shared" si="66"/>
        <v>7822419.7711595846</v>
      </c>
      <c r="AL64" s="216">
        <f t="shared" si="66"/>
        <v>1659.5188825148264</v>
      </c>
      <c r="AM64" s="216">
        <f t="shared" si="66"/>
        <v>39982507.720591523</v>
      </c>
      <c r="AN64" s="264">
        <f t="shared" si="66"/>
        <v>330982972.87253964</v>
      </c>
      <c r="AO64" s="176"/>
      <c r="AP64" s="90"/>
      <c r="AQ64" s="90"/>
      <c r="AR64" s="90"/>
      <c r="AS64" s="252"/>
      <c r="AT64" s="90"/>
      <c r="AU64" s="90"/>
      <c r="AV64" s="90"/>
      <c r="AW64" s="90"/>
      <c r="AX64" s="90"/>
      <c r="AY64" s="90"/>
      <c r="AZ64" s="90"/>
      <c r="BA64" s="90"/>
    </row>
    <row r="65" spans="1:53" ht="12" customHeight="1">
      <c r="A65" s="90"/>
      <c r="B65" s="190" t="s">
        <v>392</v>
      </c>
      <c r="C65" s="191" t="str">
        <f t="shared" ref="C65:C66" si="67">C64</f>
        <v>m3 lucht / m3 aardgas</v>
      </c>
      <c r="D65" s="261">
        <f t="shared" ref="D65:I65" si="68">(D63/$D$111)*D64/(1-D63/$D$111)-D64</f>
        <v>27.771290000052137</v>
      </c>
      <c r="E65" s="261">
        <f t="shared" si="68"/>
        <v>27.771290000052137</v>
      </c>
      <c r="F65" s="261">
        <f t="shared" si="68"/>
        <v>27.771290000052137</v>
      </c>
      <c r="G65" s="261">
        <f t="shared" si="68"/>
        <v>27.771290000052137</v>
      </c>
      <c r="H65" s="261">
        <f t="shared" si="68"/>
        <v>27.771290000052137</v>
      </c>
      <c r="I65" s="262">
        <f t="shared" si="68"/>
        <v>27.771290000052137</v>
      </c>
      <c r="J65" s="263">
        <f t="shared" ref="J65:J71" si="69">SUMPRODUCT(D65:I65,$D$25:$I$25)/$J$25</f>
        <v>27.771290000052133</v>
      </c>
      <c r="K65" s="90"/>
      <c r="L65" s="90"/>
      <c r="M65" s="90"/>
      <c r="N65" s="90"/>
      <c r="O65" s="90"/>
      <c r="P65" s="90"/>
      <c r="Q65" s="90"/>
      <c r="R65" s="90"/>
      <c r="S65" s="90"/>
      <c r="T65" s="90"/>
      <c r="U65" s="90"/>
      <c r="V65" s="90"/>
      <c r="W65" s="90"/>
      <c r="X65" s="90"/>
      <c r="Y65" s="90"/>
      <c r="Z65" s="90"/>
      <c r="AA65" s="90"/>
      <c r="AB65" s="90"/>
      <c r="AC65" s="90"/>
      <c r="AD65" s="90"/>
      <c r="AE65" s="175"/>
      <c r="AF65" s="211" t="s">
        <v>393</v>
      </c>
      <c r="AG65" s="211" t="s">
        <v>343</v>
      </c>
      <c r="AH65" s="216">
        <f t="shared" ref="AH65:AN65" si="70">AH63*D25</f>
        <v>160804.23333430485</v>
      </c>
      <c r="AI65" s="216">
        <f t="shared" si="70"/>
        <v>221104.75596713979</v>
      </c>
      <c r="AJ65" s="216">
        <f t="shared" si="70"/>
        <v>452371.53823433223</v>
      </c>
      <c r="AK65" s="216">
        <f t="shared" si="70"/>
        <v>30647.831529144441</v>
      </c>
      <c r="AL65" s="216">
        <f t="shared" si="70"/>
        <v>6.657154613860393</v>
      </c>
      <c r="AM65" s="216">
        <f t="shared" si="70"/>
        <v>183129.483780465</v>
      </c>
      <c r="AN65" s="264">
        <f t="shared" si="70"/>
        <v>1048064.5000000001</v>
      </c>
      <c r="AO65" s="176"/>
      <c r="AP65" s="90"/>
      <c r="AQ65" s="90"/>
      <c r="AR65" s="90"/>
      <c r="AS65" s="90"/>
      <c r="AT65" s="90"/>
      <c r="AU65" s="90"/>
      <c r="AV65" s="90"/>
      <c r="AW65" s="90"/>
      <c r="AX65" s="90"/>
      <c r="AY65" s="90"/>
      <c r="AZ65" s="90"/>
      <c r="BA65" s="90"/>
    </row>
    <row r="66" spans="1:53" ht="9.75" customHeight="1">
      <c r="A66" s="90"/>
      <c r="B66" s="190" t="s">
        <v>394</v>
      </c>
      <c r="C66" s="191" t="str">
        <f t="shared" si="67"/>
        <v>m3 lucht / m3 aardgas</v>
      </c>
      <c r="D66" s="261">
        <f t="shared" ref="D66:I66" si="71">SUM(D64:D65)</f>
        <v>38.379956117712048</v>
      </c>
      <c r="E66" s="261">
        <f t="shared" si="71"/>
        <v>38.379956117712048</v>
      </c>
      <c r="F66" s="261">
        <f t="shared" si="71"/>
        <v>38.379956117712048</v>
      </c>
      <c r="G66" s="261">
        <f t="shared" si="71"/>
        <v>38.379956117712048</v>
      </c>
      <c r="H66" s="261">
        <f t="shared" si="71"/>
        <v>38.379956117712048</v>
      </c>
      <c r="I66" s="262">
        <f t="shared" si="71"/>
        <v>38.379956117712048</v>
      </c>
      <c r="J66" s="263">
        <f t="shared" si="69"/>
        <v>38.379956117712055</v>
      </c>
      <c r="K66" s="90"/>
      <c r="L66" s="90"/>
      <c r="M66" s="90"/>
      <c r="N66" s="90"/>
      <c r="O66" s="90"/>
      <c r="P66" s="90"/>
      <c r="Q66" s="90"/>
      <c r="R66" s="90"/>
      <c r="S66" s="90"/>
      <c r="T66" s="90"/>
      <c r="U66" s="90"/>
      <c r="V66" s="90"/>
      <c r="W66" s="90"/>
      <c r="X66" s="90"/>
      <c r="Y66" s="90"/>
      <c r="Z66" s="90"/>
      <c r="AA66" s="90"/>
      <c r="AB66" s="90"/>
      <c r="AC66" s="90"/>
      <c r="AD66" s="90"/>
      <c r="AE66" s="175"/>
      <c r="AF66" s="90"/>
      <c r="AG66" s="90"/>
      <c r="AH66" s="90"/>
      <c r="AI66" s="90"/>
      <c r="AJ66" s="90"/>
      <c r="AK66" s="90"/>
      <c r="AL66" s="90"/>
      <c r="AM66" s="90"/>
      <c r="AN66" s="90"/>
      <c r="AO66" s="176"/>
      <c r="AP66" s="90"/>
      <c r="AQ66" s="90"/>
      <c r="AR66" s="90"/>
      <c r="AS66" s="90"/>
      <c r="AT66" s="90"/>
      <c r="AU66" s="90"/>
      <c r="AV66" s="90"/>
      <c r="AW66" s="90"/>
      <c r="AX66" s="90"/>
      <c r="AY66" s="90"/>
      <c r="AZ66" s="90"/>
      <c r="BA66" s="90"/>
    </row>
    <row r="67" spans="1:53" ht="9.75" customHeight="1">
      <c r="A67" s="90"/>
      <c r="B67" s="190" t="s">
        <v>395</v>
      </c>
      <c r="C67" s="191" t="str">
        <f>IF(Projectinformatie!C68="Aardgas","kg water / m3 aardgas","kg water / kg brandstof")</f>
        <v>kg water / m3 aardgas</v>
      </c>
      <c r="D67" s="261">
        <f t="shared" ref="D67:I67" si="72">D65*$D$101*$D$103</f>
        <v>0.24577591650046141</v>
      </c>
      <c r="E67" s="261">
        <f t="shared" si="72"/>
        <v>0.24577591650046141</v>
      </c>
      <c r="F67" s="261">
        <f t="shared" si="72"/>
        <v>0.24577591650046141</v>
      </c>
      <c r="G67" s="261">
        <f t="shared" si="72"/>
        <v>0.24577591650046141</v>
      </c>
      <c r="H67" s="261">
        <f t="shared" si="72"/>
        <v>0.24577591650046141</v>
      </c>
      <c r="I67" s="262">
        <f t="shared" si="72"/>
        <v>0.24577591650046141</v>
      </c>
      <c r="J67" s="263">
        <f t="shared" si="69"/>
        <v>0.24577591650046138</v>
      </c>
      <c r="K67" s="90"/>
      <c r="L67" s="90"/>
      <c r="M67" s="90"/>
      <c r="N67" s="90"/>
      <c r="O67" s="90"/>
      <c r="P67" s="90"/>
      <c r="Q67" s="90"/>
      <c r="R67" s="90"/>
      <c r="S67" s="90"/>
      <c r="T67" s="90"/>
      <c r="U67" s="90"/>
      <c r="V67" s="90"/>
      <c r="W67" s="90"/>
      <c r="X67" s="90"/>
      <c r="Y67" s="90"/>
      <c r="Z67" s="90"/>
      <c r="AA67" s="90"/>
      <c r="AB67" s="90"/>
      <c r="AC67" s="90"/>
      <c r="AD67" s="90"/>
      <c r="AE67" s="175"/>
      <c r="AF67" s="90"/>
      <c r="AG67" s="90"/>
      <c r="AH67" s="90"/>
      <c r="AI67" s="90"/>
      <c r="AJ67" s="90"/>
      <c r="AK67" s="90"/>
      <c r="AL67" s="90"/>
      <c r="AM67" s="90"/>
      <c r="AN67" s="90"/>
      <c r="AO67" s="176"/>
      <c r="AP67" s="90"/>
      <c r="AQ67" s="90"/>
      <c r="AR67" s="90"/>
      <c r="AS67" s="90"/>
      <c r="AT67" s="90"/>
      <c r="AU67" s="90"/>
      <c r="AV67" s="90"/>
      <c r="AW67" s="90"/>
      <c r="AX67" s="90"/>
      <c r="AY67" s="90"/>
      <c r="AZ67" s="90"/>
      <c r="BA67" s="90"/>
    </row>
    <row r="68" spans="1:53" ht="9.75" customHeight="1">
      <c r="A68" s="90"/>
      <c r="B68" s="190" t="s">
        <v>396</v>
      </c>
      <c r="C68" s="191" t="str">
        <f>IF(Projectinformatie!C68="Aardgas","MJ / m3 aardgas","MJ / kg brandstof")</f>
        <v>MJ / m3 aardgas</v>
      </c>
      <c r="D68" s="265">
        <f t="shared" ref="D68:I68" si="73">D66*$D$98*(D58-$J$60)/1000</f>
        <v>4.9751745215609535</v>
      </c>
      <c r="E68" s="265">
        <f t="shared" si="73"/>
        <v>4.975146322358313</v>
      </c>
      <c r="F68" s="265">
        <f t="shared" si="73"/>
        <v>4.9751745215609535</v>
      </c>
      <c r="G68" s="265">
        <f t="shared" si="73"/>
        <v>4.9751745215609535</v>
      </c>
      <c r="H68" s="265">
        <f t="shared" si="73"/>
        <v>4.9751745215609535</v>
      </c>
      <c r="I68" s="266">
        <f t="shared" si="73"/>
        <v>4.9751745215609535</v>
      </c>
      <c r="J68" s="263">
        <f t="shared" si="69"/>
        <v>4.9751649006392427</v>
      </c>
      <c r="K68" s="90"/>
      <c r="L68" s="90"/>
      <c r="M68" s="90"/>
      <c r="N68" s="90"/>
      <c r="O68" s="90"/>
      <c r="P68" s="90"/>
      <c r="Q68" s="90"/>
      <c r="R68" s="90"/>
      <c r="S68" s="90"/>
      <c r="T68" s="90"/>
      <c r="U68" s="90"/>
      <c r="V68" s="90"/>
      <c r="W68" s="90"/>
      <c r="X68" s="90"/>
      <c r="Y68" s="90"/>
      <c r="Z68" s="90"/>
      <c r="AA68" s="90"/>
      <c r="AB68" s="90"/>
      <c r="AC68" s="90"/>
      <c r="AD68" s="90"/>
      <c r="AE68" s="175"/>
      <c r="AF68" s="34" t="s">
        <v>397</v>
      </c>
      <c r="AG68" s="90"/>
      <c r="AH68" s="90"/>
      <c r="AI68" s="90"/>
      <c r="AJ68" s="90"/>
      <c r="AK68" s="90"/>
      <c r="AL68" s="90"/>
      <c r="AM68" s="90"/>
      <c r="AN68" s="173"/>
      <c r="AO68" s="176"/>
      <c r="AP68" s="90"/>
      <c r="AQ68" s="90"/>
      <c r="AR68" s="90"/>
      <c r="AS68" s="90"/>
      <c r="AT68" s="90"/>
      <c r="AU68" s="90"/>
      <c r="AV68" s="90"/>
      <c r="AW68" s="90"/>
      <c r="AX68" s="90"/>
      <c r="AY68" s="90"/>
      <c r="AZ68" s="90"/>
      <c r="BA68" s="90"/>
    </row>
    <row r="69" spans="1:53" ht="11.25" customHeight="1">
      <c r="A69" s="90"/>
      <c r="B69" s="190" t="s">
        <v>398</v>
      </c>
      <c r="C69" s="191" t="str">
        <f>IF(Projectinformatie!C68="Aardgas","MJ / m3 aardgas","MJ / kg brandstof")</f>
        <v>MJ / m3 aardgas</v>
      </c>
      <c r="D69" s="265">
        <f t="shared" ref="D69:I69" si="74">(D67*(100-$J$60)*$D$96+($D$58-100)*$D$97)/1000</f>
        <v>0.11196363412057075</v>
      </c>
      <c r="E69" s="265">
        <f t="shared" si="74"/>
        <v>0.11196363412057075</v>
      </c>
      <c r="F69" s="265">
        <f t="shared" si="74"/>
        <v>0.11196363412057075</v>
      </c>
      <c r="G69" s="265">
        <f t="shared" si="74"/>
        <v>0.11196363412057075</v>
      </c>
      <c r="H69" s="265">
        <f t="shared" si="74"/>
        <v>0.11196363412057075</v>
      </c>
      <c r="I69" s="266">
        <f t="shared" si="74"/>
        <v>0.11196363412057075</v>
      </c>
      <c r="J69" s="263">
        <f t="shared" si="69"/>
        <v>0.11196363412057075</v>
      </c>
      <c r="K69" s="90"/>
      <c r="L69" s="90"/>
      <c r="M69" s="90"/>
      <c r="N69" s="90"/>
      <c r="O69" s="90"/>
      <c r="P69" s="90"/>
      <c r="Q69" s="90"/>
      <c r="R69" s="90"/>
      <c r="S69" s="90"/>
      <c r="T69" s="90"/>
      <c r="U69" s="90"/>
      <c r="V69" s="90"/>
      <c r="W69" s="90"/>
      <c r="X69" s="90"/>
      <c r="Y69" s="90"/>
      <c r="Z69" s="90"/>
      <c r="AA69" s="90"/>
      <c r="AB69" s="90"/>
      <c r="AC69" s="90"/>
      <c r="AD69" s="90"/>
      <c r="AE69" s="175"/>
      <c r="AF69" s="189" t="s">
        <v>399</v>
      </c>
      <c r="AG69" s="191" t="s">
        <v>400</v>
      </c>
      <c r="AH69" s="191" t="s">
        <v>401</v>
      </c>
      <c r="AI69" s="90"/>
      <c r="AJ69" s="90"/>
      <c r="AK69" s="90"/>
      <c r="AL69" s="90"/>
      <c r="AM69" s="90"/>
      <c r="AN69" s="173"/>
      <c r="AO69" s="176"/>
      <c r="AP69" s="90"/>
      <c r="AQ69" s="90"/>
      <c r="AR69" s="90"/>
      <c r="AS69" s="90"/>
      <c r="AT69" s="90"/>
      <c r="AU69" s="90"/>
      <c r="AV69" s="90"/>
      <c r="AW69" s="90"/>
      <c r="AX69" s="90"/>
      <c r="AY69" s="90"/>
      <c r="AZ69" s="90"/>
      <c r="BA69" s="90"/>
    </row>
    <row r="70" spans="1:53" ht="11.25" customHeight="1">
      <c r="A70" s="90"/>
      <c r="B70" s="190" t="s">
        <v>402</v>
      </c>
      <c r="C70" s="191" t="s">
        <v>403</v>
      </c>
      <c r="D70" s="265">
        <f>(SUM(D5:D8,D13:D14)+IF(Projectinformatie!C109&lt;&gt;"Elektriciteit",D12))/$D$105</f>
        <v>244.38862809843963</v>
      </c>
      <c r="E70" s="265">
        <f>(SUM(E5:E8,E13:E14)+IF(Projectinformatie!C109&lt;&gt;"Elektriciteit",E12))/$D$105</f>
        <v>263.62576665657957</v>
      </c>
      <c r="F70" s="265">
        <f>(SUM(F5:F8,F13:F14)+IF(Projectinformatie!C109&lt;&gt;"Elektriciteit",F12))/$D$105</f>
        <v>266.50167303910627</v>
      </c>
      <c r="G70" s="265">
        <f>(SUM(G5:G8,G13:G14)+IF(Projectinformatie!C109&lt;&gt;"Elektriciteit",G12))/$D$105</f>
        <v>237.50107380066706</v>
      </c>
      <c r="H70" s="265">
        <f>(SUM(H5:H8,H13:H14)+IF(Projectinformatie!C109&lt;&gt;"Elektriciteit",H12))/$D$105</f>
        <v>239.72001780066708</v>
      </c>
      <c r="I70" s="266">
        <f>(SUM(I5:I8,I13:I14)+IF(Projectinformatie!C109&lt;&gt;"Elektriciteit",I12))/$D$105</f>
        <v>233.20186980066708</v>
      </c>
      <c r="J70" s="263">
        <f t="shared" si="69"/>
        <v>257.3665262529089</v>
      </c>
      <c r="K70" s="90"/>
      <c r="L70" s="90"/>
      <c r="M70" s="90"/>
      <c r="N70" s="90"/>
      <c r="O70" s="90"/>
      <c r="P70" s="90"/>
      <c r="Q70" s="90"/>
      <c r="R70" s="90"/>
      <c r="S70" s="90"/>
      <c r="T70" s="90"/>
      <c r="U70" s="90"/>
      <c r="V70" s="90"/>
      <c r="W70" s="90"/>
      <c r="X70" s="90"/>
      <c r="Y70" s="90"/>
      <c r="Z70" s="90"/>
      <c r="AA70" s="90"/>
      <c r="AB70" s="90"/>
      <c r="AC70" s="90"/>
      <c r="AD70" s="90"/>
      <c r="AE70" s="175"/>
      <c r="AF70" s="191" t="s">
        <v>1364</v>
      </c>
      <c r="AG70" s="267">
        <f>AH62</f>
        <v>1651.1315874163845</v>
      </c>
      <c r="AH70" s="267">
        <f>AH63</f>
        <v>5.7732810272872701</v>
      </c>
      <c r="AI70" s="90"/>
      <c r="AJ70" s="90"/>
      <c r="AK70" s="90"/>
      <c r="AL70" s="90"/>
      <c r="AM70" s="90"/>
      <c r="AN70" s="90"/>
      <c r="AO70" s="176"/>
      <c r="AP70" s="90"/>
      <c r="AQ70" s="90"/>
      <c r="AR70" s="90"/>
      <c r="AS70" s="90"/>
      <c r="AT70" s="90"/>
      <c r="AU70" s="90"/>
      <c r="AV70" s="90"/>
      <c r="AW70" s="90"/>
      <c r="AX70" s="90"/>
      <c r="AY70" s="90"/>
      <c r="AZ70" s="90"/>
      <c r="BA70" s="90"/>
    </row>
    <row r="71" spans="1:53" ht="11.25" customHeight="1">
      <c r="A71" s="90"/>
      <c r="B71" s="190" t="s">
        <v>404</v>
      </c>
      <c r="C71" s="191" t="s">
        <v>403</v>
      </c>
      <c r="D71" s="265">
        <f t="shared" ref="D71:I71" si="75">D70/(1-SUM(D68:D69)/$D$105)-D70</f>
        <v>-304.18318820126251</v>
      </c>
      <c r="E71" s="265">
        <f t="shared" si="75"/>
        <v>-328.12752204455984</v>
      </c>
      <c r="F71" s="265">
        <f t="shared" si="75"/>
        <v>-331.7066313468265</v>
      </c>
      <c r="G71" s="265">
        <f t="shared" si="75"/>
        <v>-295.61045614941816</v>
      </c>
      <c r="H71" s="265">
        <f t="shared" si="75"/>
        <v>-298.37230912765165</v>
      </c>
      <c r="I71" s="266">
        <f t="shared" si="75"/>
        <v>-290.25936600409091</v>
      </c>
      <c r="J71" s="263">
        <f t="shared" si="69"/>
        <v>-320.33654023726177</v>
      </c>
      <c r="K71" s="90"/>
      <c r="L71" s="90"/>
      <c r="M71" s="90"/>
      <c r="N71" s="90"/>
      <c r="O71" s="90"/>
      <c r="P71" s="90"/>
      <c r="Q71" s="90"/>
      <c r="R71" s="90"/>
      <c r="S71" s="90"/>
      <c r="T71" s="90"/>
      <c r="U71" s="90"/>
      <c r="V71" s="90"/>
      <c r="W71" s="90"/>
      <c r="X71" s="90"/>
      <c r="Y71" s="90"/>
      <c r="Z71" s="90"/>
      <c r="AA71" s="90"/>
      <c r="AB71" s="90"/>
      <c r="AC71" s="90"/>
      <c r="AD71" s="90"/>
      <c r="AE71" s="175"/>
      <c r="AF71" s="191" t="s">
        <v>1365</v>
      </c>
      <c r="AG71" s="267">
        <f>AJ62</f>
        <v>1642.7442923179437</v>
      </c>
      <c r="AH71" s="267">
        <f>AJ63</f>
        <v>6.436186217217112</v>
      </c>
      <c r="AI71" s="90"/>
      <c r="AJ71" s="90"/>
      <c r="AK71" s="90"/>
      <c r="AL71" s="90"/>
      <c r="AM71" s="90"/>
      <c r="AN71" s="90"/>
      <c r="AO71" s="176"/>
      <c r="AP71" s="90"/>
      <c r="AQ71" s="90"/>
      <c r="AR71" s="90"/>
      <c r="AS71" s="90"/>
      <c r="AT71" s="90"/>
      <c r="AU71" s="90"/>
      <c r="AV71" s="90"/>
      <c r="AW71" s="90"/>
      <c r="AX71" s="90"/>
      <c r="AY71" s="90"/>
      <c r="AZ71" s="90"/>
      <c r="BA71" s="90"/>
    </row>
    <row r="72" spans="1:53" ht="11.25" customHeight="1">
      <c r="A72" s="90"/>
      <c r="B72" s="190"/>
      <c r="C72" s="191"/>
      <c r="D72" s="265"/>
      <c r="E72" s="265"/>
      <c r="F72" s="265"/>
      <c r="G72" s="265"/>
      <c r="H72" s="265"/>
      <c r="I72" s="266"/>
      <c r="J72" s="268"/>
      <c r="K72" s="90"/>
      <c r="L72" s="90"/>
      <c r="M72" s="90"/>
      <c r="N72" s="90"/>
      <c r="O72" s="90"/>
      <c r="P72" s="90"/>
      <c r="Q72" s="90"/>
      <c r="R72" s="90"/>
      <c r="S72" s="90"/>
      <c r="T72" s="90"/>
      <c r="U72" s="90"/>
      <c r="V72" s="90"/>
      <c r="W72" s="90"/>
      <c r="X72" s="90"/>
      <c r="Y72" s="90"/>
      <c r="Z72" s="90"/>
      <c r="AA72" s="90"/>
      <c r="AB72" s="90"/>
      <c r="AC72" s="90"/>
      <c r="AD72" s="90"/>
      <c r="AE72" s="175"/>
      <c r="AF72" s="191" t="s">
        <v>42</v>
      </c>
      <c r="AG72" s="267">
        <f>AK62</f>
        <v>1642.7442923179437</v>
      </c>
      <c r="AH72" s="267">
        <f>AK63</f>
        <v>6.4361862172171111</v>
      </c>
      <c r="AI72" s="90"/>
      <c r="AJ72" s="90"/>
      <c r="AK72" s="90"/>
      <c r="AL72" s="90"/>
      <c r="AM72" s="90"/>
      <c r="AN72" s="90"/>
      <c r="AO72" s="176"/>
      <c r="AP72" s="90"/>
      <c r="AQ72" s="90"/>
      <c r="AR72" s="90"/>
      <c r="AS72" s="90"/>
      <c r="AT72" s="90"/>
      <c r="AU72" s="90"/>
      <c r="AV72" s="90"/>
      <c r="AW72" s="90"/>
      <c r="AX72" s="90"/>
      <c r="AY72" s="90"/>
      <c r="AZ72" s="90"/>
      <c r="BA72" s="90"/>
    </row>
    <row r="73" spans="1:53" ht="11.25" customHeight="1">
      <c r="A73" s="90"/>
      <c r="B73" s="237" t="s">
        <v>405</v>
      </c>
      <c r="C73" s="191"/>
      <c r="D73" s="265"/>
      <c r="E73" s="265"/>
      <c r="F73" s="265"/>
      <c r="G73" s="265"/>
      <c r="H73" s="265"/>
      <c r="I73" s="266"/>
      <c r="J73" s="244"/>
      <c r="K73" s="90"/>
      <c r="L73" s="90"/>
      <c r="M73" s="90"/>
      <c r="N73" s="90"/>
      <c r="O73" s="90"/>
      <c r="P73" s="90"/>
      <c r="Q73" s="90"/>
      <c r="R73" s="90"/>
      <c r="S73" s="90"/>
      <c r="T73" s="90"/>
      <c r="U73" s="90"/>
      <c r="V73" s="90"/>
      <c r="W73" s="90"/>
      <c r="X73" s="90"/>
      <c r="Y73" s="90"/>
      <c r="Z73" s="90"/>
      <c r="AA73" s="90"/>
      <c r="AB73" s="90"/>
      <c r="AC73" s="90"/>
      <c r="AD73" s="90"/>
      <c r="AE73" s="175"/>
      <c r="AF73" s="191" t="s">
        <v>44</v>
      </c>
      <c r="AG73" s="267">
        <f>AL62</f>
        <v>1659.5188825148264</v>
      </c>
      <c r="AH73" s="267">
        <f>AL63</f>
        <v>6.657154613860393</v>
      </c>
      <c r="AI73" s="90"/>
      <c r="AJ73" s="90"/>
      <c r="AK73" s="90"/>
      <c r="AL73" s="90"/>
      <c r="AM73" s="90"/>
      <c r="AN73" s="90"/>
      <c r="AO73" s="176"/>
      <c r="AP73" s="90"/>
      <c r="AQ73" s="90"/>
      <c r="AR73" s="90"/>
      <c r="AS73" s="90"/>
      <c r="AT73" s="90"/>
      <c r="AU73" s="90"/>
      <c r="AV73" s="90"/>
      <c r="AW73" s="90"/>
      <c r="AX73" s="90"/>
      <c r="AY73" s="90"/>
      <c r="AZ73" s="90"/>
      <c r="BA73" s="90"/>
    </row>
    <row r="74" spans="1:53" ht="11.25" customHeight="1">
      <c r="A74" s="90"/>
      <c r="B74" s="190" t="s">
        <v>406</v>
      </c>
      <c r="C74" s="191" t="s">
        <v>241</v>
      </c>
      <c r="D74" s="192"/>
      <c r="E74" s="269"/>
      <c r="F74" s="269"/>
      <c r="G74" s="269"/>
      <c r="H74" s="269"/>
      <c r="I74" s="270"/>
      <c r="J74" s="260">
        <f>IF(Projectinformatie!C117="niet geisoleerd",0.02,IF(Projectinformatie!C117="geisoleerd",0.01,IF(Projectinformatie!C117="geisoleerd en omkast", 0.005)))</f>
        <v>0.01</v>
      </c>
      <c r="K74" s="90"/>
      <c r="L74" s="90"/>
      <c r="M74" s="90"/>
      <c r="N74" s="90"/>
      <c r="O74" s="90"/>
      <c r="P74" s="90"/>
      <c r="Q74" s="90"/>
      <c r="R74" s="90"/>
      <c r="S74" s="90"/>
      <c r="T74" s="90"/>
      <c r="U74" s="90"/>
      <c r="V74" s="90"/>
      <c r="W74" s="90"/>
      <c r="X74" s="90"/>
      <c r="Y74" s="90"/>
      <c r="Z74" s="90"/>
      <c r="AA74" s="90"/>
      <c r="AB74" s="90"/>
      <c r="AC74" s="90"/>
      <c r="AD74" s="90"/>
      <c r="AE74" s="175"/>
      <c r="AF74" s="191" t="s">
        <v>43</v>
      </c>
      <c r="AG74" s="267">
        <f>AM62</f>
        <v>1610.2435238114838</v>
      </c>
      <c r="AH74" s="267">
        <f>AM63</f>
        <v>7.3753019029510556</v>
      </c>
      <c r="AI74" s="90"/>
      <c r="AJ74" s="90"/>
      <c r="AK74" s="90"/>
      <c r="AL74" s="90"/>
      <c r="AM74" s="90"/>
      <c r="AN74" s="90"/>
      <c r="AO74" s="176"/>
      <c r="AP74" s="90"/>
      <c r="AQ74" s="90"/>
      <c r="AR74" s="90"/>
      <c r="AS74" s="90"/>
      <c r="AT74" s="90"/>
      <c r="AU74" s="90"/>
      <c r="AV74" s="90"/>
      <c r="AW74" s="90"/>
      <c r="AX74" s="90"/>
      <c r="AY74" s="90"/>
      <c r="AZ74" s="90"/>
      <c r="BA74" s="90"/>
    </row>
    <row r="75" spans="1:53" ht="9.75" customHeight="1">
      <c r="A75" s="90"/>
      <c r="B75" s="190" t="s">
        <v>407</v>
      </c>
      <c r="C75" s="191" t="s">
        <v>241</v>
      </c>
      <c r="D75" s="192"/>
      <c r="E75" s="269"/>
      <c r="F75" s="269"/>
      <c r="G75" s="269"/>
      <c r="H75" s="269"/>
      <c r="I75" s="270"/>
      <c r="J75" s="260">
        <f>IF(Projectinformatie!C118="niet geisoleerd",0.02,IF(Projectinformatie!C118="geisoleerd",0.01,IF(Projectinformatie!C118="geisoleerd en omkast", 0.005)))</f>
        <v>0.01</v>
      </c>
      <c r="K75" s="90"/>
      <c r="L75" s="90"/>
      <c r="M75" s="90"/>
      <c r="N75" s="90"/>
      <c r="O75" s="90"/>
      <c r="P75" s="90"/>
      <c r="Q75" s="90"/>
      <c r="R75" s="90"/>
      <c r="S75" s="90"/>
      <c r="T75" s="90"/>
      <c r="U75" s="90"/>
      <c r="V75" s="90"/>
      <c r="W75" s="90"/>
      <c r="X75" s="90"/>
      <c r="Y75" s="90"/>
      <c r="Z75" s="90"/>
      <c r="AA75" s="90"/>
      <c r="AB75" s="90"/>
      <c r="AC75" s="90"/>
      <c r="AD75" s="90"/>
      <c r="AE75" s="175"/>
      <c r="AF75" s="191" t="s">
        <v>301</v>
      </c>
      <c r="AG75" s="267">
        <f>AI62</f>
        <v>1840.2319910708311</v>
      </c>
      <c r="AH75" s="267">
        <f>AI63</f>
        <v>3.3426286642111798</v>
      </c>
      <c r="AI75" s="90"/>
      <c r="AJ75" s="90"/>
      <c r="AK75" s="90"/>
      <c r="AL75" s="90"/>
      <c r="AM75" s="90"/>
      <c r="AN75" s="90"/>
      <c r="AO75" s="176"/>
      <c r="AP75" s="90"/>
      <c r="AQ75" s="90"/>
      <c r="AR75" s="90"/>
      <c r="AS75" s="90"/>
      <c r="AT75" s="90"/>
      <c r="AU75" s="90"/>
      <c r="AV75" s="90"/>
      <c r="AW75" s="90"/>
      <c r="AX75" s="90"/>
      <c r="AY75" s="90"/>
      <c r="AZ75" s="90"/>
      <c r="BA75" s="90"/>
    </row>
    <row r="76" spans="1:53" ht="9.75" customHeight="1">
      <c r="A76" s="90"/>
      <c r="B76" s="190"/>
      <c r="C76" s="191"/>
      <c r="D76" s="269"/>
      <c r="E76" s="191"/>
      <c r="F76" s="191"/>
      <c r="G76" s="191"/>
      <c r="H76" s="191"/>
      <c r="I76" s="238"/>
      <c r="J76" s="244"/>
      <c r="K76" s="90"/>
      <c r="L76" s="90"/>
      <c r="M76" s="90"/>
      <c r="N76" s="90"/>
      <c r="O76" s="90"/>
      <c r="P76" s="90"/>
      <c r="Q76" s="90"/>
      <c r="R76" s="90"/>
      <c r="S76" s="90"/>
      <c r="T76" s="90"/>
      <c r="U76" s="90"/>
      <c r="V76" s="90"/>
      <c r="W76" s="90"/>
      <c r="X76" s="90"/>
      <c r="Y76" s="90"/>
      <c r="Z76" s="90"/>
      <c r="AA76" s="90"/>
      <c r="AB76" s="90"/>
      <c r="AC76" s="90"/>
      <c r="AD76" s="90"/>
      <c r="AE76" s="175"/>
      <c r="AF76" s="90"/>
      <c r="AG76" s="90"/>
      <c r="AH76" s="90"/>
      <c r="AI76" s="90"/>
      <c r="AJ76" s="90"/>
      <c r="AK76" s="90"/>
      <c r="AL76" s="90"/>
      <c r="AM76" s="90"/>
      <c r="AN76" s="90"/>
      <c r="AO76" s="176"/>
      <c r="AP76" s="90"/>
      <c r="AQ76" s="90"/>
      <c r="AR76" s="90"/>
      <c r="AS76" s="90"/>
      <c r="AT76" s="90"/>
      <c r="AU76" s="90"/>
      <c r="AV76" s="90"/>
      <c r="AW76" s="90"/>
      <c r="AX76" s="90"/>
      <c r="AY76" s="90"/>
      <c r="AZ76" s="90"/>
      <c r="BA76" s="90"/>
    </row>
    <row r="77" spans="1:53" ht="9.75" customHeight="1">
      <c r="A77" s="90"/>
      <c r="B77" s="237" t="s">
        <v>408</v>
      </c>
      <c r="C77" s="191"/>
      <c r="D77" s="269"/>
      <c r="E77" s="198"/>
      <c r="F77" s="198"/>
      <c r="G77" s="269"/>
      <c r="H77" s="269"/>
      <c r="I77" s="270"/>
      <c r="J77" s="244"/>
      <c r="K77" s="90"/>
      <c r="L77" s="90"/>
      <c r="M77" s="90"/>
      <c r="N77" s="90"/>
      <c r="O77" s="90"/>
      <c r="P77" s="90"/>
      <c r="Q77" s="90"/>
      <c r="R77" s="90"/>
      <c r="S77" s="90"/>
      <c r="T77" s="90"/>
      <c r="U77" s="90"/>
      <c r="V77" s="90"/>
      <c r="W77" s="90"/>
      <c r="X77" s="90"/>
      <c r="Y77" s="90"/>
      <c r="Z77" s="90"/>
      <c r="AA77" s="90"/>
      <c r="AB77" s="90"/>
      <c r="AC77" s="90"/>
      <c r="AD77" s="90"/>
      <c r="AE77" s="175"/>
      <c r="AF77" s="90"/>
      <c r="AG77" s="90"/>
      <c r="AH77" s="90"/>
      <c r="AI77" s="90"/>
      <c r="AJ77" s="90"/>
      <c r="AK77" s="90"/>
      <c r="AL77" s="90"/>
      <c r="AM77" s="90"/>
      <c r="AN77" s="90"/>
      <c r="AO77" s="176"/>
      <c r="AP77" s="90"/>
      <c r="AQ77" s="90"/>
      <c r="AR77" s="90"/>
      <c r="AS77" s="90"/>
      <c r="AT77" s="90"/>
      <c r="AU77" s="90"/>
      <c r="AV77" s="90"/>
      <c r="AW77" s="90"/>
      <c r="AX77" s="90"/>
      <c r="AY77" s="90"/>
      <c r="AZ77" s="90"/>
      <c r="BA77" s="90"/>
    </row>
    <row r="78" spans="1:53" ht="9.75" customHeight="1">
      <c r="A78" s="90"/>
      <c r="B78" s="190" t="s">
        <v>409</v>
      </c>
      <c r="C78" s="191" t="str">
        <f>IF(Projectinformatie!C109="Elektriciteit","kWh / a","m3 aardgas / a")</f>
        <v>kWh / a</v>
      </c>
      <c r="D78" s="191"/>
      <c r="E78" s="191"/>
      <c r="F78" s="191"/>
      <c r="G78" s="191"/>
      <c r="H78" s="191"/>
      <c r="I78" s="238"/>
      <c r="J78" s="271">
        <f>Projectinformatie!C115-MAX(0,Projectinformatie!C115-Lists!B82)</f>
        <v>400000</v>
      </c>
      <c r="K78" s="90"/>
      <c r="L78" s="90"/>
      <c r="M78" s="90"/>
      <c r="N78" s="90"/>
      <c r="O78" s="90"/>
      <c r="P78" s="90"/>
      <c r="Q78" s="90"/>
      <c r="R78" s="90"/>
      <c r="S78" s="90"/>
      <c r="T78" s="90"/>
      <c r="U78" s="90"/>
      <c r="V78" s="90"/>
      <c r="W78" s="90"/>
      <c r="X78" s="90"/>
      <c r="Y78" s="90"/>
      <c r="Z78" s="90"/>
      <c r="AA78" s="90"/>
      <c r="AB78" s="90"/>
      <c r="AC78" s="90"/>
      <c r="AD78" s="90"/>
      <c r="AE78" s="175"/>
      <c r="AF78" s="34" t="s">
        <v>420</v>
      </c>
      <c r="AG78" s="90"/>
      <c r="AH78" s="90"/>
      <c r="AI78" s="90"/>
      <c r="AJ78" s="90"/>
      <c r="AK78" s="90"/>
      <c r="AL78" s="90"/>
      <c r="AM78" s="90"/>
      <c r="AN78" s="90"/>
      <c r="AO78" s="176"/>
      <c r="AP78" s="90"/>
      <c r="AQ78" s="90"/>
      <c r="AR78" s="90"/>
      <c r="AS78" s="90"/>
      <c r="AT78" s="90"/>
      <c r="AU78" s="90"/>
      <c r="AV78" s="90"/>
      <c r="AW78" s="90"/>
      <c r="AX78" s="90"/>
      <c r="AY78" s="90"/>
      <c r="AZ78" s="90"/>
      <c r="BA78" s="90"/>
    </row>
    <row r="79" spans="1:53" ht="9.75" customHeight="1">
      <c r="A79" s="90"/>
      <c r="B79" s="190" t="s">
        <v>411</v>
      </c>
      <c r="C79" s="191" t="s">
        <v>241</v>
      </c>
      <c r="D79" s="249">
        <f t="shared" ref="D79:F79" si="76">(D36*D25)/SUMPRODUCT($D36:$I36,$D25:$I25)</f>
        <v>0.16925349203480686</v>
      </c>
      <c r="E79" s="249">
        <f t="shared" si="76"/>
        <v>0</v>
      </c>
      <c r="F79" s="249">
        <f t="shared" si="76"/>
        <v>0.54358176629747257</v>
      </c>
      <c r="G79" s="249">
        <f>IF(ISERROR((G36*G25)/SUMPRODUCT($D36:$I36,$D25:$I25)),0,(G36*G25)/SUMPRODUCT($D36:$I36,$D25:$I25))</f>
        <v>3.6827255889759124E-2</v>
      </c>
      <c r="H79" s="249">
        <f t="shared" ref="H79:I79" si="77">(H36*H25)/SUMPRODUCT($D36:$I36,$D25:$I25)</f>
        <v>8.2863148741230334E-6</v>
      </c>
      <c r="I79" s="250">
        <f t="shared" si="77"/>
        <v>0.25032919946308746</v>
      </c>
      <c r="J79" s="272">
        <f>SUM(D79:I79)</f>
        <v>1.0000000000000002</v>
      </c>
      <c r="K79" s="90"/>
      <c r="L79" s="90"/>
      <c r="M79" s="90"/>
      <c r="N79" s="90"/>
      <c r="O79" s="90"/>
      <c r="P79" s="90"/>
      <c r="Q79" s="90"/>
      <c r="R79" s="90"/>
      <c r="S79" s="90"/>
      <c r="T79" s="90"/>
      <c r="U79" s="90"/>
      <c r="V79" s="90"/>
      <c r="W79" s="90"/>
      <c r="X79" s="90"/>
      <c r="Y79" s="90"/>
      <c r="Z79" s="90"/>
      <c r="AA79" s="90"/>
      <c r="AB79" s="90"/>
      <c r="AC79" s="90"/>
      <c r="AD79" s="90"/>
      <c r="AE79" s="175"/>
      <c r="AF79" s="191" t="s">
        <v>46</v>
      </c>
      <c r="AG79" s="197" t="str">
        <f>Results!C49</f>
        <v>HMA AC Bin/Base</v>
      </c>
      <c r="AH79" s="90"/>
      <c r="AI79" s="90"/>
      <c r="AJ79" s="90"/>
      <c r="AK79" s="90"/>
      <c r="AL79" s="90"/>
      <c r="AM79" s="90"/>
      <c r="AN79" s="90"/>
      <c r="AO79" s="176"/>
      <c r="AP79" s="90"/>
      <c r="AQ79" s="90"/>
      <c r="AR79" s="90"/>
      <c r="AS79" s="90"/>
      <c r="AT79" s="90"/>
      <c r="AU79" s="90"/>
      <c r="AV79" s="90"/>
      <c r="AW79" s="90"/>
      <c r="AX79" s="90"/>
      <c r="AY79" s="90"/>
      <c r="AZ79" s="90"/>
      <c r="BA79" s="90"/>
    </row>
    <row r="80" spans="1:53" ht="9.75" customHeight="1">
      <c r="A80" s="90"/>
      <c r="B80" s="190" t="s">
        <v>413</v>
      </c>
      <c r="C80" s="191" t="str">
        <f>IF(Projectinformatie!C109="Elektriciteit","kWh / ton / a","m3 aardgas / ton / a")</f>
        <v>kWh / ton / a</v>
      </c>
      <c r="D80" s="192">
        <f t="shared" ref="D80:I80" si="78">IF(ISERROR(((D79*$J25)*($J78/$J25)/D25)),0,((D79*$J25)*($J78/$J25)/D25))</f>
        <v>2.4306523630760895</v>
      </c>
      <c r="E80" s="192">
        <f t="shared" si="78"/>
        <v>0</v>
      </c>
      <c r="F80" s="192">
        <f t="shared" si="78"/>
        <v>3.0935575530059323</v>
      </c>
      <c r="G80" s="192">
        <f t="shared" si="78"/>
        <v>3.0935575530059318</v>
      </c>
      <c r="H80" s="192">
        <f t="shared" si="78"/>
        <v>3.3145259496492132</v>
      </c>
      <c r="I80" s="193">
        <f t="shared" si="78"/>
        <v>4.0326732387398758</v>
      </c>
      <c r="J80" s="248">
        <f>SUMPRODUCT(D80:I80,D25:I25)/J25</f>
        <v>2.0631456678840943</v>
      </c>
      <c r="K80" s="90"/>
      <c r="L80" s="90"/>
      <c r="M80" s="90"/>
      <c r="N80" s="90"/>
      <c r="O80" s="90"/>
      <c r="P80" s="90"/>
      <c r="Q80" s="90"/>
      <c r="R80" s="90"/>
      <c r="S80" s="90"/>
      <c r="T80" s="90"/>
      <c r="U80" s="90"/>
      <c r="V80" s="90"/>
      <c r="W80" s="90"/>
      <c r="X80" s="90"/>
      <c r="Y80" s="90"/>
      <c r="Z80" s="90"/>
      <c r="AA80" s="90"/>
      <c r="AB80" s="90"/>
      <c r="AC80" s="90"/>
      <c r="AD80" s="90"/>
      <c r="AE80" s="175"/>
      <c r="AF80" s="191" t="s">
        <v>422</v>
      </c>
      <c r="AG80" s="280">
        <f>Results!C50</f>
        <v>0.14699999999999999</v>
      </c>
      <c r="AH80" s="290"/>
      <c r="AI80" s="290"/>
      <c r="AJ80" s="90"/>
      <c r="AK80" s="90"/>
      <c r="AL80" s="90"/>
      <c r="AM80" s="90"/>
      <c r="AN80" s="90"/>
      <c r="AO80" s="176"/>
      <c r="AP80" s="90"/>
      <c r="AQ80" s="90"/>
      <c r="AR80" s="90"/>
      <c r="AS80" s="90"/>
      <c r="AT80" s="90"/>
      <c r="AU80" s="90"/>
      <c r="AV80" s="90"/>
      <c r="AW80" s="90"/>
      <c r="AX80" s="90"/>
      <c r="AY80" s="90"/>
      <c r="AZ80" s="90"/>
      <c r="BA80" s="90"/>
    </row>
    <row r="81" spans="1:53" ht="9.75" customHeight="1">
      <c r="A81" s="90"/>
      <c r="B81" s="190"/>
      <c r="C81" s="191"/>
      <c r="D81" s="192"/>
      <c r="E81" s="192"/>
      <c r="F81" s="192"/>
      <c r="G81" s="192"/>
      <c r="H81" s="192"/>
      <c r="I81" s="193"/>
      <c r="J81" s="248"/>
      <c r="K81" s="90"/>
      <c r="L81" s="90"/>
      <c r="M81" s="90"/>
      <c r="N81" s="90"/>
      <c r="O81" s="90"/>
      <c r="P81" s="90"/>
      <c r="Q81" s="90"/>
      <c r="R81" s="90"/>
      <c r="S81" s="90"/>
      <c r="T81" s="90"/>
      <c r="U81" s="90"/>
      <c r="V81" s="90"/>
      <c r="W81" s="90"/>
      <c r="X81" s="90"/>
      <c r="Y81" s="90"/>
      <c r="Z81" s="90"/>
      <c r="AA81" s="90"/>
      <c r="AB81" s="90"/>
      <c r="AC81" s="90"/>
      <c r="AD81" s="90"/>
      <c r="AE81" s="175"/>
      <c r="AF81" s="191" t="s">
        <v>400</v>
      </c>
      <c r="AG81" s="267" t="e">
        <f>VLOOKUP(AG79,$AF$70:$AH$74,2,FALSE)*(1-AG80)+AG75*AG80</f>
        <v>#N/A</v>
      </c>
      <c r="AH81" s="290"/>
      <c r="AI81" s="290"/>
      <c r="AJ81" s="90"/>
      <c r="AK81" s="90"/>
      <c r="AL81" s="90"/>
      <c r="AM81" s="90"/>
      <c r="AN81" s="90"/>
      <c r="AO81" s="176"/>
      <c r="AP81" s="90"/>
      <c r="AQ81" s="90"/>
      <c r="AR81" s="90"/>
      <c r="AS81" s="90"/>
      <c r="AT81" s="90"/>
      <c r="AU81" s="90"/>
      <c r="AV81" s="90"/>
      <c r="AW81" s="90"/>
      <c r="AX81" s="90"/>
      <c r="AY81" s="90"/>
      <c r="AZ81" s="90"/>
      <c r="BA81" s="90"/>
    </row>
    <row r="82" spans="1:53" ht="9.75" customHeight="1">
      <c r="A82" s="90"/>
      <c r="B82" s="237" t="s">
        <v>331</v>
      </c>
      <c r="C82" s="191"/>
      <c r="D82" s="192"/>
      <c r="E82" s="192"/>
      <c r="F82" s="192"/>
      <c r="G82" s="192"/>
      <c r="H82" s="192"/>
      <c r="I82" s="193"/>
      <c r="J82" s="248"/>
      <c r="K82" s="90"/>
      <c r="L82" s="90"/>
      <c r="M82" s="90"/>
      <c r="N82" s="90"/>
      <c r="O82" s="90"/>
      <c r="P82" s="90"/>
      <c r="Q82" s="90"/>
      <c r="R82" s="90"/>
      <c r="S82" s="90"/>
      <c r="T82" s="90"/>
      <c r="U82" s="90"/>
      <c r="V82" s="90"/>
      <c r="W82" s="90"/>
      <c r="X82" s="90"/>
      <c r="Y82" s="90"/>
      <c r="Z82" s="90"/>
      <c r="AA82" s="90"/>
      <c r="AB82" s="90"/>
      <c r="AC82" s="90"/>
      <c r="AD82" s="90"/>
      <c r="AE82" s="175"/>
      <c r="AF82" s="191" t="s">
        <v>401</v>
      </c>
      <c r="AG82" s="267" t="e">
        <f>VLOOKUP(AG79,$AF$70:$AH$74,3,FALSE)*(1-AG80)+AH75*AG80</f>
        <v>#N/A</v>
      </c>
      <c r="AH82" s="290"/>
      <c r="AI82" s="290"/>
      <c r="AJ82" s="90"/>
      <c r="AK82" s="90"/>
      <c r="AL82" s="90"/>
      <c r="AM82" s="90"/>
      <c r="AN82" s="90"/>
      <c r="AO82" s="176"/>
      <c r="AP82" s="90"/>
      <c r="AQ82" s="90"/>
      <c r="AR82" s="90"/>
      <c r="AS82" s="90"/>
      <c r="AT82" s="90"/>
      <c r="AU82" s="90"/>
      <c r="AV82" s="90"/>
      <c r="AW82" s="90"/>
      <c r="AX82" s="90"/>
      <c r="AY82" s="90"/>
      <c r="AZ82" s="90"/>
      <c r="BA82" s="90"/>
    </row>
    <row r="83" spans="1:53" ht="9.75" customHeight="1">
      <c r="A83" s="90"/>
      <c r="B83" s="190" t="s">
        <v>414</v>
      </c>
      <c r="C83" s="191" t="s">
        <v>415</v>
      </c>
      <c r="D83" s="197">
        <f>Projectinformatie!$C$121*$D$113/$J$25</f>
        <v>15.473592509130707</v>
      </c>
      <c r="E83" s="197">
        <f>Projectinformatie!$C$121*$D$113/$J$25</f>
        <v>15.473592509130707</v>
      </c>
      <c r="F83" s="197">
        <f>Projectinformatie!$C$121*$D$113/$J$25</f>
        <v>15.473592509130707</v>
      </c>
      <c r="G83" s="197">
        <f>Projectinformatie!$C$121*$D$113/$J$25</f>
        <v>15.473592509130707</v>
      </c>
      <c r="H83" s="197">
        <f>Projectinformatie!$C$121*$D$113/$J$25</f>
        <v>15.473592509130707</v>
      </c>
      <c r="I83" s="197">
        <f>Projectinformatie!$C$121*$D$113/$J$25</f>
        <v>15.473592509130707</v>
      </c>
      <c r="J83" s="248"/>
      <c r="K83" s="90"/>
      <c r="L83" s="90"/>
      <c r="M83" s="90"/>
      <c r="N83" s="90"/>
      <c r="O83" s="90"/>
      <c r="P83" s="90"/>
      <c r="Q83" s="90"/>
      <c r="R83" s="90"/>
      <c r="S83" s="90"/>
      <c r="T83" s="90"/>
      <c r="U83" s="90"/>
      <c r="V83" s="90"/>
      <c r="W83" s="90"/>
      <c r="X83" s="90"/>
      <c r="Y83" s="90"/>
      <c r="Z83" s="90"/>
      <c r="AA83" s="90"/>
      <c r="AB83" s="90"/>
      <c r="AC83" s="90"/>
      <c r="AD83" s="90"/>
      <c r="AE83" s="175"/>
      <c r="AF83" s="90"/>
      <c r="AG83" s="291"/>
      <c r="AH83" s="290"/>
      <c r="AI83" s="290"/>
      <c r="AJ83" s="90"/>
      <c r="AK83" s="90"/>
      <c r="AL83" s="90"/>
      <c r="AM83" s="90"/>
      <c r="AN83" s="90"/>
      <c r="AO83" s="176"/>
      <c r="AP83" s="90"/>
      <c r="AQ83" s="90"/>
      <c r="AR83" s="90"/>
      <c r="AS83" s="90"/>
      <c r="AT83" s="90"/>
      <c r="AU83" s="90"/>
      <c r="AV83" s="90"/>
      <c r="AW83" s="90"/>
      <c r="AX83" s="90"/>
      <c r="AY83" s="90"/>
      <c r="AZ83" s="90"/>
      <c r="BA83" s="90"/>
    </row>
    <row r="84" spans="1:53" ht="9.75" customHeight="1">
      <c r="A84" s="90"/>
      <c r="B84" s="190"/>
      <c r="C84" s="191"/>
      <c r="D84" s="192"/>
      <c r="E84" s="192"/>
      <c r="F84" s="192"/>
      <c r="G84" s="192"/>
      <c r="H84" s="192"/>
      <c r="I84" s="193"/>
      <c r="J84" s="244"/>
      <c r="K84" s="173"/>
      <c r="L84" s="90"/>
      <c r="M84" s="90"/>
      <c r="N84" s="90"/>
      <c r="O84" s="90"/>
      <c r="P84" s="90"/>
      <c r="Q84" s="90"/>
      <c r="R84" s="90"/>
      <c r="S84" s="90"/>
      <c r="T84" s="90"/>
      <c r="U84" s="90"/>
      <c r="V84" s="90"/>
      <c r="W84" s="90"/>
      <c r="X84" s="90"/>
      <c r="Y84" s="90"/>
      <c r="Z84" s="90"/>
      <c r="AA84" s="90"/>
      <c r="AB84" s="90"/>
      <c r="AC84" s="90"/>
      <c r="AD84" s="90"/>
      <c r="AE84" s="175"/>
      <c r="AF84" s="90"/>
      <c r="AG84" s="291"/>
      <c r="AH84" s="290"/>
      <c r="AI84" s="290"/>
      <c r="AJ84" s="90"/>
      <c r="AK84" s="90"/>
      <c r="AL84" s="90"/>
      <c r="AM84" s="90"/>
      <c r="AN84" s="90"/>
      <c r="AO84" s="176"/>
      <c r="AP84" s="90"/>
      <c r="AQ84" s="90"/>
      <c r="AR84" s="90"/>
      <c r="AS84" s="90"/>
      <c r="AT84" s="90"/>
      <c r="AU84" s="90"/>
      <c r="AV84" s="90"/>
      <c r="AW84" s="90"/>
      <c r="AX84" s="90"/>
      <c r="AY84" s="90"/>
      <c r="AZ84" s="90"/>
      <c r="BA84" s="90"/>
    </row>
    <row r="85" spans="1:53" ht="9.75" customHeight="1">
      <c r="A85" s="90"/>
      <c r="B85" s="237" t="s">
        <v>416</v>
      </c>
      <c r="C85" s="191"/>
      <c r="D85" s="191"/>
      <c r="E85" s="191"/>
      <c r="F85" s="191"/>
      <c r="G85" s="191"/>
      <c r="H85" s="191"/>
      <c r="I85" s="238"/>
      <c r="J85" s="244"/>
      <c r="K85" s="90"/>
      <c r="L85" s="90"/>
      <c r="M85" s="90"/>
      <c r="N85" s="90"/>
      <c r="O85" s="90"/>
      <c r="P85" s="90"/>
      <c r="Q85" s="90"/>
      <c r="R85" s="90"/>
      <c r="S85" s="90"/>
      <c r="T85" s="90"/>
      <c r="U85" s="90"/>
      <c r="V85" s="90"/>
      <c r="W85" s="90"/>
      <c r="X85" s="90"/>
      <c r="Y85" s="90"/>
      <c r="Z85" s="90"/>
      <c r="AA85" s="90"/>
      <c r="AB85" s="90"/>
      <c r="AC85" s="90"/>
      <c r="AD85" s="90"/>
      <c r="AE85" s="175"/>
      <c r="AF85" s="90"/>
      <c r="AG85" s="90"/>
      <c r="AH85" s="90"/>
      <c r="AI85" s="90"/>
      <c r="AJ85" s="90"/>
      <c r="AK85" s="90"/>
      <c r="AL85" s="90"/>
      <c r="AM85" s="90"/>
      <c r="AN85" s="90"/>
      <c r="AO85" s="176"/>
      <c r="AP85" s="90"/>
      <c r="AQ85" s="90"/>
      <c r="AR85" s="90"/>
      <c r="AS85" s="90"/>
      <c r="AT85" s="90"/>
      <c r="AU85" s="90"/>
      <c r="AV85" s="90"/>
      <c r="AW85" s="90"/>
      <c r="AX85" s="90"/>
      <c r="AY85" s="90"/>
      <c r="AZ85" s="90"/>
      <c r="BA85" s="90"/>
    </row>
    <row r="86" spans="1:53" ht="9.75" customHeight="1">
      <c r="A86" s="90"/>
      <c r="B86" s="190" t="s">
        <v>417</v>
      </c>
      <c r="C86" s="191" t="s">
        <v>418</v>
      </c>
      <c r="D86" s="191"/>
      <c r="E86" s="191"/>
      <c r="F86" s="191"/>
      <c r="G86" s="191"/>
      <c r="H86" s="191"/>
      <c r="I86" s="238"/>
      <c r="J86" s="273">
        <f>MAX(0,IF(Projectinformatie!C109="Elektriciteit",Lists!B82-Projectinformatie!C115,Lists!B82))</f>
        <v>648064.5</v>
      </c>
      <c r="K86" s="90"/>
      <c r="L86" s="90"/>
      <c r="M86" s="90"/>
      <c r="N86" s="90"/>
      <c r="O86" s="90"/>
      <c r="P86" s="90"/>
      <c r="Q86" s="90"/>
      <c r="R86" s="90"/>
      <c r="S86" s="90"/>
      <c r="T86" s="90"/>
      <c r="U86" s="90"/>
      <c r="V86" s="90"/>
      <c r="W86" s="90"/>
      <c r="X86" s="90"/>
      <c r="Y86" s="90"/>
      <c r="Z86" s="90"/>
      <c r="AA86" s="90"/>
      <c r="AB86" s="90"/>
      <c r="AC86" s="90"/>
      <c r="AD86" s="90"/>
      <c r="AE86" s="175"/>
      <c r="AF86" s="90"/>
      <c r="AG86" s="90"/>
      <c r="AH86" s="90"/>
      <c r="AI86" s="90"/>
      <c r="AJ86" s="90"/>
      <c r="AK86" s="90"/>
      <c r="AL86" s="90"/>
      <c r="AM86" s="90"/>
      <c r="AN86" s="90"/>
      <c r="AO86" s="176"/>
      <c r="AP86" s="90"/>
      <c r="AQ86" s="90"/>
      <c r="AR86" s="90"/>
      <c r="AS86" s="90"/>
      <c r="AT86" s="90"/>
      <c r="AU86" s="90"/>
      <c r="AV86" s="90"/>
      <c r="AW86" s="90"/>
      <c r="AX86" s="90"/>
      <c r="AY86" s="90"/>
      <c r="AZ86" s="90"/>
      <c r="BA86" s="90"/>
    </row>
    <row r="87" spans="1:53" ht="9.75" customHeight="1">
      <c r="A87" s="90"/>
      <c r="B87" s="274" t="s">
        <v>337</v>
      </c>
      <c r="C87" s="275" t="s">
        <v>419</v>
      </c>
      <c r="D87" s="276">
        <f t="shared" ref="D87:I87" si="79">$J86/$J25</f>
        <v>3.3426286642111793</v>
      </c>
      <c r="E87" s="276">
        <f t="shared" si="79"/>
        <v>3.3426286642111793</v>
      </c>
      <c r="F87" s="276">
        <f t="shared" si="79"/>
        <v>3.3426286642111793</v>
      </c>
      <c r="G87" s="276">
        <f t="shared" si="79"/>
        <v>3.3426286642111793</v>
      </c>
      <c r="H87" s="276">
        <f t="shared" si="79"/>
        <v>3.3426286642111793</v>
      </c>
      <c r="I87" s="277">
        <f t="shared" si="79"/>
        <v>3.3426286642111793</v>
      </c>
      <c r="J87" s="278"/>
      <c r="K87" s="90"/>
      <c r="L87" s="90"/>
      <c r="M87" s="90"/>
      <c r="N87" s="90"/>
      <c r="O87" s="90"/>
      <c r="P87" s="90"/>
      <c r="Q87" s="90"/>
      <c r="R87" s="90"/>
      <c r="S87" s="90"/>
      <c r="T87" s="90"/>
      <c r="U87" s="90"/>
      <c r="V87" s="90"/>
      <c r="W87" s="90"/>
      <c r="X87" s="90"/>
      <c r="Y87" s="90"/>
      <c r="Z87" s="90"/>
      <c r="AA87" s="90"/>
      <c r="AB87" s="90"/>
      <c r="AC87" s="90"/>
      <c r="AD87" s="90"/>
      <c r="AE87" s="175"/>
      <c r="AF87" s="90"/>
      <c r="AG87" s="90"/>
      <c r="AH87" s="90"/>
      <c r="AI87" s="90"/>
      <c r="AJ87" s="90"/>
      <c r="AK87" s="90"/>
      <c r="AL87" s="90"/>
      <c r="AM87" s="90"/>
      <c r="AN87" s="90"/>
      <c r="AO87" s="176"/>
      <c r="AP87" s="90"/>
      <c r="AQ87" s="90"/>
      <c r="AR87" s="90"/>
      <c r="AS87" s="90"/>
      <c r="AT87" s="90"/>
      <c r="AU87" s="90"/>
      <c r="AV87" s="90"/>
      <c r="AW87" s="90"/>
      <c r="AX87" s="90"/>
      <c r="AY87" s="90"/>
      <c r="AZ87" s="90"/>
      <c r="BA87" s="90"/>
    </row>
    <row r="88" spans="1:53" ht="9.75" customHeight="1">
      <c r="A88" s="90"/>
      <c r="B88" s="279"/>
      <c r="C88" s="152"/>
      <c r="D88" s="152"/>
      <c r="E88" s="152"/>
      <c r="F88" s="152"/>
      <c r="G88" s="152"/>
      <c r="H88" s="152"/>
      <c r="I88" s="152"/>
      <c r="J88" s="153"/>
      <c r="K88" s="90"/>
      <c r="L88" s="90"/>
      <c r="M88" s="90"/>
      <c r="N88" s="90"/>
      <c r="O88" s="90"/>
      <c r="P88" s="90"/>
      <c r="Q88" s="90"/>
      <c r="R88" s="90"/>
      <c r="S88" s="90"/>
      <c r="T88" s="90"/>
      <c r="U88" s="90"/>
      <c r="V88" s="90"/>
      <c r="W88" s="90"/>
      <c r="X88" s="90"/>
      <c r="Y88" s="90"/>
      <c r="Z88" s="90"/>
      <c r="AA88" s="90"/>
      <c r="AB88" s="90"/>
      <c r="AC88" s="90"/>
      <c r="AD88" s="90"/>
      <c r="AE88" s="175"/>
      <c r="AF88" s="90"/>
      <c r="AG88" s="90"/>
      <c r="AH88" s="90"/>
      <c r="AI88" s="90"/>
      <c r="AJ88" s="90"/>
      <c r="AK88" s="90"/>
      <c r="AL88" s="90"/>
      <c r="AM88" s="90"/>
      <c r="AN88" s="90"/>
      <c r="AO88" s="176"/>
      <c r="AP88" s="90"/>
      <c r="AQ88" s="90"/>
      <c r="AR88" s="90"/>
      <c r="AS88" s="90"/>
      <c r="AT88" s="90"/>
      <c r="AU88" s="90"/>
      <c r="AV88" s="90"/>
      <c r="AW88" s="90"/>
      <c r="AX88" s="90"/>
      <c r="AY88" s="90"/>
      <c r="AZ88" s="90"/>
      <c r="BA88" s="90"/>
    </row>
    <row r="89" spans="1:53" ht="9.75" customHeight="1">
      <c r="A89" s="90"/>
      <c r="B89" s="753" t="s">
        <v>421</v>
      </c>
      <c r="C89" s="751"/>
      <c r="D89" s="751"/>
      <c r="E89" s="751"/>
      <c r="F89" s="751"/>
      <c r="G89" s="751"/>
      <c r="H89" s="751"/>
      <c r="I89" s="751"/>
      <c r="J89" s="752"/>
      <c r="K89" s="90"/>
      <c r="L89" s="90"/>
      <c r="M89" s="90"/>
      <c r="N89" s="90"/>
      <c r="O89" s="90"/>
      <c r="P89" s="90"/>
      <c r="Q89" s="90"/>
      <c r="R89" s="90"/>
      <c r="S89" s="90"/>
      <c r="T89" s="90"/>
      <c r="U89" s="90"/>
      <c r="V89" s="90"/>
      <c r="W89" s="90"/>
      <c r="X89" s="90"/>
      <c r="Y89" s="90"/>
      <c r="Z89" s="90"/>
      <c r="AA89" s="90"/>
      <c r="AB89" s="90"/>
      <c r="AC89" s="90"/>
      <c r="AD89" s="90"/>
      <c r="AE89" s="175"/>
      <c r="AF89" s="90"/>
      <c r="AG89" s="90"/>
      <c r="AH89" s="90"/>
      <c r="AI89" s="90"/>
      <c r="AJ89" s="90"/>
      <c r="AK89" s="90"/>
      <c r="AL89" s="90"/>
      <c r="AM89" s="90"/>
      <c r="AN89" s="90"/>
      <c r="AO89" s="176"/>
      <c r="AP89" s="90"/>
      <c r="AQ89" s="90"/>
      <c r="AR89" s="90"/>
      <c r="AS89" s="90"/>
      <c r="AT89" s="90"/>
      <c r="AU89" s="90"/>
      <c r="AV89" s="90"/>
      <c r="AW89" s="90"/>
      <c r="AX89" s="90"/>
      <c r="AY89" s="90"/>
      <c r="AZ89" s="90"/>
      <c r="BA89" s="90"/>
    </row>
    <row r="90" spans="1:53" ht="9.75" customHeight="1">
      <c r="A90" s="90"/>
      <c r="B90" s="229"/>
      <c r="C90" s="178"/>
      <c r="D90" s="178"/>
      <c r="E90" s="178"/>
      <c r="F90" s="178"/>
      <c r="G90" s="178"/>
      <c r="H90" s="178"/>
      <c r="I90" s="178"/>
      <c r="J90" s="281"/>
      <c r="K90" s="90"/>
      <c r="L90" s="90"/>
      <c r="M90" s="90"/>
      <c r="N90" s="90"/>
      <c r="O90" s="90"/>
      <c r="P90" s="90"/>
      <c r="Q90" s="90"/>
      <c r="R90" s="90"/>
      <c r="S90" s="90"/>
      <c r="T90" s="90"/>
      <c r="U90" s="90"/>
      <c r="V90" s="90"/>
      <c r="W90" s="90"/>
      <c r="X90" s="90"/>
      <c r="Y90" s="90"/>
      <c r="Z90" s="90"/>
      <c r="AA90" s="90"/>
      <c r="AB90" s="90"/>
      <c r="AC90" s="90"/>
      <c r="AD90" s="90"/>
      <c r="AE90" s="175"/>
      <c r="AF90" s="90"/>
      <c r="AG90" s="90"/>
      <c r="AH90" s="90"/>
      <c r="AI90" s="90"/>
      <c r="AJ90" s="90"/>
      <c r="AK90" s="90"/>
      <c r="AL90" s="90"/>
      <c r="AM90" s="90"/>
      <c r="AN90" s="90"/>
      <c r="AO90" s="176"/>
      <c r="AP90" s="90"/>
      <c r="AQ90" s="90"/>
      <c r="AR90" s="90"/>
      <c r="AS90" s="90"/>
      <c r="AT90" s="90"/>
      <c r="AU90" s="90"/>
      <c r="AV90" s="90"/>
      <c r="AW90" s="90"/>
      <c r="AX90" s="90"/>
      <c r="AY90" s="90"/>
      <c r="AZ90" s="90"/>
      <c r="BA90" s="90"/>
    </row>
    <row r="91" spans="1:53" ht="9.75" customHeight="1">
      <c r="A91" s="90"/>
      <c r="B91" s="190" t="s">
        <v>423</v>
      </c>
      <c r="C91" s="191" t="s">
        <v>424</v>
      </c>
      <c r="D91" s="191">
        <v>0.84</v>
      </c>
      <c r="E91" s="191"/>
      <c r="F91" s="191"/>
      <c r="G91" s="191"/>
      <c r="H91" s="191"/>
      <c r="I91" s="191"/>
      <c r="J91" s="282"/>
      <c r="K91" s="90"/>
      <c r="L91" s="90"/>
      <c r="M91" s="90"/>
      <c r="N91" s="90"/>
      <c r="O91" s="90"/>
      <c r="P91" s="90"/>
      <c r="Q91" s="90"/>
      <c r="R91" s="90"/>
      <c r="S91" s="90"/>
      <c r="T91" s="90"/>
      <c r="U91" s="90"/>
      <c r="V91" s="90"/>
      <c r="W91" s="90"/>
      <c r="X91" s="90"/>
      <c r="Y91" s="90"/>
      <c r="Z91" s="90"/>
      <c r="AA91" s="90"/>
      <c r="AB91" s="90"/>
      <c r="AC91" s="90"/>
      <c r="AD91" s="90"/>
      <c r="AE91" s="175"/>
      <c r="AF91" s="90"/>
      <c r="AG91" s="90"/>
      <c r="AH91" s="90"/>
      <c r="AI91" s="90"/>
      <c r="AJ91" s="90"/>
      <c r="AK91" s="90"/>
      <c r="AL91" s="90"/>
      <c r="AM91" s="90"/>
      <c r="AN91" s="90"/>
      <c r="AO91" s="176"/>
      <c r="AP91" s="90"/>
      <c r="AQ91" s="90"/>
      <c r="AR91" s="90"/>
      <c r="AS91" s="90"/>
      <c r="AT91" s="90"/>
      <c r="AU91" s="90"/>
      <c r="AV91" s="90"/>
      <c r="AW91" s="90"/>
      <c r="AX91" s="90"/>
      <c r="AY91" s="90"/>
      <c r="AZ91" s="90"/>
      <c r="BA91" s="90"/>
    </row>
    <row r="92" spans="1:53" ht="9.75" customHeight="1">
      <c r="A92" s="90"/>
      <c r="B92" s="190" t="s">
        <v>425</v>
      </c>
      <c r="C92" s="191" t="s">
        <v>424</v>
      </c>
      <c r="D92" s="191">
        <v>0.84</v>
      </c>
      <c r="E92" s="191"/>
      <c r="F92" s="191"/>
      <c r="G92" s="191"/>
      <c r="H92" s="191"/>
      <c r="I92" s="191"/>
      <c r="J92" s="282"/>
      <c r="K92" s="90"/>
      <c r="L92" s="90"/>
      <c r="M92" s="90"/>
      <c r="N92" s="90"/>
      <c r="O92" s="90"/>
      <c r="P92" s="90"/>
      <c r="Q92" s="90"/>
      <c r="R92" s="90"/>
      <c r="S92" s="90"/>
      <c r="T92" s="90"/>
      <c r="U92" s="90"/>
      <c r="V92" s="90"/>
      <c r="W92" s="90"/>
      <c r="X92" s="90"/>
      <c r="Y92" s="90"/>
      <c r="Z92" s="90"/>
      <c r="AA92" s="90"/>
      <c r="AB92" s="90"/>
      <c r="AC92" s="90"/>
      <c r="AD92" s="90"/>
      <c r="AE92" s="175"/>
      <c r="AF92" s="90"/>
      <c r="AG92" s="90"/>
      <c r="AH92" s="90"/>
      <c r="AI92" s="90"/>
      <c r="AJ92" s="90"/>
      <c r="AK92" s="90"/>
      <c r="AL92" s="90"/>
      <c r="AM92" s="90"/>
      <c r="AN92" s="90"/>
      <c r="AO92" s="176"/>
      <c r="AP92" s="90"/>
      <c r="AQ92" s="90"/>
      <c r="AR92" s="90"/>
      <c r="AS92" s="90"/>
      <c r="AT92" s="90"/>
      <c r="AU92" s="90"/>
      <c r="AV92" s="90"/>
      <c r="AW92" s="90"/>
      <c r="AX92" s="90"/>
      <c r="AY92" s="90"/>
      <c r="AZ92" s="90"/>
      <c r="BA92" s="90"/>
    </row>
    <row r="93" spans="1:53" ht="9.75" customHeight="1">
      <c r="A93" s="90"/>
      <c r="B93" s="190" t="s">
        <v>426</v>
      </c>
      <c r="C93" s="191" t="s">
        <v>424</v>
      </c>
      <c r="D93" s="191">
        <v>0.89</v>
      </c>
      <c r="E93" s="191"/>
      <c r="F93" s="191"/>
      <c r="G93" s="191"/>
      <c r="H93" s="191"/>
      <c r="I93" s="191"/>
      <c r="J93" s="282"/>
      <c r="K93" s="90"/>
      <c r="L93" s="90"/>
      <c r="M93" s="90"/>
      <c r="N93" s="90"/>
      <c r="O93" s="90"/>
      <c r="P93" s="90"/>
      <c r="Q93" s="90"/>
      <c r="R93" s="90"/>
      <c r="S93" s="90"/>
      <c r="T93" s="90"/>
      <c r="U93" s="90"/>
      <c r="V93" s="90"/>
      <c r="W93" s="90"/>
      <c r="X93" s="90"/>
      <c r="Y93" s="90"/>
      <c r="Z93" s="90"/>
      <c r="AA93" s="90"/>
      <c r="AB93" s="90"/>
      <c r="AC93" s="90"/>
      <c r="AD93" s="90"/>
      <c r="AE93" s="283"/>
      <c r="AF93" s="284"/>
      <c r="AG93" s="284"/>
      <c r="AH93" s="284"/>
      <c r="AI93" s="284"/>
      <c r="AJ93" s="284"/>
      <c r="AK93" s="284"/>
      <c r="AL93" s="284"/>
      <c r="AM93" s="284"/>
      <c r="AN93" s="284"/>
      <c r="AO93" s="285"/>
      <c r="AP93" s="90"/>
      <c r="AQ93" s="90"/>
      <c r="AR93" s="90"/>
      <c r="AS93" s="90"/>
      <c r="AT93" s="90"/>
      <c r="AU93" s="90"/>
      <c r="AV93" s="90"/>
      <c r="AW93" s="90"/>
      <c r="AX93" s="90"/>
      <c r="AY93" s="90"/>
      <c r="AZ93" s="90"/>
      <c r="BA93" s="90"/>
    </row>
    <row r="94" spans="1:53" ht="9.75" customHeight="1">
      <c r="A94" s="90"/>
      <c r="B94" s="190" t="s">
        <v>427</v>
      </c>
      <c r="C94" s="191" t="s">
        <v>424</v>
      </c>
      <c r="D94" s="191">
        <f>AVERAGE(1.11,1.306)</f>
        <v>1.2080000000000002</v>
      </c>
      <c r="E94" s="191"/>
      <c r="F94" s="191"/>
      <c r="G94" s="191"/>
      <c r="H94" s="191"/>
      <c r="I94" s="191"/>
      <c r="J94" s="282"/>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1:53" ht="9.75" customHeight="1">
      <c r="A95" s="90"/>
      <c r="B95" s="190" t="s">
        <v>428</v>
      </c>
      <c r="C95" s="191" t="s">
        <v>429</v>
      </c>
      <c r="D95" s="191">
        <v>2260</v>
      </c>
      <c r="E95" s="191"/>
      <c r="F95" s="191"/>
      <c r="G95" s="191"/>
      <c r="H95" s="191"/>
      <c r="I95" s="191"/>
      <c r="J95" s="282"/>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1:53" ht="9.75" customHeight="1">
      <c r="A96" s="90"/>
      <c r="B96" s="190" t="s">
        <v>430</v>
      </c>
      <c r="C96" s="191" t="s">
        <v>424</v>
      </c>
      <c r="D96" s="191">
        <v>4.18</v>
      </c>
      <c r="E96" s="191"/>
      <c r="F96" s="191"/>
      <c r="G96" s="191"/>
      <c r="H96" s="191"/>
      <c r="I96" s="191"/>
      <c r="J96" s="282"/>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1:53" ht="9.75" customHeight="1">
      <c r="A97" s="90"/>
      <c r="B97" s="190" t="s">
        <v>431</v>
      </c>
      <c r="C97" s="191" t="s">
        <v>424</v>
      </c>
      <c r="D97" s="191">
        <v>1.94</v>
      </c>
      <c r="E97" s="191"/>
      <c r="F97" s="191"/>
      <c r="G97" s="191"/>
      <c r="H97" s="191"/>
      <c r="I97" s="191"/>
      <c r="J97" s="282"/>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1:53" ht="9.75" customHeight="1">
      <c r="A98" s="90"/>
      <c r="B98" s="190" t="s">
        <v>432</v>
      </c>
      <c r="C98" s="191" t="s">
        <v>424</v>
      </c>
      <c r="D98" s="191">
        <f>AVERAGE(1.21,1.38)</f>
        <v>1.2949999999999999</v>
      </c>
      <c r="E98" s="191"/>
      <c r="F98" s="191"/>
      <c r="G98" s="191"/>
      <c r="H98" s="191"/>
      <c r="I98" s="191"/>
      <c r="J98" s="282"/>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1:53" ht="9.75" customHeight="1">
      <c r="A99" s="90"/>
      <c r="B99" s="190" t="s">
        <v>433</v>
      </c>
      <c r="C99" s="191" t="s">
        <v>424</v>
      </c>
      <c r="D99" s="191">
        <v>2.2000000000000002</v>
      </c>
      <c r="E99" s="191"/>
      <c r="F99" s="191"/>
      <c r="G99" s="191"/>
      <c r="H99" s="191"/>
      <c r="I99" s="191"/>
      <c r="J99" s="282"/>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1:53" ht="9.75" customHeight="1">
      <c r="A100" s="90"/>
      <c r="B100" s="190" t="s">
        <v>434</v>
      </c>
      <c r="C100" s="191" t="s">
        <v>424</v>
      </c>
      <c r="D100" s="261">
        <v>2</v>
      </c>
      <c r="E100" s="191"/>
      <c r="F100" s="191"/>
      <c r="G100" s="191"/>
      <c r="H100" s="191"/>
      <c r="I100" s="191"/>
      <c r="J100" s="282"/>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1:53" ht="9.75" customHeight="1">
      <c r="A101" s="90"/>
      <c r="B101" s="190" t="s">
        <v>435</v>
      </c>
      <c r="C101" s="191" t="s">
        <v>436</v>
      </c>
      <c r="D101" s="191">
        <v>1.18</v>
      </c>
      <c r="E101" s="191"/>
      <c r="F101" s="191"/>
      <c r="G101" s="191"/>
      <c r="H101" s="191"/>
      <c r="I101" s="191"/>
      <c r="J101" s="282"/>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1:53" ht="9.75" customHeight="1">
      <c r="A102" s="90"/>
      <c r="B102" s="190" t="s">
        <v>437</v>
      </c>
      <c r="C102" s="191" t="s">
        <v>436</v>
      </c>
      <c r="D102" s="191">
        <v>1.1399999999999999</v>
      </c>
      <c r="E102" s="191"/>
      <c r="F102" s="191"/>
      <c r="G102" s="191"/>
      <c r="H102" s="191"/>
      <c r="I102" s="191"/>
      <c r="J102" s="282"/>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1:53" ht="9.75" customHeight="1">
      <c r="A103" s="90"/>
      <c r="B103" s="190" t="s">
        <v>438</v>
      </c>
      <c r="C103" s="191" t="s">
        <v>439</v>
      </c>
      <c r="D103" s="191">
        <v>7.4999999999999997E-3</v>
      </c>
      <c r="E103" s="191"/>
      <c r="F103" s="191"/>
      <c r="G103" s="191"/>
      <c r="H103" s="191"/>
      <c r="I103" s="191"/>
      <c r="J103" s="282"/>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1:53" ht="9.75" customHeight="1">
      <c r="A104" s="90"/>
      <c r="B104" s="190" t="s">
        <v>440</v>
      </c>
      <c r="C104" s="191" t="s">
        <v>441</v>
      </c>
      <c r="D104" s="195">
        <f>2/0.21</f>
        <v>9.5238095238095237</v>
      </c>
      <c r="E104" s="191"/>
      <c r="F104" s="191"/>
      <c r="G104" s="191"/>
      <c r="H104" s="191"/>
      <c r="I104" s="191"/>
      <c r="J104" s="282"/>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1:53" ht="9.75" customHeight="1">
      <c r="A105" s="90"/>
      <c r="B105" s="190" t="s">
        <v>442</v>
      </c>
      <c r="C105" s="191" t="s">
        <v>443</v>
      </c>
      <c r="D105" s="195">
        <f>Energiedragers!D3</f>
        <v>1</v>
      </c>
      <c r="E105" s="191"/>
      <c r="F105" s="191"/>
      <c r="G105" s="191"/>
      <c r="H105" s="191"/>
      <c r="I105" s="191"/>
      <c r="J105" s="282"/>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1:53" ht="9.75" customHeight="1">
      <c r="A106" s="90"/>
      <c r="B106" s="190" t="s">
        <v>444</v>
      </c>
      <c r="C106" s="191" t="s">
        <v>445</v>
      </c>
      <c r="D106" s="198">
        <f>Energiedragers!D50</f>
        <v>40.18</v>
      </c>
      <c r="E106" s="191"/>
      <c r="F106" s="191"/>
      <c r="G106" s="191"/>
      <c r="H106" s="191"/>
      <c r="I106" s="191"/>
      <c r="J106" s="282"/>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1:53" ht="9.75" customHeight="1">
      <c r="A107" s="90"/>
      <c r="B107" s="190" t="s">
        <v>446</v>
      </c>
      <c r="C107" s="191" t="s">
        <v>447</v>
      </c>
      <c r="D107" s="191">
        <f>3600/1000</f>
        <v>3.6</v>
      </c>
      <c r="E107" s="191"/>
      <c r="F107" s="191"/>
      <c r="G107" s="191"/>
      <c r="H107" s="191"/>
      <c r="I107" s="191"/>
      <c r="J107" s="282"/>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1:53" ht="9.75" customHeight="1">
      <c r="A108" s="90"/>
      <c r="B108" s="190" t="s">
        <v>448</v>
      </c>
      <c r="C108" s="191" t="s">
        <v>449</v>
      </c>
      <c r="D108" s="191">
        <v>1.78</v>
      </c>
      <c r="E108" s="191"/>
      <c r="F108" s="191"/>
      <c r="G108" s="191"/>
      <c r="H108" s="191"/>
      <c r="I108" s="191"/>
      <c r="J108" s="282"/>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1:53" ht="9.75" customHeight="1">
      <c r="A109" s="90"/>
      <c r="B109" s="190" t="s">
        <v>450</v>
      </c>
      <c r="C109" s="191" t="s">
        <v>451</v>
      </c>
      <c r="D109" s="191">
        <v>0.56599999999999995</v>
      </c>
      <c r="E109" s="191"/>
      <c r="F109" s="191"/>
      <c r="G109" s="191"/>
      <c r="H109" s="191"/>
      <c r="I109" s="191"/>
      <c r="J109" s="282"/>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1:53" ht="9.75" customHeight="1">
      <c r="A110" s="90"/>
      <c r="B110" s="190" t="s">
        <v>452</v>
      </c>
      <c r="C110" s="191" t="s">
        <v>383</v>
      </c>
      <c r="D110" s="191">
        <v>100</v>
      </c>
      <c r="E110" s="191"/>
      <c r="F110" s="191"/>
      <c r="G110" s="191"/>
      <c r="H110" s="191"/>
      <c r="I110" s="191"/>
      <c r="J110" s="282"/>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1:53" ht="9.75" customHeight="1">
      <c r="A111" s="90"/>
      <c r="B111" s="190" t="s">
        <v>453</v>
      </c>
      <c r="C111" s="191" t="s">
        <v>381</v>
      </c>
      <c r="D111" s="249">
        <v>0.21</v>
      </c>
      <c r="E111" s="191"/>
      <c r="F111" s="191"/>
      <c r="G111" s="191"/>
      <c r="H111" s="191"/>
      <c r="I111" s="191"/>
      <c r="J111" s="282"/>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1:53" ht="9.75" customHeight="1">
      <c r="A112" s="90"/>
      <c r="B112" s="190" t="s">
        <v>454</v>
      </c>
      <c r="C112" s="191" t="s">
        <v>455</v>
      </c>
      <c r="D112" s="191">
        <f>IF(Projectinformatie!C67="Drummixer",2000,4000)</f>
        <v>4000</v>
      </c>
      <c r="E112" s="191"/>
      <c r="F112" s="191"/>
      <c r="G112" s="191"/>
      <c r="H112" s="191"/>
      <c r="I112" s="191"/>
      <c r="J112" s="282"/>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1:53" ht="9.75" customHeight="1">
      <c r="A113" s="90"/>
      <c r="B113" s="190" t="s">
        <v>287</v>
      </c>
      <c r="C113" s="191" t="s">
        <v>288</v>
      </c>
      <c r="D113" s="192">
        <f>Projectinformatie!C122</f>
        <v>1500</v>
      </c>
      <c r="E113" s="191"/>
      <c r="F113" s="191"/>
      <c r="G113" s="191"/>
      <c r="H113" s="191"/>
      <c r="I113" s="191"/>
      <c r="J113" s="282"/>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1:53" ht="9.75" customHeight="1">
      <c r="A114" s="90"/>
      <c r="B114" s="190" t="s">
        <v>456</v>
      </c>
      <c r="C114" s="191" t="s">
        <v>381</v>
      </c>
      <c r="D114" s="191">
        <v>0.4</v>
      </c>
      <c r="E114" s="191"/>
      <c r="F114" s="191"/>
      <c r="G114" s="191"/>
      <c r="H114" s="191"/>
      <c r="I114" s="191"/>
      <c r="J114" s="282"/>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1:53" ht="9.75" customHeight="1">
      <c r="A115" s="90"/>
      <c r="B115" s="286"/>
      <c r="C115" s="275"/>
      <c r="D115" s="287"/>
      <c r="E115" s="275"/>
      <c r="F115" s="275"/>
      <c r="G115" s="275"/>
      <c r="H115" s="275"/>
      <c r="I115" s="287"/>
      <c r="J115" s="288"/>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1:53" ht="9.75" customHeight="1">
      <c r="A116" s="90"/>
      <c r="B116" s="90"/>
      <c r="C116" s="90"/>
      <c r="D116" s="90"/>
      <c r="E116" s="90"/>
      <c r="F116" s="90"/>
      <c r="G116" s="90"/>
      <c r="H116" s="90"/>
      <c r="I116" s="173"/>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1:53" ht="9.75" customHeight="1">
      <c r="A117" s="90"/>
      <c r="B117" s="90"/>
      <c r="C117" s="90"/>
      <c r="D117" s="90"/>
      <c r="E117" s="90"/>
      <c r="F117" s="90"/>
      <c r="G117" s="90"/>
      <c r="H117" s="90"/>
      <c r="I117" s="173"/>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1:53" ht="9.75" customHeight="1">
      <c r="A118" s="90"/>
      <c r="B118" s="90"/>
      <c r="C118" s="90"/>
      <c r="D118" s="90"/>
      <c r="E118" s="90"/>
      <c r="F118" s="90"/>
      <c r="G118" s="90"/>
      <c r="H118" s="90"/>
      <c r="I118" s="173"/>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1:53" ht="9.75" customHeight="1">
      <c r="A119" s="90"/>
      <c r="B119" s="90"/>
      <c r="C119" s="90"/>
      <c r="D119" s="90"/>
      <c r="E119" s="90"/>
      <c r="F119" s="90"/>
      <c r="G119" s="90"/>
      <c r="H119" s="90"/>
      <c r="I119" s="173"/>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1:53" ht="9.7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1:53" ht="9.75" customHeight="1">
      <c r="A121" s="90"/>
      <c r="B121" s="90"/>
      <c r="C121" s="90"/>
      <c r="D121" s="90"/>
      <c r="E121" s="90"/>
      <c r="F121" s="90"/>
      <c r="G121" s="90"/>
      <c r="H121" s="90"/>
      <c r="I121" s="173"/>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1:53" ht="9.75" customHeight="1">
      <c r="A122" s="90"/>
      <c r="B122" s="90"/>
      <c r="C122" s="90"/>
      <c r="D122" s="90"/>
      <c r="E122" s="90"/>
      <c r="F122" s="90"/>
      <c r="G122" s="90"/>
      <c r="H122" s="289"/>
      <c r="I122" s="289"/>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1:53" ht="9.75" customHeight="1">
      <c r="A123" s="90"/>
      <c r="B123" s="90"/>
      <c r="C123" s="90"/>
      <c r="D123" s="90"/>
      <c r="E123" s="90"/>
      <c r="F123" s="90"/>
      <c r="G123" s="90"/>
      <c r="H123" s="90"/>
      <c r="I123" s="173"/>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1:53" ht="9.75" customHeight="1">
      <c r="A124" s="90"/>
      <c r="B124" s="34"/>
      <c r="C124" s="34"/>
      <c r="D124" s="289"/>
      <c r="E124" s="289"/>
      <c r="F124" s="289"/>
      <c r="G124" s="289"/>
      <c r="H124" s="289"/>
      <c r="I124" s="289"/>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1:53" ht="9.7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1:53" ht="9.7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1:53" ht="9.7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1:53" ht="9.7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1:53" ht="9.7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1:53" ht="9.7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1:53" ht="9.7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1:53" ht="9.7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1:53" ht="9.75" customHeight="1">
      <c r="A133" s="90"/>
      <c r="B133" s="34"/>
      <c r="C133" s="34"/>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1:53" ht="9.7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1:53" ht="9.7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1:53" ht="9.75" customHeight="1">
      <c r="A136" s="90"/>
      <c r="B136" s="90"/>
      <c r="C136" s="90"/>
      <c r="D136" s="90"/>
      <c r="E136" s="34"/>
      <c r="F136" s="34"/>
      <c r="G136" s="34"/>
      <c r="H136" s="34"/>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1:53" ht="9.7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1:53" ht="9.7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1:53" ht="9.7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1:53" ht="9.7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1:53" ht="9.7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1:53" ht="9.7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1:53" ht="9.7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1:53" ht="9.7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1:53" ht="9.7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1:53" ht="9.75" customHeight="1">
      <c r="A146" s="90"/>
      <c r="B146" s="34"/>
      <c r="C146" s="34"/>
      <c r="D146" s="289"/>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1:53" ht="9.7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1:53" ht="9.7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1:53" ht="9.7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1:53" ht="9.7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1:53" ht="9.7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1:53" ht="9.7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1:53" ht="9.7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1:53" ht="9.7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1:53" ht="9.7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1:53" ht="9.7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1:53" ht="9.7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1:53" ht="9.7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1:53" ht="9.7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1:53" ht="9.7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1:53" ht="9.7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1:53" ht="9.7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1:53" ht="9.7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1:53" ht="9.7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1:53" ht="9.7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1:53" ht="9.7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1:53" ht="9.7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1:53" ht="9.7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1:53" ht="9.7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1:53" ht="9.7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1:53" ht="9.7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1:53" ht="9.7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1:53" ht="9.7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1:53" ht="9.7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1:53" ht="9.7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1:53" ht="9.7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1:53" ht="9.7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1:53" ht="9.7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1:53" ht="9.7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1:53" ht="9.7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1:53" ht="9.7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1:53" ht="9.7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1:53" ht="9.7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1:53" ht="9.7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1:53" ht="9.7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1:53" ht="9.7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1:53" ht="9.7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1:53" ht="9.7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1:53" ht="9.7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1:53" ht="9.7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1:53" ht="9.7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1:53" ht="9.7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1:53" ht="9.7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1:53" ht="9.7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1:53" ht="9.7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1:53" ht="9.7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1:53" ht="9.7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1:53" ht="9.7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1:53" ht="9.7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1:53" ht="9.7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1:53" ht="9.7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1:53" ht="9.7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1:53" ht="9.7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1:53" ht="9.7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1:53" ht="9.7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1:53" ht="9.7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1:53" ht="9.7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1:53" ht="9.7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1:53" ht="9.7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1:53" ht="9.7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1:53" ht="9.7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1:53" ht="9.7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1:53" ht="9.7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1:53" ht="9.7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1:53" ht="9.7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1:53" ht="9.7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1:53" ht="9.7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1:53" ht="9.7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1:53" ht="9.7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1:53" ht="9.7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1:53" ht="9.7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1:53" ht="9.7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1:53" ht="9.7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1:53" ht="9.7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1:53" ht="9.7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1:53" ht="9.7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1:53" ht="9.7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1:53" ht="9.7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1:53" ht="9.7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1:53" ht="9.7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1:53" ht="9.7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1:53" ht="9.7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1:53" ht="9.7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1:53" ht="9.7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1:53" ht="9.7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1:53" ht="9.7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1:53" ht="9.7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1:53" ht="9.7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1:53" ht="9.7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1:53" ht="9.7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1:53" ht="9.7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1:53" ht="9.7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1:53" ht="9.7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1:53" ht="9.7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1:53" ht="9.7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1:53" ht="9.7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1:53" ht="9.7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1:53" ht="9.7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1:53" ht="9.7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1:53" ht="9.7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1:53" ht="9.7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1:53" ht="9.7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1:53" ht="9.7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1:53" ht="9.7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1:53" ht="9.7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1:53" ht="9.7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1:53" ht="9.7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1:53" ht="9.7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1:53" ht="9.7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1:53" ht="9.7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1:53" ht="9.7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1:53" ht="9.7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1:53" ht="9.7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1:53" ht="9.7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1:53" ht="9.7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1:53" ht="9.7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1:53" ht="9.7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1:53" ht="9.7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1:53" ht="9.7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1:53" ht="9.7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1:53" ht="9.7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1:53" ht="9.7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1:53" ht="9.7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1:53" ht="9.7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1:53" ht="9.7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1:53" ht="9.7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1:53" ht="9.7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1:53" ht="9.7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1:53" ht="9.7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1:53" ht="9.7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1:53" ht="9.7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1:53" ht="9.7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1:53" ht="9.7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1:53" ht="9.7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1:53" ht="9.7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1:53" ht="9.7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1:53" ht="9.7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1:53" ht="9.7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1:53" ht="9.7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1:53" ht="9.7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1:53" ht="9.7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1:53" ht="9.7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1:53" ht="9.7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1:53" ht="9.7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1:53" ht="9.7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1:53" ht="9.7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1:53" ht="9.7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1:53" ht="9.7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1:53" ht="9.7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1:53" ht="9.7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1:53" ht="9.7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1:53" ht="9.7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1:53" ht="9.7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1:53" ht="9.7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1:53" ht="9.7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1:53" ht="9.7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1:53" ht="9.7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1:53" ht="9.7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1:53" ht="9.7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1:53" ht="9.7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1:53" ht="9.7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1:53" ht="9.7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1:53" ht="9.7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1:53" ht="9.7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1:53" ht="9.7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1:53" ht="9.7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1:53" ht="9.7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1:53" ht="9.7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1:53" ht="9.7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1:53" ht="9.7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1:53" ht="9.7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1:53" ht="9.7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1:53" ht="9.7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1:53" ht="9.7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1:53" ht="9.7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1:53" ht="9.7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1:53" ht="9.7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1:53" ht="9.7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1:53" ht="9.7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1:53" ht="9.7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1:53" ht="9.7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1:53" ht="9.7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1:53" ht="9.7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1:53" ht="9.7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1:53" ht="9.7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1:53" ht="9.7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1:53" ht="9.7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1:53" ht="9.7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1:53" ht="9.7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1:53" ht="9.7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1:53" ht="9.7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1:53" ht="9.7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1:53" ht="9.7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1:53" ht="9.7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1:53" ht="9.7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1:53" ht="9.7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1:53" ht="9.7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1:53" ht="9.7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1:53" ht="9.7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1:53" ht="9.7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1:53" ht="9.7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1:53" ht="9.7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1:53" ht="9.7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1:53" ht="9.7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1:53" ht="9.7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1:53" ht="9.7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1:53" ht="9.7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1:53" ht="9.7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1:53" ht="9.7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1:53" ht="9.7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1:53" ht="9.7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1:53" ht="9.7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1:53" ht="9.7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1:53" ht="9.7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1:53" ht="9.7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1:53" ht="9.7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1:53" ht="9.7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1:53" ht="9.7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1:53" ht="9.7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1:53" ht="9.7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1:53" ht="9.7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1:53" ht="9.7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1:53" ht="9.7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1:53" ht="9.7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1:53" ht="9.7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1:53" ht="9.7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1:53" ht="9.7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1:53" ht="9.7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1:53" ht="9.7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1:53" ht="9.7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1:53" ht="9.7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1:53" ht="9.7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1:53" ht="9.7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1:53" ht="9.7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1:53" ht="9.7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1:53" ht="9.7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1:53" ht="9.7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1:53" ht="9.7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1:53" ht="9.7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1:53" ht="9.7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1:53" ht="9.7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1:53" ht="9.7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1:53" ht="9.7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1:53" ht="9.7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1:53" ht="9.7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1:53" ht="9.7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1:53" ht="9.7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1:53" ht="9.7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1:53" ht="9.7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1:53" ht="9.7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1:53" ht="9.7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1:53" ht="9.7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1:53" ht="9.7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1:53" ht="9.7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1:53" ht="9.7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1:53" ht="9.7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1:53" ht="9.7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1:53" ht="9.7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1:53" ht="9.7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1:53" ht="9.7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1:53" ht="9.7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1:53" ht="9.7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1:53" ht="9.7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1:53" ht="9.7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1:53" ht="9.7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1:53" ht="9.7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1:53" ht="9.7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1:53" ht="9.7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1:53" ht="9.7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1:53" ht="9.7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1:53" ht="9.7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1:53" ht="9.7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1:53" ht="9.7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1:53" ht="9.7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1:53" ht="9.7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1:53" ht="9.7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1:53" ht="9.7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1:53" ht="9.7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1:53" ht="9.7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1:53" ht="9.7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1:53" ht="9.7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1:53" ht="9.7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1:53" ht="9.7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1:53" ht="9.7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1:53" ht="9.7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1:53" ht="9.7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1:53" ht="9.7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1:53" ht="9.7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1:53" ht="9.7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1:53" ht="9.7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1:53" ht="9.7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1:53" ht="9.7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1:53" ht="9.7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1:53" ht="9.7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1:53" ht="9.7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1:53" ht="9.7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1:53" ht="9.7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1:53" ht="9.7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1:53" ht="9.7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1:53" ht="9.7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1:53" ht="9.7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1:53" ht="9.7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1:53" ht="9.7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1:53" ht="9.7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1:53" ht="9.7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1:53" ht="9.7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1:53" ht="9.7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1:53" ht="9.7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1:53" ht="9.7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1:53" ht="9.7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1:53" ht="9.7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1:53" ht="9.7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1:53" ht="9.7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1:53" ht="9.7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1:53" ht="9.7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1:53" ht="9.7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1:53" ht="9.7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1:53" ht="9.7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1:53" ht="9.7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1:53" ht="9.7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1:53" ht="9.7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1:53" ht="9.7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1:53" ht="9.7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1:53" ht="9.7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1:53" ht="9.7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1:53" ht="9.7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1:53" ht="9.7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1:53" ht="9.7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1:53" ht="9.7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1:53" ht="9.7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1:53" ht="9.7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1:53" ht="9.7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1:53" ht="9.7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1:53" ht="9.7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1:53" ht="9.7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1:53" ht="9.7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1:53" ht="9.7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1:53" ht="9.7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1:53" ht="9.7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1:53" ht="9.7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1:53" ht="9.7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1:53" ht="9.7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1:53" ht="9.7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1:53" ht="9.7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1:53" ht="9.7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1:53" ht="9.7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1:53" ht="9.7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1:53" ht="9.7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1:53" ht="9.7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1:53" ht="9.7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1:53" ht="9.7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1:53" ht="9.7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1:53" ht="9.7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1:53" ht="9.7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1:53" ht="9.7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1:53" ht="9.7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1:53" ht="9.7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1:53" ht="9.7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1:53" ht="9.7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1:53" ht="9.7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1:53" ht="9.7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1:53" ht="9.7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1:53" ht="9.7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1:53" ht="9.7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1:53" ht="9.7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1:53" ht="9.7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1:53" ht="9.7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1:53" ht="9.7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1:53" ht="9.7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1:53" ht="9.7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1:53" ht="9.7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1:53" ht="9.7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1:53" ht="9.7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1:53" ht="9.7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1:53" ht="9.7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1:53" ht="9.7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1:53" ht="9.7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1:53" ht="9.7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1:53" ht="9.7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1:53" ht="9.7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1:53" ht="9.7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1:53" ht="9.7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1:53" ht="9.7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1:53" ht="9.7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1:53" ht="9.7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1:53" ht="9.7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1:53" ht="9.7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1:53" ht="9.7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1:53" ht="9.7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1:53" ht="9.7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1:53" ht="9.7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1:53" ht="9.7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1:53" ht="9.7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1:53" ht="9.7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1:53" ht="9.7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1:53" ht="9.7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1:53" ht="9.7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1:53" ht="9.7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1:53" ht="9.7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1:53" ht="9.7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1:53" ht="9.7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1:53" ht="9.7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1:53" ht="9.7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1:53" ht="9.7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1:53" ht="9.7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1:53" ht="9.7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1:53" ht="9.7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1:53" ht="9.7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1:53" ht="9.7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1:53" ht="9.7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1:53" ht="9.7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1:53" ht="9.7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1:53" ht="9.7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1:53" ht="9.7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1:53" ht="9.7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1:53" ht="9.7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1:53" ht="9.7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1:53" ht="9.7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1:53" ht="9.7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1:53" ht="9.7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1:53" ht="9.7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1:53" ht="9.7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1:53" ht="9.7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1:53" ht="9.7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1:53" ht="9.7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1:53" ht="9.7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1:53" ht="9.7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1:53" ht="9.7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1:53" ht="9.7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1:53" ht="9.7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1:53" ht="9.7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1:53" ht="9.7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1:53" ht="9.7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1:53" ht="9.7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1:53" ht="9.7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1:53" ht="9.7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1:53" ht="9.7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1:53" ht="9.7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1:53" ht="9.7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1:53" ht="9.7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1:53" ht="9.7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1:53" ht="9.7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1:53" ht="9.7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1:53" ht="9.7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1:53" ht="9.7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1:53" ht="9.7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1:53" ht="9.7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1:53" ht="9.7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1:53" ht="9.7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1:53" ht="9.7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1:53" ht="9.7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1:53" ht="9.7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1:53" ht="9.7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1:53" ht="9.7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1:53" ht="9.7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1:53" ht="9.7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1:53" ht="9.7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1:53" ht="9.7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1:53" ht="9.7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1:53" ht="9.7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1:53" ht="9.7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1:53" ht="9.7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1:53" ht="9.7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1:53" ht="9.7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1:53" ht="9.7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1:53" ht="9.7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1:53" ht="9.7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1:53" ht="9.7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1:53" ht="9.7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1:53" ht="9.7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1:53" ht="9.7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1:53" ht="9.7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1:53" ht="9.7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1:53" ht="9.7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1:53" ht="9.7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1:53" ht="9.7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1:53" ht="9.7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1:53" ht="9.7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1:53" ht="9.7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1:53" ht="9.7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1:53" ht="9.7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1:53" ht="9.7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1:53" ht="9.7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1:53" ht="9.7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1:53" ht="9.7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1:53" ht="9.7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1:53" ht="9.7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1:53" ht="9.7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1:53" ht="9.7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1:53" ht="9.7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1:53" ht="9.7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1:53" ht="9.7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1:53" ht="9.7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1:53" ht="9.7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1:53" ht="9.7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1:53" ht="9.7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1:53" ht="9.7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1:53" ht="9.7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1:53" ht="9.7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1:53" ht="9.7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1:53" ht="9.7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1:53" ht="9.7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1:53" ht="9.7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1:53" ht="9.7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1:53" ht="9.7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1:53" ht="9.7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1:53" ht="9.7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1:53" ht="9.7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1:53" ht="9.7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1:53" ht="9.7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1:53" ht="9.7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1:53" ht="9.7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1:53" ht="9.7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1:53" ht="9.7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1:53" ht="9.7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1:53" ht="9.7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1:53" ht="9.7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1:53" ht="9.7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1:53" ht="9.7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1:53" ht="9.7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1:53" ht="9.7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1:53" ht="9.7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1:53" ht="9.7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1:53" ht="9.7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1:53" ht="9.7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1:53" ht="9.7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1:53" ht="9.7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row r="678" spans="1:53" ht="9.7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row>
    <row r="679" spans="1:53" ht="9.7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row>
    <row r="680" spans="1:53" ht="9.7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c r="AX680" s="90"/>
      <c r="AY680" s="90"/>
      <c r="AZ680" s="90"/>
      <c r="BA680" s="90"/>
    </row>
    <row r="681" spans="1:53" ht="9.7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c r="AX681" s="90"/>
      <c r="AY681" s="90"/>
      <c r="AZ681" s="90"/>
      <c r="BA681" s="90"/>
    </row>
    <row r="682" spans="1:53" ht="9.7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row>
    <row r="683" spans="1:53" ht="9.7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c r="AX683" s="90"/>
      <c r="AY683" s="90"/>
      <c r="AZ683" s="90"/>
      <c r="BA683" s="90"/>
    </row>
    <row r="684" spans="1:53" ht="9.7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row>
    <row r="685" spans="1:53" ht="9.7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c r="AX685" s="90"/>
      <c r="AY685" s="90"/>
      <c r="AZ685" s="90"/>
      <c r="BA685" s="90"/>
    </row>
    <row r="686" spans="1:53" ht="9.7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c r="AX686" s="90"/>
      <c r="AY686" s="90"/>
      <c r="AZ686" s="90"/>
      <c r="BA686" s="90"/>
    </row>
    <row r="687" spans="1:53" ht="9.7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row>
    <row r="688" spans="1:53" ht="9.7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c r="AX688" s="90"/>
      <c r="AY688" s="90"/>
      <c r="AZ688" s="90"/>
      <c r="BA688" s="90"/>
    </row>
    <row r="689" spans="1:53" ht="9.7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row>
    <row r="690" spans="1:53" ht="9.7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c r="AX690" s="90"/>
      <c r="AY690" s="90"/>
      <c r="AZ690" s="90"/>
      <c r="BA690" s="90"/>
    </row>
    <row r="691" spans="1:53" ht="9.7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row>
    <row r="692" spans="1:53" ht="9.7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row>
    <row r="693" spans="1:53" ht="9.7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row>
    <row r="694" spans="1:53" ht="9.7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row>
    <row r="695" spans="1:53" ht="9.7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row>
    <row r="696" spans="1:53" ht="9.7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c r="AX696" s="90"/>
      <c r="AY696" s="90"/>
      <c r="AZ696" s="90"/>
      <c r="BA696" s="90"/>
    </row>
    <row r="697" spans="1:53" ht="9.7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row>
    <row r="698" spans="1:53" ht="9.7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0"/>
      <c r="AY698" s="90"/>
      <c r="AZ698" s="90"/>
      <c r="BA698" s="90"/>
    </row>
    <row r="699" spans="1:53" ht="9.7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row>
    <row r="700" spans="1:53" ht="9.7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c r="AX700" s="90"/>
      <c r="AY700" s="90"/>
      <c r="AZ700" s="90"/>
      <c r="BA700" s="90"/>
    </row>
    <row r="701" spans="1:53" ht="9.7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row>
    <row r="702" spans="1:53" ht="9.7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row>
    <row r="703" spans="1:53" ht="9.7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row>
    <row r="704" spans="1:53" ht="9.7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c r="AX704" s="90"/>
      <c r="AY704" s="90"/>
      <c r="AZ704" s="90"/>
      <c r="BA704" s="90"/>
    </row>
    <row r="705" spans="1:53" ht="9.7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row>
    <row r="706" spans="1:53" ht="9.7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0"/>
      <c r="AZ706" s="90"/>
      <c r="BA706" s="90"/>
    </row>
    <row r="707" spans="1:53" ht="9.7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row>
    <row r="708" spans="1:53" ht="9.7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c r="AX708" s="90"/>
      <c r="AY708" s="90"/>
      <c r="AZ708" s="90"/>
      <c r="BA708" s="90"/>
    </row>
    <row r="709" spans="1:53" ht="9.7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row>
    <row r="710" spans="1:53" ht="9.7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c r="AX710" s="90"/>
      <c r="AY710" s="90"/>
      <c r="AZ710" s="90"/>
      <c r="BA710" s="90"/>
    </row>
    <row r="711" spans="1:53" ht="9.7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row>
    <row r="712" spans="1:53" ht="9.7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c r="AX712" s="90"/>
      <c r="AY712" s="90"/>
      <c r="AZ712" s="90"/>
      <c r="BA712" s="90"/>
    </row>
    <row r="713" spans="1:53" ht="9.7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row>
    <row r="714" spans="1:53" ht="9.7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c r="AX714" s="90"/>
      <c r="AY714" s="90"/>
      <c r="AZ714" s="90"/>
      <c r="BA714" s="90"/>
    </row>
    <row r="715" spans="1:53" ht="9.7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row>
    <row r="716" spans="1:53" ht="9.7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c r="AX716" s="90"/>
      <c r="AY716" s="90"/>
      <c r="AZ716" s="90"/>
      <c r="BA716" s="90"/>
    </row>
    <row r="717" spans="1:53" ht="9.7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row>
    <row r="718" spans="1:53" ht="9.7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0"/>
      <c r="AZ718" s="90"/>
      <c r="BA718" s="90"/>
    </row>
    <row r="719" spans="1:53" ht="9.7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row>
    <row r="720" spans="1:53" ht="9.7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row>
    <row r="721" spans="1:53" ht="9.7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row>
    <row r="722" spans="1:53" ht="9.7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row>
    <row r="723" spans="1:53" ht="9.7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row>
    <row r="724" spans="1:53" ht="9.7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0"/>
      <c r="AY724" s="90"/>
      <c r="AZ724" s="90"/>
      <c r="BA724" s="90"/>
    </row>
    <row r="725" spans="1:53" ht="9.7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row>
    <row r="726" spans="1:53" ht="9.7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row>
    <row r="727" spans="1:53" ht="9.7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row>
    <row r="728" spans="1:53" ht="9.7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0"/>
      <c r="AY728" s="90"/>
      <c r="AZ728" s="90"/>
      <c r="BA728" s="90"/>
    </row>
    <row r="729" spans="1:53" ht="9.7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row>
    <row r="730" spans="1:53" ht="9.7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0"/>
      <c r="AY730" s="90"/>
      <c r="AZ730" s="90"/>
      <c r="BA730" s="90"/>
    </row>
    <row r="731" spans="1:53" ht="9.7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row>
    <row r="732" spans="1:53" ht="9.7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0"/>
      <c r="AY732" s="90"/>
      <c r="AZ732" s="90"/>
      <c r="BA732" s="90"/>
    </row>
    <row r="733" spans="1:53" ht="9.7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row>
    <row r="734" spans="1:53" ht="9.7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0"/>
      <c r="AY734" s="90"/>
      <c r="AZ734" s="90"/>
      <c r="BA734" s="90"/>
    </row>
    <row r="735" spans="1:53" ht="9.7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row>
    <row r="736" spans="1:53" ht="9.7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0"/>
      <c r="AY736" s="90"/>
      <c r="AZ736" s="90"/>
      <c r="BA736" s="90"/>
    </row>
    <row r="737" spans="1:53" ht="9.7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row>
    <row r="738" spans="1:53" ht="9.7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0"/>
      <c r="AY738" s="90"/>
      <c r="AZ738" s="90"/>
      <c r="BA738" s="90"/>
    </row>
    <row r="739" spans="1:53" ht="9.7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row>
    <row r="740" spans="1:53" ht="9.7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0"/>
      <c r="AY740" s="90"/>
      <c r="AZ740" s="90"/>
      <c r="BA740" s="90"/>
    </row>
    <row r="741" spans="1:53" ht="9.7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row>
    <row r="742" spans="1:53" ht="9.7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0"/>
      <c r="AY742" s="90"/>
      <c r="AZ742" s="90"/>
      <c r="BA742" s="90"/>
    </row>
    <row r="743" spans="1:53" ht="9.7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row>
    <row r="744" spans="1:53" ht="9.7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0"/>
      <c r="AY744" s="90"/>
      <c r="AZ744" s="90"/>
      <c r="BA744" s="90"/>
    </row>
    <row r="745" spans="1:53" ht="9.7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row>
    <row r="746" spans="1:53" ht="9.7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0"/>
      <c r="AY746" s="90"/>
      <c r="AZ746" s="90"/>
      <c r="BA746" s="90"/>
    </row>
    <row r="747" spans="1:53" ht="9.7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row>
    <row r="748" spans="1:53" ht="9.7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0"/>
      <c r="AY748" s="90"/>
      <c r="AZ748" s="90"/>
      <c r="BA748" s="90"/>
    </row>
    <row r="749" spans="1:53" ht="9.7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row>
    <row r="750" spans="1:53" ht="9.7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c r="AY750" s="90"/>
      <c r="AZ750" s="90"/>
      <c r="BA750" s="90"/>
    </row>
    <row r="751" spans="1:53" ht="9.7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row>
    <row r="752" spans="1:53" ht="9.7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0"/>
      <c r="AY752" s="90"/>
      <c r="AZ752" s="90"/>
      <c r="BA752" s="90"/>
    </row>
    <row r="753" spans="1:53" ht="9.7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row>
    <row r="754" spans="1:53" ht="9.7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0"/>
      <c r="AY754" s="90"/>
      <c r="AZ754" s="90"/>
      <c r="BA754" s="90"/>
    </row>
    <row r="755" spans="1:53" ht="9.7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row>
    <row r="756" spans="1:53" ht="9.7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0"/>
      <c r="AY756" s="90"/>
      <c r="AZ756" s="90"/>
      <c r="BA756" s="90"/>
    </row>
    <row r="757" spans="1:53" ht="9.7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row>
    <row r="758" spans="1:53" ht="9.7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0"/>
      <c r="AY758" s="90"/>
      <c r="AZ758" s="90"/>
      <c r="BA758" s="90"/>
    </row>
    <row r="759" spans="1:53" ht="9.7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row>
    <row r="760" spans="1:53" ht="9.7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0"/>
      <c r="AY760" s="90"/>
      <c r="AZ760" s="90"/>
      <c r="BA760" s="90"/>
    </row>
    <row r="761" spans="1:53" ht="9.7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row>
    <row r="762" spans="1:53" ht="9.7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row>
    <row r="763" spans="1:53" ht="9.7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row>
    <row r="764" spans="1:53" ht="9.7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0"/>
      <c r="AY764" s="90"/>
      <c r="AZ764" s="90"/>
      <c r="BA764" s="90"/>
    </row>
    <row r="765" spans="1:53" ht="9.7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row>
    <row r="766" spans="1:53" ht="9.7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0"/>
      <c r="AY766" s="90"/>
      <c r="AZ766" s="90"/>
      <c r="BA766" s="90"/>
    </row>
    <row r="767" spans="1:53" ht="9.7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row>
    <row r="768" spans="1:53" ht="9.7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row>
    <row r="769" spans="1:53" ht="9.7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row>
    <row r="770" spans="1:53" ht="9.7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0"/>
      <c r="AY770" s="90"/>
      <c r="AZ770" s="90"/>
      <c r="BA770" s="90"/>
    </row>
    <row r="771" spans="1:53" ht="9.7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row>
    <row r="772" spans="1:53" ht="9.7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row>
    <row r="773" spans="1:53" ht="9.7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row>
    <row r="774" spans="1:53" ht="9.7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0"/>
      <c r="AY774" s="90"/>
      <c r="AZ774" s="90"/>
      <c r="BA774" s="90"/>
    </row>
    <row r="775" spans="1:53" ht="9.7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row>
    <row r="776" spans="1:53" ht="9.7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0"/>
      <c r="AY776" s="90"/>
      <c r="AZ776" s="90"/>
      <c r="BA776" s="90"/>
    </row>
    <row r="777" spans="1:53" ht="9.7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row>
    <row r="778" spans="1:53" ht="9.7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0"/>
      <c r="AY778" s="90"/>
      <c r="AZ778" s="90"/>
      <c r="BA778" s="90"/>
    </row>
    <row r="779" spans="1:53" ht="9.7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row>
    <row r="780" spans="1:53" ht="9.7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0"/>
      <c r="AY780" s="90"/>
      <c r="AZ780" s="90"/>
      <c r="BA780" s="90"/>
    </row>
    <row r="781" spans="1:53" ht="9.7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row>
    <row r="782" spans="1:53" ht="9.7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c r="AX782" s="90"/>
      <c r="AY782" s="90"/>
      <c r="AZ782" s="90"/>
      <c r="BA782" s="90"/>
    </row>
    <row r="783" spans="1:53" ht="9.7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row>
    <row r="784" spans="1:53" ht="9.7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c r="AX784" s="90"/>
      <c r="AY784" s="90"/>
      <c r="AZ784" s="90"/>
      <c r="BA784" s="90"/>
    </row>
    <row r="785" spans="1:53" ht="9.7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row>
    <row r="786" spans="1:53" ht="9.7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c r="AX786" s="90"/>
      <c r="AY786" s="90"/>
      <c r="AZ786" s="90"/>
      <c r="BA786" s="90"/>
    </row>
    <row r="787" spans="1:53" ht="9.7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row>
    <row r="788" spans="1:53" ht="9.7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c r="AX788" s="90"/>
      <c r="AY788" s="90"/>
      <c r="AZ788" s="90"/>
      <c r="BA788" s="90"/>
    </row>
    <row r="789" spans="1:53" ht="9.7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row>
    <row r="790" spans="1:53" ht="9.7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c r="AX790" s="90"/>
      <c r="AY790" s="90"/>
      <c r="AZ790" s="90"/>
      <c r="BA790" s="90"/>
    </row>
    <row r="791" spans="1:53" ht="9.7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row>
    <row r="792" spans="1:53" ht="9.7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c r="AX792" s="90"/>
      <c r="AY792" s="90"/>
      <c r="AZ792" s="90"/>
      <c r="BA792" s="90"/>
    </row>
    <row r="793" spans="1:53" ht="9.7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row>
    <row r="794" spans="1:53" ht="9.7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c r="AX794" s="90"/>
      <c r="AY794" s="90"/>
      <c r="AZ794" s="90"/>
      <c r="BA794" s="90"/>
    </row>
    <row r="795" spans="1:53" ht="9.7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row>
    <row r="796" spans="1:53" ht="9.7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c r="AX796" s="90"/>
      <c r="AY796" s="90"/>
      <c r="AZ796" s="90"/>
      <c r="BA796" s="90"/>
    </row>
    <row r="797" spans="1:53" ht="9.7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row>
    <row r="798" spans="1:53" ht="9.7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row>
    <row r="799" spans="1:53" ht="9.7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row>
    <row r="800" spans="1:53" ht="9.7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row>
    <row r="801" spans="1:53" ht="9.7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row>
    <row r="802" spans="1:53" ht="9.7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row>
    <row r="803" spans="1:53" ht="9.7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row>
    <row r="804" spans="1:53" ht="9.7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row>
    <row r="805" spans="1:53" ht="9.7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row>
    <row r="806" spans="1:53" ht="9.7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row>
    <row r="807" spans="1:53" ht="9.7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row>
    <row r="808" spans="1:53" ht="9.7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row>
    <row r="809" spans="1:53" ht="9.7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row>
    <row r="810" spans="1:53" ht="9.7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c r="AX810" s="90"/>
      <c r="AY810" s="90"/>
      <c r="AZ810" s="90"/>
      <c r="BA810" s="90"/>
    </row>
    <row r="811" spans="1:53" ht="9.7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row>
    <row r="812" spans="1:53" ht="9.7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c r="AX812" s="90"/>
      <c r="AY812" s="90"/>
      <c r="AZ812" s="90"/>
      <c r="BA812" s="90"/>
    </row>
    <row r="813" spans="1:53" ht="9.7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row>
    <row r="814" spans="1:53" ht="9.7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c r="AX814" s="90"/>
      <c r="AY814" s="90"/>
      <c r="AZ814" s="90"/>
      <c r="BA814" s="90"/>
    </row>
    <row r="815" spans="1:53" ht="9.7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c r="AX815" s="90"/>
      <c r="AY815" s="90"/>
      <c r="AZ815" s="90"/>
      <c r="BA815" s="90"/>
    </row>
    <row r="816" spans="1:53" ht="9.7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c r="AX816" s="90"/>
      <c r="AY816" s="90"/>
      <c r="AZ816" s="90"/>
      <c r="BA816" s="90"/>
    </row>
    <row r="817" spans="1:53" ht="9.7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row>
    <row r="818" spans="1:53" ht="9.7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c r="AX818" s="90"/>
      <c r="AY818" s="90"/>
      <c r="AZ818" s="90"/>
      <c r="BA818" s="90"/>
    </row>
    <row r="819" spans="1:53" ht="9.7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c r="AX819" s="90"/>
      <c r="AY819" s="90"/>
      <c r="AZ819" s="90"/>
      <c r="BA819" s="90"/>
    </row>
    <row r="820" spans="1:53" ht="9.7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c r="AX820" s="90"/>
      <c r="AY820" s="90"/>
      <c r="AZ820" s="90"/>
      <c r="BA820" s="90"/>
    </row>
    <row r="821" spans="1:53" ht="9.7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row>
    <row r="822" spans="1:53" ht="9.7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row>
    <row r="823" spans="1:53" ht="9.7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c r="AX823" s="90"/>
      <c r="AY823" s="90"/>
      <c r="AZ823" s="90"/>
      <c r="BA823" s="90"/>
    </row>
    <row r="824" spans="1:53" ht="9.7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c r="AX824" s="90"/>
      <c r="AY824" s="90"/>
      <c r="AZ824" s="90"/>
      <c r="BA824" s="90"/>
    </row>
    <row r="825" spans="1:53" ht="9.7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row>
    <row r="826" spans="1:53" ht="9.7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c r="AX826" s="90"/>
      <c r="AY826" s="90"/>
      <c r="AZ826" s="90"/>
      <c r="BA826" s="90"/>
    </row>
    <row r="827" spans="1:53" ht="9.7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row>
    <row r="828" spans="1:53" ht="9.7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row>
    <row r="829" spans="1:53" ht="9.7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c r="AX829" s="90"/>
      <c r="AY829" s="90"/>
      <c r="AZ829" s="90"/>
      <c r="BA829" s="90"/>
    </row>
    <row r="830" spans="1:53" ht="9.7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c r="AX830" s="90"/>
      <c r="AY830" s="90"/>
      <c r="AZ830" s="90"/>
      <c r="BA830" s="90"/>
    </row>
    <row r="831" spans="1:53" ht="9.7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row>
    <row r="832" spans="1:53" ht="9.7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c r="AX832" s="90"/>
      <c r="AY832" s="90"/>
      <c r="AZ832" s="90"/>
      <c r="BA832" s="90"/>
    </row>
    <row r="833" spans="1:53" ht="9.7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row>
    <row r="834" spans="1:53" ht="9.7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row>
    <row r="835" spans="1:53" ht="9.7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row>
    <row r="836" spans="1:53" ht="9.7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row>
    <row r="837" spans="1:53" ht="9.7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row>
    <row r="838" spans="1:53" ht="9.7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row>
    <row r="839" spans="1:53" ht="9.7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row>
    <row r="840" spans="1:53" ht="9.7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row>
    <row r="841" spans="1:53" ht="9.7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row>
    <row r="842" spans="1:53" ht="9.7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row>
    <row r="843" spans="1:53" ht="9.7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row>
    <row r="844" spans="1:53" ht="9.7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c r="AX844" s="90"/>
      <c r="AY844" s="90"/>
      <c r="AZ844" s="90"/>
      <c r="BA844" s="90"/>
    </row>
    <row r="845" spans="1:53" ht="9.7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c r="AX845" s="90"/>
      <c r="AY845" s="90"/>
      <c r="AZ845" s="90"/>
      <c r="BA845" s="90"/>
    </row>
    <row r="846" spans="1:53" ht="9.7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row>
    <row r="847" spans="1:53" ht="9.7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row>
    <row r="848" spans="1:53" ht="9.7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row>
    <row r="849" spans="1:53" ht="9.7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c r="AX849" s="90"/>
      <c r="AY849" s="90"/>
      <c r="AZ849" s="90"/>
      <c r="BA849" s="90"/>
    </row>
    <row r="850" spans="1:53" ht="9.7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row>
    <row r="851" spans="1:53" ht="9.7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c r="AX851" s="90"/>
      <c r="AY851" s="90"/>
      <c r="AZ851" s="90"/>
      <c r="BA851" s="90"/>
    </row>
    <row r="852" spans="1:53" ht="9.7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row>
    <row r="853" spans="1:53" ht="9.7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c r="AX853" s="90"/>
      <c r="AY853" s="90"/>
      <c r="AZ853" s="90"/>
      <c r="BA853" s="90"/>
    </row>
    <row r="854" spans="1:53" ht="9.7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c r="AX854" s="90"/>
      <c r="AY854" s="90"/>
      <c r="AZ854" s="90"/>
      <c r="BA854" s="90"/>
    </row>
    <row r="855" spans="1:53" ht="9.7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c r="AX855" s="90"/>
      <c r="AY855" s="90"/>
      <c r="AZ855" s="90"/>
      <c r="BA855" s="90"/>
    </row>
    <row r="856" spans="1:53" ht="9.7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c r="AX856" s="90"/>
      <c r="AY856" s="90"/>
      <c r="AZ856" s="90"/>
      <c r="BA856" s="90"/>
    </row>
    <row r="857" spans="1:53" ht="9.7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c r="AX857" s="90"/>
      <c r="AY857" s="90"/>
      <c r="AZ857" s="90"/>
      <c r="BA857" s="90"/>
    </row>
    <row r="858" spans="1:53" ht="9.7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c r="AX858" s="90"/>
      <c r="AY858" s="90"/>
      <c r="AZ858" s="90"/>
      <c r="BA858" s="90"/>
    </row>
    <row r="859" spans="1:53" ht="9.7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c r="AX859" s="90"/>
      <c r="AY859" s="90"/>
      <c r="AZ859" s="90"/>
      <c r="BA859" s="90"/>
    </row>
    <row r="860" spans="1:53" ht="9.7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row>
    <row r="861" spans="1:53" ht="9.7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c r="AX861" s="90"/>
      <c r="AY861" s="90"/>
      <c r="AZ861" s="90"/>
      <c r="BA861" s="90"/>
    </row>
    <row r="862" spans="1:53" ht="9.7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c r="AX862" s="90"/>
      <c r="AY862" s="90"/>
      <c r="AZ862" s="90"/>
      <c r="BA862" s="90"/>
    </row>
    <row r="863" spans="1:53" ht="9.7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c r="AX863" s="90"/>
      <c r="AY863" s="90"/>
      <c r="AZ863" s="90"/>
      <c r="BA863" s="90"/>
    </row>
    <row r="864" spans="1:53" ht="9.7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c r="AX864" s="90"/>
      <c r="AY864" s="90"/>
      <c r="AZ864" s="90"/>
      <c r="BA864" s="90"/>
    </row>
    <row r="865" spans="1:53" ht="9.7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c r="AX865" s="90"/>
      <c r="AY865" s="90"/>
      <c r="AZ865" s="90"/>
      <c r="BA865" s="90"/>
    </row>
    <row r="866" spans="1:53" ht="9.7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c r="AX866" s="90"/>
      <c r="AY866" s="90"/>
      <c r="AZ866" s="90"/>
      <c r="BA866" s="90"/>
    </row>
    <row r="867" spans="1:53" ht="9.7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row>
    <row r="868" spans="1:53" ht="9.7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row>
    <row r="869" spans="1:53" ht="9.7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row>
    <row r="870" spans="1:53" ht="9.7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row>
    <row r="871" spans="1:53" ht="9.7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c r="AX871" s="90"/>
      <c r="AY871" s="90"/>
      <c r="AZ871" s="90"/>
      <c r="BA871" s="90"/>
    </row>
    <row r="872" spans="1:53" ht="9.7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c r="AX872" s="90"/>
      <c r="AY872" s="90"/>
      <c r="AZ872" s="90"/>
      <c r="BA872" s="90"/>
    </row>
    <row r="873" spans="1:53" ht="9.7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row>
    <row r="874" spans="1:53" ht="9.7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row>
    <row r="875" spans="1:53" ht="9.7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c r="AX875" s="90"/>
      <c r="AY875" s="90"/>
      <c r="AZ875" s="90"/>
      <c r="BA875" s="90"/>
    </row>
    <row r="876" spans="1:53" ht="9.7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row>
    <row r="877" spans="1:53" ht="9.7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row>
    <row r="878" spans="1:53" ht="9.7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row>
    <row r="879" spans="1:53" ht="9.7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c r="AX879" s="90"/>
      <c r="AY879" s="90"/>
      <c r="AZ879" s="90"/>
      <c r="BA879" s="90"/>
    </row>
    <row r="880" spans="1:53" ht="9.7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c r="AX880" s="90"/>
      <c r="AY880" s="90"/>
      <c r="AZ880" s="90"/>
      <c r="BA880" s="90"/>
    </row>
    <row r="881" spans="1:53" ht="9.7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c r="AX881" s="90"/>
      <c r="AY881" s="90"/>
      <c r="AZ881" s="90"/>
      <c r="BA881" s="90"/>
    </row>
    <row r="882" spans="1:53" ht="9.7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c r="AX882" s="90"/>
      <c r="AY882" s="90"/>
      <c r="AZ882" s="90"/>
      <c r="BA882" s="90"/>
    </row>
    <row r="883" spans="1:53" ht="9.7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c r="AX883" s="90"/>
      <c r="AY883" s="90"/>
      <c r="AZ883" s="90"/>
      <c r="BA883" s="90"/>
    </row>
    <row r="884" spans="1:53" ht="9.7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c r="AX884" s="90"/>
      <c r="AY884" s="90"/>
      <c r="AZ884" s="90"/>
      <c r="BA884" s="90"/>
    </row>
    <row r="885" spans="1:53" ht="9.7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c r="AX885" s="90"/>
      <c r="AY885" s="90"/>
      <c r="AZ885" s="90"/>
      <c r="BA885" s="90"/>
    </row>
    <row r="886" spans="1:53" ht="9.7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c r="AX886" s="90"/>
      <c r="AY886" s="90"/>
      <c r="AZ886" s="90"/>
      <c r="BA886" s="90"/>
    </row>
    <row r="887" spans="1:53" ht="9.7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c r="AX887" s="90"/>
      <c r="AY887" s="90"/>
      <c r="AZ887" s="90"/>
      <c r="BA887" s="90"/>
    </row>
    <row r="888" spans="1:53" ht="9.7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c r="AX888" s="90"/>
      <c r="AY888" s="90"/>
      <c r="AZ888" s="90"/>
      <c r="BA888" s="90"/>
    </row>
    <row r="889" spans="1:53" ht="9.7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c r="AX889" s="90"/>
      <c r="AY889" s="90"/>
      <c r="AZ889" s="90"/>
      <c r="BA889" s="90"/>
    </row>
    <row r="890" spans="1:53" ht="9.7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c r="AX890" s="90"/>
      <c r="AY890" s="90"/>
      <c r="AZ890" s="90"/>
      <c r="BA890" s="90"/>
    </row>
    <row r="891" spans="1:53" ht="9.7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c r="AX891" s="90"/>
      <c r="AY891" s="90"/>
      <c r="AZ891" s="90"/>
      <c r="BA891" s="90"/>
    </row>
    <row r="892" spans="1:53" ht="9.7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c r="AX892" s="90"/>
      <c r="AY892" s="90"/>
      <c r="AZ892" s="90"/>
      <c r="BA892" s="90"/>
    </row>
    <row r="893" spans="1:53" ht="9.7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row>
    <row r="894" spans="1:53" ht="9.7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c r="AX894" s="90"/>
      <c r="AY894" s="90"/>
      <c r="AZ894" s="90"/>
      <c r="BA894" s="90"/>
    </row>
    <row r="895" spans="1:53" ht="9.7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c r="AX895" s="90"/>
      <c r="AY895" s="90"/>
      <c r="AZ895" s="90"/>
      <c r="BA895" s="90"/>
    </row>
    <row r="896" spans="1:53" ht="9.7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c r="AX896" s="90"/>
      <c r="AY896" s="90"/>
      <c r="AZ896" s="90"/>
      <c r="BA896" s="90"/>
    </row>
    <row r="897" spans="1:53" ht="9.7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c r="AX897" s="90"/>
      <c r="AY897" s="90"/>
      <c r="AZ897" s="90"/>
      <c r="BA897" s="90"/>
    </row>
    <row r="898" spans="1:53" ht="9.7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row>
    <row r="899" spans="1:53" ht="9.7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c r="AX899" s="90"/>
      <c r="AY899" s="90"/>
      <c r="AZ899" s="90"/>
      <c r="BA899" s="90"/>
    </row>
    <row r="900" spans="1:53" ht="9.7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row>
    <row r="901" spans="1:53" ht="9.7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c r="AX901" s="90"/>
      <c r="AY901" s="90"/>
      <c r="AZ901" s="90"/>
      <c r="BA901" s="90"/>
    </row>
    <row r="902" spans="1:53" ht="9.7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row>
    <row r="903" spans="1:53" ht="9.7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c r="AX903" s="90"/>
      <c r="AY903" s="90"/>
      <c r="AZ903" s="90"/>
      <c r="BA903" s="90"/>
    </row>
    <row r="904" spans="1:53" ht="9.7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row>
    <row r="905" spans="1:53" ht="9.7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c r="AX905" s="90"/>
      <c r="AY905" s="90"/>
      <c r="AZ905" s="90"/>
      <c r="BA905" s="90"/>
    </row>
    <row r="906" spans="1:53" ht="9.7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c r="AX906" s="90"/>
      <c r="AY906" s="90"/>
      <c r="AZ906" s="90"/>
      <c r="BA906" s="90"/>
    </row>
    <row r="907" spans="1:53" ht="9.7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c r="AX907" s="90"/>
      <c r="AY907" s="90"/>
      <c r="AZ907" s="90"/>
      <c r="BA907" s="90"/>
    </row>
    <row r="908" spans="1:53" ht="9.7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row>
    <row r="909" spans="1:53" ht="9.7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c r="AX909" s="90"/>
      <c r="AY909" s="90"/>
      <c r="AZ909" s="90"/>
      <c r="BA909" s="90"/>
    </row>
    <row r="910" spans="1:53" ht="9.7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c r="AX910" s="90"/>
      <c r="AY910" s="90"/>
      <c r="AZ910" s="90"/>
      <c r="BA910" s="90"/>
    </row>
    <row r="911" spans="1:53" ht="9.7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row>
    <row r="912" spans="1:53" ht="9.7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row>
    <row r="913" spans="1:53" ht="9.7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row>
    <row r="914" spans="1:53" ht="9.7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c r="AX914" s="90"/>
      <c r="AY914" s="90"/>
      <c r="AZ914" s="90"/>
      <c r="BA914" s="90"/>
    </row>
    <row r="915" spans="1:53" ht="9.7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c r="AX915" s="90"/>
      <c r="AY915" s="90"/>
      <c r="AZ915" s="90"/>
      <c r="BA915" s="90"/>
    </row>
    <row r="916" spans="1:53" ht="9.7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row>
    <row r="917" spans="1:53" ht="9.7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c r="AX917" s="90"/>
      <c r="AY917" s="90"/>
      <c r="AZ917" s="90"/>
      <c r="BA917" s="90"/>
    </row>
    <row r="918" spans="1:53" ht="9.7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row>
    <row r="919" spans="1:53" ht="9.7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row>
    <row r="920" spans="1:53" ht="9.7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row>
    <row r="921" spans="1:53" ht="9.7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row>
    <row r="922" spans="1:53" ht="9.7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row>
    <row r="923" spans="1:53" ht="9.7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c r="AX923" s="90"/>
      <c r="AY923" s="90"/>
      <c r="AZ923" s="90"/>
      <c r="BA923" s="90"/>
    </row>
    <row r="924" spans="1:53" ht="9.7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row>
    <row r="925" spans="1:53" ht="9.7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c r="AX925" s="90"/>
      <c r="AY925" s="90"/>
      <c r="AZ925" s="90"/>
      <c r="BA925" s="90"/>
    </row>
    <row r="926" spans="1:53" ht="9.7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row>
    <row r="927" spans="1:53" ht="9.7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row>
    <row r="928" spans="1:53" ht="9.7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c r="AX928" s="90"/>
      <c r="AY928" s="90"/>
      <c r="AZ928" s="90"/>
      <c r="BA928" s="90"/>
    </row>
    <row r="929" spans="1:53" ht="9.7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c r="AX929" s="90"/>
      <c r="AY929" s="90"/>
      <c r="AZ929" s="90"/>
      <c r="BA929" s="90"/>
    </row>
    <row r="930" spans="1:53" ht="9.7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c r="AX930" s="90"/>
      <c r="AY930" s="90"/>
      <c r="AZ930" s="90"/>
      <c r="BA930" s="90"/>
    </row>
    <row r="931" spans="1:53" ht="9.7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c r="AX931" s="90"/>
      <c r="AY931" s="90"/>
      <c r="AZ931" s="90"/>
      <c r="BA931" s="90"/>
    </row>
    <row r="932" spans="1:53" ht="9.7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c r="AX932" s="90"/>
      <c r="AY932" s="90"/>
      <c r="AZ932" s="90"/>
      <c r="BA932" s="90"/>
    </row>
    <row r="933" spans="1:53" ht="9.7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row>
    <row r="934" spans="1:53" ht="9.7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c r="AX934" s="90"/>
      <c r="AY934" s="90"/>
      <c r="AZ934" s="90"/>
      <c r="BA934" s="90"/>
    </row>
    <row r="935" spans="1:53" ht="9.7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row>
    <row r="936" spans="1:53" ht="9.7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row>
    <row r="937" spans="1:53" ht="9.7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row>
    <row r="938" spans="1:53" ht="9.7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row>
    <row r="939" spans="1:53" ht="9.7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row>
    <row r="940" spans="1:53" ht="9.7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row>
    <row r="941" spans="1:53" ht="9.7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row>
    <row r="942" spans="1:53" ht="9.7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row>
    <row r="943" spans="1:53" ht="9.7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row>
    <row r="944" spans="1:53" ht="9.7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row>
    <row r="945" spans="1:53" ht="9.7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row>
    <row r="946" spans="1:53" ht="9.7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row>
    <row r="947" spans="1:53" ht="9.7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row>
    <row r="948" spans="1:53" ht="9.7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row>
    <row r="949" spans="1:53" ht="9.7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row>
    <row r="950" spans="1:53" ht="9.7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row>
    <row r="951" spans="1:53" ht="9.7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row>
    <row r="952" spans="1:53" ht="9.7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row>
    <row r="953" spans="1:53" ht="9.7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row>
    <row r="954" spans="1:53" ht="9.7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row>
    <row r="955" spans="1:53" ht="9.7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row>
    <row r="956" spans="1:53" ht="9.7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row>
    <row r="957" spans="1:53" ht="9.7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row>
    <row r="958" spans="1:53" ht="9.7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row>
    <row r="959" spans="1:53" ht="9.7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row>
    <row r="960" spans="1:53" ht="9.7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row>
    <row r="961" spans="1:53" ht="9.7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row>
    <row r="962" spans="1:53" ht="9.7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row>
    <row r="963" spans="1:53" ht="9.7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row>
    <row r="964" spans="1:53" ht="9.7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row>
    <row r="965" spans="1:53" ht="9.7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row>
    <row r="966" spans="1:53" ht="9.7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row>
    <row r="967" spans="1:53" ht="9.7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row>
    <row r="968" spans="1:53" ht="9.7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row>
    <row r="969" spans="1:53" ht="9.7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row>
    <row r="970" spans="1:53" ht="9.7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row>
    <row r="971" spans="1:53" ht="9.7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row>
    <row r="972" spans="1:53" ht="9.7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row>
    <row r="973" spans="1:53" ht="9.7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row>
    <row r="974" spans="1:53" ht="9.7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row>
    <row r="975" spans="1:53" ht="9.7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row>
    <row r="976" spans="1:53" ht="9.7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row>
    <row r="977" spans="1:53" ht="9.7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row>
    <row r="978" spans="1:53" ht="9.7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row>
    <row r="979" spans="1:53" ht="9.7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row>
    <row r="980" spans="1:53" ht="9.7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c r="AX980" s="90"/>
      <c r="AY980" s="90"/>
      <c r="AZ980" s="90"/>
      <c r="BA980" s="90"/>
    </row>
    <row r="981" spans="1:53" ht="9.7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row>
    <row r="982" spans="1:53" ht="9.7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row>
    <row r="983" spans="1:53" ht="9.7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row>
    <row r="984" spans="1:53" ht="9.7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row>
    <row r="985" spans="1:53" ht="9.7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row>
    <row r="986" spans="1:53" ht="9.7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row>
    <row r="987" spans="1:53" ht="9.7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row>
    <row r="988" spans="1:53" ht="9.7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row>
    <row r="989" spans="1:53" ht="9.7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row>
    <row r="990" spans="1:53" ht="9.7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row>
    <row r="991" spans="1:53" ht="9.7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row>
    <row r="992" spans="1:53" ht="9.7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c r="AX992" s="90"/>
      <c r="AY992" s="90"/>
      <c r="AZ992" s="90"/>
      <c r="BA992" s="90"/>
    </row>
    <row r="993" spans="1:53" ht="9.7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c r="AX993" s="90"/>
      <c r="AY993" s="90"/>
      <c r="AZ993" s="90"/>
      <c r="BA993" s="90"/>
    </row>
    <row r="994" spans="1:53" ht="9.7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row>
    <row r="995" spans="1:53" ht="9.7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row>
    <row r="996" spans="1:53" ht="9.7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row>
    <row r="997" spans="1:53" ht="9.7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c r="AX997" s="90"/>
      <c r="AY997" s="90"/>
      <c r="AZ997" s="90"/>
      <c r="BA997" s="90"/>
    </row>
    <row r="998" spans="1:53" ht="9.7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c r="AX998" s="90"/>
      <c r="AY998" s="90"/>
      <c r="AZ998" s="90"/>
      <c r="BA998" s="90"/>
    </row>
    <row r="999" spans="1:53" ht="9.7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c r="AK999" s="90"/>
      <c r="AL999" s="90"/>
      <c r="AM999" s="90"/>
      <c r="AN999" s="90"/>
      <c r="AO999" s="90"/>
      <c r="AP999" s="90"/>
      <c r="AQ999" s="90"/>
      <c r="AR999" s="90"/>
      <c r="AS999" s="90"/>
      <c r="AT999" s="90"/>
      <c r="AU999" s="90"/>
      <c r="AV999" s="90"/>
      <c r="AW999" s="90"/>
      <c r="AX999" s="90"/>
      <c r="AY999" s="90"/>
      <c r="AZ999" s="90"/>
      <c r="BA999" s="90"/>
    </row>
    <row r="1000" spans="1:53" ht="9.7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c r="AX1000" s="90"/>
      <c r="AY1000" s="90"/>
      <c r="AZ1000" s="90"/>
      <c r="BA1000" s="90"/>
    </row>
  </sheetData>
  <mergeCells count="5">
    <mergeCell ref="B2:K2"/>
    <mergeCell ref="T2:AB2"/>
    <mergeCell ref="AE2:AO2"/>
    <mergeCell ref="B22:I22"/>
    <mergeCell ref="B89:J89"/>
  </mergeCells>
  <pageMargins left="0.75" right="0.75" top="1" bottom="1" header="0" footer="0"/>
  <pageSetup paperSize="9"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7581-A561-4C4B-B302-69DD575AF4E3}">
  <sheetPr>
    <tabColor rgb="FFF7CAAC"/>
  </sheetPr>
  <dimension ref="A1:BC1000"/>
  <sheetViews>
    <sheetView showGridLines="0" topLeftCell="A39" zoomScale="90" zoomScaleNormal="90" workbookViewId="0">
      <selection activeCell="F7" sqref="F7"/>
    </sheetView>
  </sheetViews>
  <sheetFormatPr defaultColWidth="16.7109375" defaultRowHeight="15" customHeight="1"/>
  <cols>
    <col min="1" max="1" width="3.7109375" customWidth="1"/>
    <col min="2" max="2" width="58.28515625" customWidth="1"/>
    <col min="3" max="3" width="21.28515625" customWidth="1"/>
    <col min="4" max="13" width="19.140625" customWidth="1"/>
    <col min="14" max="14" width="15.42578125" customWidth="1"/>
    <col min="15" max="15" width="9.85546875" style="634" customWidth="1"/>
    <col min="16" max="18" width="36.28515625" style="634" customWidth="1"/>
    <col min="19" max="19" width="24.42578125" style="634" customWidth="1"/>
    <col min="20" max="21" width="10.7109375" style="634" customWidth="1"/>
    <col min="22" max="55" width="16.7109375" style="634"/>
  </cols>
  <sheetData>
    <row r="1" spans="1:21" ht="9.75" customHeight="1" thickBot="1">
      <c r="A1" s="90"/>
      <c r="B1" s="90"/>
      <c r="C1" s="90"/>
      <c r="D1" s="90">
        <v>3</v>
      </c>
      <c r="E1" s="90">
        <v>4</v>
      </c>
      <c r="F1" s="90">
        <v>5</v>
      </c>
      <c r="G1" s="90">
        <v>6</v>
      </c>
      <c r="H1" s="90">
        <v>7</v>
      </c>
      <c r="I1" s="90">
        <v>8</v>
      </c>
      <c r="J1" s="90">
        <v>9</v>
      </c>
      <c r="K1" s="90">
        <v>10</v>
      </c>
      <c r="L1" s="90">
        <v>11</v>
      </c>
      <c r="M1" s="90">
        <v>12</v>
      </c>
      <c r="N1" s="90"/>
      <c r="O1" s="530"/>
      <c r="P1" s="530"/>
      <c r="Q1" s="530"/>
      <c r="R1" s="530"/>
      <c r="S1" s="530"/>
      <c r="T1" s="530"/>
      <c r="U1" s="530"/>
    </row>
    <row r="2" spans="1:21" ht="17.25" customHeight="1" thickBot="1">
      <c r="A2" s="90"/>
      <c r="B2" s="756" t="s">
        <v>295</v>
      </c>
      <c r="C2" s="757"/>
      <c r="D2" s="757"/>
      <c r="E2" s="757"/>
      <c r="F2" s="757"/>
      <c r="G2" s="757"/>
      <c r="H2" s="757"/>
      <c r="I2" s="757"/>
      <c r="J2" s="757"/>
      <c r="K2" s="757"/>
      <c r="L2" s="757"/>
      <c r="M2" s="758"/>
      <c r="N2" s="548"/>
      <c r="O2" s="548"/>
      <c r="P2" s="34" t="s">
        <v>420</v>
      </c>
      <c r="Q2" s="90"/>
      <c r="R2" s="530"/>
      <c r="S2" s="530"/>
      <c r="T2" s="530"/>
      <c r="U2" s="530"/>
    </row>
    <row r="3" spans="1:21" ht="11.4" customHeight="1" thickBot="1">
      <c r="A3" s="90"/>
      <c r="B3" s="646" t="s">
        <v>299</v>
      </c>
      <c r="C3" s="647" t="s">
        <v>200</v>
      </c>
      <c r="D3" s="648" t="s">
        <v>1384</v>
      </c>
      <c r="E3" s="649" t="s">
        <v>1385</v>
      </c>
      <c r="F3" s="649" t="s">
        <v>1386</v>
      </c>
      <c r="G3" s="649" t="s">
        <v>1387</v>
      </c>
      <c r="H3" s="649" t="s">
        <v>1388</v>
      </c>
      <c r="I3" s="650" t="s">
        <v>1389</v>
      </c>
      <c r="J3" s="651" t="s">
        <v>1390</v>
      </c>
      <c r="K3" s="651" t="s">
        <v>1391</v>
      </c>
      <c r="L3" s="652" t="s">
        <v>1392</v>
      </c>
      <c r="M3" s="653" t="s">
        <v>1393</v>
      </c>
      <c r="N3" s="637"/>
      <c r="O3" s="638"/>
      <c r="P3" s="191" t="s">
        <v>46</v>
      </c>
      <c r="Q3" s="197" t="str">
        <f>Results!C49</f>
        <v>HMA AC Bin/Base</v>
      </c>
      <c r="R3" s="530"/>
      <c r="S3" s="600" t="s">
        <v>1384</v>
      </c>
      <c r="T3" s="600" t="s">
        <v>1385</v>
      </c>
      <c r="U3" s="530"/>
    </row>
    <row r="4" spans="1:21" ht="11.4" customHeight="1" thickBot="1">
      <c r="A4" s="90"/>
      <c r="B4" s="654" t="s">
        <v>317</v>
      </c>
      <c r="C4" s="168" t="s">
        <v>318</v>
      </c>
      <c r="D4" s="169">
        <f t="shared" ref="D4:M4" si="0">SUM(D5:D15)</f>
        <v>297.49137439954671</v>
      </c>
      <c r="E4" s="169">
        <f t="shared" si="0"/>
        <v>318.16369501236994</v>
      </c>
      <c r="F4" s="169">
        <f t="shared" si="0"/>
        <v>298.57283071845887</v>
      </c>
      <c r="G4" s="169">
        <f t="shared" si="0"/>
        <v>298.57283071845887</v>
      </c>
      <c r="H4" s="169">
        <f t="shared" si="0"/>
        <v>301.97820171061147</v>
      </c>
      <c r="I4" s="170">
        <f t="shared" si="0"/>
        <v>296.89688941551788</v>
      </c>
      <c r="J4" s="170">
        <f t="shared" si="0"/>
        <v>291.19428658396998</v>
      </c>
      <c r="K4" s="170">
        <f t="shared" si="0"/>
        <v>292.32302317059856</v>
      </c>
      <c r="L4" s="170">
        <f t="shared" si="0"/>
        <v>292.32302317059856</v>
      </c>
      <c r="M4" s="655">
        <f t="shared" si="0"/>
        <v>249.85605262019902</v>
      </c>
      <c r="N4" s="639"/>
      <c r="O4" s="640"/>
      <c r="P4" s="191" t="s">
        <v>1455</v>
      </c>
      <c r="Q4" s="197" t="str">
        <f>VLOOKUP(Q3,S3:T10,2,FALSE)</f>
        <v>HMA AG</v>
      </c>
      <c r="S4" s="600" t="s">
        <v>1386</v>
      </c>
      <c r="T4" s="600" t="s">
        <v>1385</v>
      </c>
      <c r="U4" s="530"/>
    </row>
    <row r="5" spans="1:21" ht="11.4" customHeight="1">
      <c r="A5" s="90"/>
      <c r="B5" s="656" t="s">
        <v>320</v>
      </c>
      <c r="C5" s="178" t="s">
        <v>318</v>
      </c>
      <c r="D5" s="179">
        <f t="shared" ref="D5:L5" si="1">(((D42+D41)*$D92+D40*$D91)*(D55-$N60))</f>
        <v>123.01270799999999</v>
      </c>
      <c r="E5" s="180">
        <f t="shared" si="1"/>
        <v>0</v>
      </c>
      <c r="F5" s="180">
        <f t="shared" si="1"/>
        <v>121.90323599999998</v>
      </c>
      <c r="G5" s="180">
        <f t="shared" si="1"/>
        <v>121.90323599999998</v>
      </c>
      <c r="H5" s="180">
        <f t="shared" si="1"/>
        <v>124.12218</v>
      </c>
      <c r="I5" s="542">
        <f t="shared" si="1"/>
        <v>117.604032</v>
      </c>
      <c r="J5" s="545">
        <f t="shared" si="1"/>
        <v>119.287308</v>
      </c>
      <c r="K5" s="545">
        <f t="shared" si="1"/>
        <v>118.21143599999998</v>
      </c>
      <c r="L5" s="545">
        <f t="shared" si="1"/>
        <v>118.21143599999998</v>
      </c>
      <c r="M5" s="657">
        <v>0</v>
      </c>
      <c r="N5" s="639"/>
      <c r="O5" s="640"/>
      <c r="P5" s="667" t="s">
        <v>422</v>
      </c>
      <c r="Q5" s="670">
        <f>Results!C50</f>
        <v>0.14699999999999999</v>
      </c>
      <c r="R5" s="530"/>
      <c r="S5" s="600" t="s">
        <v>1387</v>
      </c>
      <c r="T5" s="600" t="s">
        <v>1385</v>
      </c>
      <c r="U5" s="530"/>
    </row>
    <row r="6" spans="1:21" ht="11.4" customHeight="1">
      <c r="A6" s="90"/>
      <c r="B6" s="556" t="s">
        <v>324</v>
      </c>
      <c r="C6" s="191" t="s">
        <v>318</v>
      </c>
      <c r="D6" s="192">
        <v>0</v>
      </c>
      <c r="E6" s="524">
        <f>IF(Projectinformatie!C69="Nee",(E43)*$D93*(E57-$N60),(E43)*$D93*(E56-$N60))</f>
        <v>146.93899999999999</v>
      </c>
      <c r="F6" s="192">
        <f>(F43)*$D93*(F56-$N60)</f>
        <v>0</v>
      </c>
      <c r="G6" s="192">
        <v>0</v>
      </c>
      <c r="H6" s="192">
        <v>0</v>
      </c>
      <c r="I6" s="193">
        <f>D6</f>
        <v>0</v>
      </c>
      <c r="J6" s="546">
        <v>0</v>
      </c>
      <c r="K6" s="546">
        <v>0</v>
      </c>
      <c r="L6" s="546">
        <v>0</v>
      </c>
      <c r="M6" s="658">
        <f>IF(Projectinformatie!C69="Nee",(M43)*$D93*(M57-$N60),(M43)*$D93*(M56-$N60))</f>
        <v>124.68899999999999</v>
      </c>
      <c r="N6" s="639"/>
      <c r="O6" s="640"/>
      <c r="P6" s="600" t="s">
        <v>1448</v>
      </c>
      <c r="Q6" s="671">
        <f>(1-Q5)*VLOOKUP(Q3,P14:R22,2,FALSE)</f>
        <v>262.65532164040297</v>
      </c>
      <c r="R6" s="530"/>
      <c r="S6" s="600" t="s">
        <v>44</v>
      </c>
      <c r="T6" s="600" t="s">
        <v>1385</v>
      </c>
      <c r="U6" s="530"/>
    </row>
    <row r="7" spans="1:21" ht="11.4" customHeight="1">
      <c r="A7" s="90"/>
      <c r="B7" s="556" t="s">
        <v>325</v>
      </c>
      <c r="C7" s="191" t="s">
        <v>318</v>
      </c>
      <c r="D7" s="198">
        <f>(D49*($D95+$D96*($D110-$N60)+$D97*(D58-$D110)))/1000</f>
        <v>91.871662619999995</v>
      </c>
      <c r="E7" s="192">
        <v>0</v>
      </c>
      <c r="F7" s="198">
        <f>(F49*($D95+$D96*($D110-$N60)+$D97*(F58-$D110)))/1000</f>
        <v>91.871662619999995</v>
      </c>
      <c r="G7" s="198">
        <f t="shared" ref="G7:L7" si="2">(G49*($D95+$D96*($D110-$N60)+$D97*(G58-$D110)))/1000</f>
        <v>91.871662619999995</v>
      </c>
      <c r="H7" s="198">
        <f t="shared" si="2"/>
        <v>91.871662619999995</v>
      </c>
      <c r="I7" s="198">
        <f t="shared" si="2"/>
        <v>91.871662619999995</v>
      </c>
      <c r="J7" s="198">
        <f t="shared" si="2"/>
        <v>91.536139619999986</v>
      </c>
      <c r="K7" s="198">
        <f t="shared" si="2"/>
        <v>91.536139619999986</v>
      </c>
      <c r="L7" s="198">
        <f t="shared" si="2"/>
        <v>91.536139619999986</v>
      </c>
      <c r="M7" s="562">
        <v>0</v>
      </c>
      <c r="N7" s="639"/>
      <c r="O7" s="640"/>
      <c r="P7" s="600" t="s">
        <v>1449</v>
      </c>
      <c r="Q7" s="671">
        <f>Q5*VLOOKUP(Q4,P24:R25,2,FALSE)</f>
        <v>50.077122531901495</v>
      </c>
      <c r="R7" s="530"/>
      <c r="S7" s="600" t="s">
        <v>43</v>
      </c>
      <c r="T7" s="600" t="s">
        <v>1385</v>
      </c>
      <c r="U7" s="530"/>
    </row>
    <row r="8" spans="1:21" ht="11.4" customHeight="1">
      <c r="A8" s="90"/>
      <c r="B8" s="556" t="s">
        <v>326</v>
      </c>
      <c r="C8" s="191" t="s">
        <v>318</v>
      </c>
      <c r="D8" s="192">
        <v>0</v>
      </c>
      <c r="E8" s="524">
        <f>(E50*($D95+$D96*($D110-$N60)+$D97*(E58-$D110)))/1000</f>
        <v>92.960591475912494</v>
      </c>
      <c r="F8" s="192">
        <v>0</v>
      </c>
      <c r="G8" s="192">
        <v>0</v>
      </c>
      <c r="H8" s="192">
        <v>0</v>
      </c>
      <c r="I8" s="193">
        <f>D8</f>
        <v>0</v>
      </c>
      <c r="J8" s="546">
        <v>0</v>
      </c>
      <c r="K8" s="546">
        <v>0</v>
      </c>
      <c r="L8" s="585">
        <v>0</v>
      </c>
      <c r="M8" s="658">
        <f>(M50*($D95+$D96*($D110-$N60)+$D97*(M58-$D110)))/1000</f>
        <v>85.491630000000001</v>
      </c>
      <c r="N8" s="639"/>
      <c r="O8" s="640"/>
      <c r="P8" s="600" t="s">
        <v>1450</v>
      </c>
      <c r="Q8" s="671">
        <f>Q6+Q7</f>
        <v>312.73244417230444</v>
      </c>
      <c r="R8" s="530"/>
      <c r="S8" s="600" t="s">
        <v>1390</v>
      </c>
      <c r="T8" s="600" t="s">
        <v>1393</v>
      </c>
      <c r="U8" s="530"/>
    </row>
    <row r="9" spans="1:21" ht="11.4" customHeight="1">
      <c r="A9" s="90"/>
      <c r="B9" s="556" t="s">
        <v>327</v>
      </c>
      <c r="C9" s="191" t="s">
        <v>318</v>
      </c>
      <c r="D9" s="192">
        <f t="shared" ref="D9:M9" si="3">((SUM(D5:D8))/$D105)*$D104*(D63/($D111-D63))*(($D94*(D58-$N60)+$D103*($D95+$D96*($D110-$N60)+$D97*(D58-$D110)))*$D101)/1000</f>
        <v>35.358260012784626</v>
      </c>
      <c r="E9" s="524">
        <f t="shared" si="3"/>
        <v>39.47420807052255</v>
      </c>
      <c r="F9" s="192">
        <f t="shared" si="3"/>
        <v>35.175701368153014</v>
      </c>
      <c r="G9" s="192">
        <f t="shared" si="3"/>
        <v>35.175701368153014</v>
      </c>
      <c r="H9" s="192">
        <f t="shared" si="3"/>
        <v>35.540818657416246</v>
      </c>
      <c r="I9" s="193">
        <f t="shared" si="3"/>
        <v>34.468286620205525</v>
      </c>
      <c r="J9" s="193">
        <f t="shared" si="3"/>
        <v>33.184442601322559</v>
      </c>
      <c r="K9" s="193">
        <f t="shared" si="3"/>
        <v>33.015096102944824</v>
      </c>
      <c r="L9" s="586">
        <f t="shared" si="3"/>
        <v>33.015096102944824</v>
      </c>
      <c r="M9" s="658">
        <f t="shared" si="3"/>
        <v>1.5618404452757322</v>
      </c>
      <c r="N9" s="639"/>
      <c r="O9" s="640"/>
      <c r="P9" s="600" t="s">
        <v>1451</v>
      </c>
      <c r="Q9" s="671">
        <f>(1-Q5)*VLOOKUP(Q3,P14:R22,3,FALSE)</f>
        <v>4.9245052237141094</v>
      </c>
      <c r="R9" s="530"/>
      <c r="S9" s="600" t="s">
        <v>1391</v>
      </c>
      <c r="T9" s="600" t="s">
        <v>1393</v>
      </c>
      <c r="U9" s="530"/>
    </row>
    <row r="10" spans="1:21" ht="11.4" customHeight="1">
      <c r="A10" s="90"/>
      <c r="B10" s="556" t="s">
        <v>328</v>
      </c>
      <c r="C10" s="191" t="s">
        <v>318</v>
      </c>
      <c r="D10" s="192">
        <f>($N74*SUM(D5:D9,D13:D14,D11))</f>
        <v>2.7396831631799534</v>
      </c>
      <c r="E10" s="525">
        <f>($N75*SUM(E5:E9,E13:E14,E11))</f>
        <v>3.0309948523164576</v>
      </c>
      <c r="F10" s="192">
        <f t="shared" ref="F10:M10" si="4">($N74*SUM(F5:F9,F13:F14,F11))</f>
        <v>2.7267628567336373</v>
      </c>
      <c r="G10" s="192">
        <f t="shared" si="4"/>
        <v>2.7267628567336373</v>
      </c>
      <c r="H10" s="192">
        <f t="shared" si="4"/>
        <v>2.75260346962627</v>
      </c>
      <c r="I10" s="245">
        <f t="shared" si="4"/>
        <v>2.6766966692541625</v>
      </c>
      <c r="J10" s="245">
        <f t="shared" si="4"/>
        <v>2.6773357590653326</v>
      </c>
      <c r="K10" s="245">
        <f t="shared" si="4"/>
        <v>2.6648835740815553</v>
      </c>
      <c r="L10" s="193">
        <f t="shared" si="4"/>
        <v>2.6648835740815553</v>
      </c>
      <c r="M10" s="560">
        <f t="shared" si="4"/>
        <v>2.3546815613048642</v>
      </c>
      <c r="N10" s="639"/>
      <c r="O10" s="640"/>
      <c r="P10" s="600" t="s">
        <v>1452</v>
      </c>
      <c r="Q10" s="671">
        <f>Q5*VLOOKUP(Q4,P24:R25,3,FALSE)</f>
        <v>0.49135627624331613</v>
      </c>
      <c r="R10" s="530"/>
      <c r="S10" s="600" t="s">
        <v>1392</v>
      </c>
      <c r="T10" s="600" t="s">
        <v>1393</v>
      </c>
      <c r="U10" s="530"/>
    </row>
    <row r="11" spans="1:21" ht="11.4" customHeight="1">
      <c r="A11" s="90"/>
      <c r="B11" s="659" t="s">
        <v>329</v>
      </c>
      <c r="C11" s="202" t="s">
        <v>318</v>
      </c>
      <c r="D11" s="203">
        <v>0</v>
      </c>
      <c r="E11" s="203">
        <v>0</v>
      </c>
      <c r="F11" s="203">
        <v>0</v>
      </c>
      <c r="G11" s="203">
        <v>0</v>
      </c>
      <c r="H11" s="203">
        <v>0</v>
      </c>
      <c r="I11" s="543">
        <v>0</v>
      </c>
      <c r="J11" s="543">
        <v>0</v>
      </c>
      <c r="K11" s="543">
        <v>0</v>
      </c>
      <c r="L11" s="543">
        <v>0</v>
      </c>
      <c r="M11" s="660">
        <v>0</v>
      </c>
      <c r="N11" s="641"/>
      <c r="O11" s="642"/>
      <c r="P11" s="600" t="s">
        <v>401</v>
      </c>
      <c r="Q11" s="671">
        <f>(Q9+Q10)*3.6</f>
        <v>19.497101399846731</v>
      </c>
      <c r="R11" s="530"/>
      <c r="S11" s="530"/>
      <c r="T11" s="530"/>
      <c r="U11" s="530"/>
    </row>
    <row r="12" spans="1:21" ht="11.4" customHeight="1">
      <c r="A12" s="90"/>
      <c r="B12" s="556" t="s">
        <v>330</v>
      </c>
      <c r="C12" s="191" t="s">
        <v>318</v>
      </c>
      <c r="D12" s="192">
        <f>IF(Projectinformatie!$C$109="Elektriciteit",D80*Energiedragers!$D$17,D80*Energiedragers!$D$3)</f>
        <v>8.7501599899636471</v>
      </c>
      <c r="E12" s="192">
        <f>IF(Projectinformatie!$C$109="Elektriciteit",E80*Energiedragers!$D$17,E80*Energiedragers!$D$3)</f>
        <v>0</v>
      </c>
      <c r="F12" s="192">
        <f>IF(Projectinformatie!$C$109="Elektriciteit",F80*Energiedragers!$D$17,F80*Energiedragers!$D$3)</f>
        <v>11.136567259953729</v>
      </c>
      <c r="G12" s="192">
        <f>IF(Projectinformatie!$C$109="Elektriciteit",G80*Energiedragers!$D$17,G80*Energiedragers!$D$3)</f>
        <v>11.136567259953729</v>
      </c>
      <c r="H12" s="192">
        <f>IF(Projectinformatie!$C$109="Elektriciteit",H80*Energiedragers!$D$17,H80*Energiedragers!$D$3)</f>
        <v>11.932036349950426</v>
      </c>
      <c r="I12" s="193">
        <f>IF(Projectinformatie!$C$109="Elektriciteit",I80*Energiedragers!$D$17,I80*Energiedragers!$D$3)</f>
        <v>14.517310892439683</v>
      </c>
      <c r="J12" s="193">
        <f>IF(Projectinformatie!$C$109="Elektriciteit",J80*Energiedragers!$D$17,J80*Energiedragers!$D$3)</f>
        <v>8.7501599899636471</v>
      </c>
      <c r="K12" s="193">
        <f>IF(Projectinformatie!$C$109="Elektriciteit",K80*Energiedragers!$D$17,K80*Energiedragers!$D$3)</f>
        <v>11.136567259953729</v>
      </c>
      <c r="L12" s="245">
        <f>IF(Projectinformatie!$C$109="Elektriciteit",L80*Energiedragers!$D$17,L80*Energiedragers!$D$3)</f>
        <v>11.136567259953729</v>
      </c>
      <c r="M12" s="562">
        <v>0</v>
      </c>
      <c r="N12" s="639"/>
      <c r="O12" s="640"/>
      <c r="R12" s="530"/>
      <c r="S12" s="530"/>
      <c r="T12" s="530"/>
      <c r="U12" s="530"/>
    </row>
    <row r="13" spans="1:21" ht="11.4" customHeight="1">
      <c r="A13" s="90"/>
      <c r="B13" s="556" t="s">
        <v>331</v>
      </c>
      <c r="C13" s="191" t="s">
        <v>318</v>
      </c>
      <c r="D13" s="192">
        <f t="shared" ref="D13:H13" si="5">D83</f>
        <v>15.473273272963498</v>
      </c>
      <c r="E13" s="192">
        <f>E83</f>
        <v>15.473273272963498</v>
      </c>
      <c r="F13" s="192">
        <f t="shared" si="5"/>
        <v>15.473273272963498</v>
      </c>
      <c r="G13" s="192">
        <f t="shared" si="5"/>
        <v>15.473273272963498</v>
      </c>
      <c r="H13" s="192">
        <f t="shared" si="5"/>
        <v>15.473273272963498</v>
      </c>
      <c r="I13" s="193">
        <f>I83</f>
        <v>15.473273272963498</v>
      </c>
      <c r="J13" s="193">
        <f t="shared" ref="J13:M13" si="6">J83</f>
        <v>15.473273272963498</v>
      </c>
      <c r="K13" s="193">
        <f t="shared" si="6"/>
        <v>15.473273272963498</v>
      </c>
      <c r="L13" s="193">
        <f t="shared" si="6"/>
        <v>15.473273272963498</v>
      </c>
      <c r="M13" s="562">
        <f t="shared" si="6"/>
        <v>15.473273272963498</v>
      </c>
      <c r="N13" s="639"/>
      <c r="O13" s="640"/>
      <c r="R13" s="530"/>
      <c r="S13" s="530"/>
      <c r="T13" s="530"/>
      <c r="U13" s="530"/>
    </row>
    <row r="14" spans="1:21" ht="11.4" customHeight="1">
      <c r="A14" s="90"/>
      <c r="B14" s="556" t="s">
        <v>332</v>
      </c>
      <c r="C14" s="191" t="s">
        <v>318</v>
      </c>
      <c r="D14" s="192">
        <f>$D112*Projectinformatie!C120/$N25</f>
        <v>8.2524124122471978</v>
      </c>
      <c r="E14" s="192">
        <f>D14</f>
        <v>8.2524124122471978</v>
      </c>
      <c r="F14" s="192">
        <f>D14</f>
        <v>8.2524124122471978</v>
      </c>
      <c r="G14" s="192">
        <f>D14</f>
        <v>8.2524124122471978</v>
      </c>
      <c r="H14" s="192">
        <f>D14</f>
        <v>8.2524124122471978</v>
      </c>
      <c r="I14" s="193">
        <f>D14</f>
        <v>8.2524124122471978</v>
      </c>
      <c r="J14" s="546">
        <f>D14</f>
        <v>8.2524124122471978</v>
      </c>
      <c r="K14" s="546">
        <f>D14</f>
        <v>8.2524124122471978</v>
      </c>
      <c r="L14" s="546">
        <f>D14</f>
        <v>8.2524124122471978</v>
      </c>
      <c r="M14" s="661">
        <f>D14</f>
        <v>8.2524124122471978</v>
      </c>
      <c r="N14" s="639"/>
      <c r="O14" s="640"/>
      <c r="Q14" s="600" t="s">
        <v>1453</v>
      </c>
      <c r="R14" s="600" t="s">
        <v>1454</v>
      </c>
      <c r="S14" s="530"/>
      <c r="T14" s="530"/>
      <c r="U14" s="530"/>
    </row>
    <row r="15" spans="1:21" ht="11.4" customHeight="1">
      <c r="A15" s="90"/>
      <c r="B15" s="556" t="s">
        <v>333</v>
      </c>
      <c r="C15" s="191" t="s">
        <v>318</v>
      </c>
      <c r="D15" s="192">
        <f>D87*Energiedragers!$D$17</f>
        <v>12.033214928407743</v>
      </c>
      <c r="E15" s="192">
        <f>E87*Energiedragers!$D$17</f>
        <v>12.033214928407743</v>
      </c>
      <c r="F15" s="192">
        <f>F87*Energiedragers!$D$17</f>
        <v>12.033214928407743</v>
      </c>
      <c r="G15" s="192">
        <f>G87*Energiedragers!$D$17</f>
        <v>12.033214928407743</v>
      </c>
      <c r="H15" s="192">
        <f>H87*Energiedragers!$D$17</f>
        <v>12.033214928407743</v>
      </c>
      <c r="I15" s="193">
        <f>I87*Energiedragers!$D$17</f>
        <v>12.033214928407743</v>
      </c>
      <c r="J15" s="546">
        <f>I87*Energiedragers!$D$17</f>
        <v>12.033214928407743</v>
      </c>
      <c r="K15" s="546">
        <f>J87*Energiedragers!$D$17</f>
        <v>12.033214928407743</v>
      </c>
      <c r="L15" s="546">
        <f>K87*Energiedragers!$D$17</f>
        <v>12.033214928407743</v>
      </c>
      <c r="M15" s="662">
        <f>L87*Energiedragers!$D$17</f>
        <v>12.033214928407743</v>
      </c>
      <c r="N15" s="639"/>
      <c r="O15" s="640"/>
      <c r="P15" s="600" t="s">
        <v>1384</v>
      </c>
      <c r="Q15" s="672">
        <f>D19</f>
        <v>307.91948609660375</v>
      </c>
      <c r="R15" s="673">
        <f>D20</f>
        <v>5.773159699547608</v>
      </c>
      <c r="S15" s="530"/>
      <c r="T15" s="530"/>
      <c r="U15" s="530"/>
    </row>
    <row r="16" spans="1:21" ht="11.4" customHeight="1">
      <c r="A16" s="90"/>
      <c r="B16" s="556"/>
      <c r="C16" s="191"/>
      <c r="D16" s="192"/>
      <c r="E16" s="192"/>
      <c r="F16" s="192"/>
      <c r="G16" s="192"/>
      <c r="H16" s="192"/>
      <c r="I16" s="193"/>
      <c r="J16" s="546"/>
      <c r="K16" s="546"/>
      <c r="L16" s="546"/>
      <c r="M16" s="661"/>
      <c r="N16" s="639"/>
      <c r="O16" s="640"/>
      <c r="P16" s="600" t="s">
        <v>1386</v>
      </c>
      <c r="Q16" s="672">
        <f>F19</f>
        <v>306.4673422229514</v>
      </c>
      <c r="R16" s="673">
        <f>F20</f>
        <v>6.4360506078781867</v>
      </c>
      <c r="S16" s="530"/>
      <c r="T16" s="530"/>
      <c r="U16" s="530"/>
    </row>
    <row r="17" spans="1:25" ht="11.4" customHeight="1">
      <c r="A17" s="90"/>
      <c r="B17" s="663" t="s">
        <v>335</v>
      </c>
      <c r="C17" s="211" t="s">
        <v>1435</v>
      </c>
      <c r="D17" s="212">
        <f>(D4-D15-IF(Projectinformatie!$C$109="Elektriciteit",D12,0))/Energiedragers!$D$3</f>
        <v>276.70799948117531</v>
      </c>
      <c r="E17" s="212">
        <f>(E4-E15-IF(Projectinformatie!$C$109="Elektriciteit",E12,0))/Energiedragers!$D$3</f>
        <v>306.1304800839622</v>
      </c>
      <c r="F17" s="212">
        <f>(F4-F15-IF(Projectinformatie!$C$109="Elektriciteit",F12,0))/Energiedragers!$D$3</f>
        <v>275.40304853009741</v>
      </c>
      <c r="G17" s="212">
        <f>(G4-G15-IF(Projectinformatie!$C$109="Elektriciteit",G12,0))/Energiedragers!$D$3</f>
        <v>275.40304853009741</v>
      </c>
      <c r="H17" s="212">
        <f>(H4-H15-IF(Projectinformatie!$C$109="Elektriciteit",H12,0))/Energiedragers!$D$3</f>
        <v>278.01295043225332</v>
      </c>
      <c r="I17" s="213">
        <f>(I4-I15-IF(Projectinformatie!$C$109="Elektriciteit",I12,0))/Energiedragers!$D$3</f>
        <v>270.34636359467044</v>
      </c>
      <c r="J17" s="213">
        <f>(J4-J15-IF(Projectinformatie!$C$109="Elektriciteit",J12,0))/Energiedragers!$D$3</f>
        <v>270.41091166559858</v>
      </c>
      <c r="K17" s="213">
        <f>(K4-K15-IF(Projectinformatie!$C$109="Elektriciteit",K12,0))/Energiedragers!$D$3</f>
        <v>269.15324098223709</v>
      </c>
      <c r="L17" s="213">
        <f>(L4-L15-IF(Projectinformatie!$C$109="Elektriciteit",L12,0))/Energiedragers!$D$3</f>
        <v>269.15324098223709</v>
      </c>
      <c r="M17" s="664">
        <f>(M4-M15-IF(Projectinformatie!$C$109="Elektriciteit",M12,0))/Energiedragers!$D$3</f>
        <v>237.82283769179128</v>
      </c>
      <c r="N17" s="643"/>
      <c r="O17" s="644"/>
      <c r="P17" s="600" t="s">
        <v>1387</v>
      </c>
      <c r="Q17" s="672">
        <f>G19</f>
        <v>306.4673422229514</v>
      </c>
      <c r="R17" s="673">
        <f>G20</f>
        <v>6.4360506078781867</v>
      </c>
      <c r="S17" s="530"/>
      <c r="T17" s="530"/>
      <c r="U17" s="530"/>
    </row>
    <row r="18" spans="1:25" ht="11.4" customHeight="1">
      <c r="A18" s="90"/>
      <c r="B18" s="663" t="s">
        <v>337</v>
      </c>
      <c r="C18" s="211" t="s">
        <v>338</v>
      </c>
      <c r="D18" s="212">
        <f>(D15/Energiedragers!$D$17)+IF(Projectinformatie!$C$109="Elektriciteit",(D12/Energiedragers!$D$17),0)</f>
        <v>5.773159699547608</v>
      </c>
      <c r="E18" s="212">
        <f>(E15/Energiedragers!$D$17)+IF(Projectinformatie!$C$109="Elektriciteit",(E12/Energiedragers!$D$17),0)</f>
        <v>3.3425597023354841</v>
      </c>
      <c r="F18" s="212">
        <f>(F15/Energiedragers!$D$17)+IF(Projectinformatie!$C$109="Elektriciteit",(F12/Energiedragers!$D$17),0)</f>
        <v>6.4360506078781867</v>
      </c>
      <c r="G18" s="212">
        <f>(G15/Energiedragers!$D$17)+IF(Projectinformatie!$C$109="Elektriciteit",(G12/Energiedragers!$D$17),0)</f>
        <v>6.4360506078781867</v>
      </c>
      <c r="H18" s="212">
        <f>(H15/Energiedragers!$D$17)+IF(Projectinformatie!$C$109="Elektriciteit",(H12/Energiedragers!$D$17),0)</f>
        <v>6.6570142439883799</v>
      </c>
      <c r="I18" s="213">
        <f>(I15/Energiedragers!$D$17)+IF(Projectinformatie!$C$109="Elektriciteit",(I12/Energiedragers!$D$17),0)</f>
        <v>7.3751460613465074</v>
      </c>
      <c r="J18" s="213">
        <f>(J15/Energiedragers!$D$17)+IF(Projectinformatie!$C$109="Elektriciteit",(J12/Energiedragers!$D$17),0)</f>
        <v>5.773159699547608</v>
      </c>
      <c r="K18" s="213">
        <f>(K15/Energiedragers!$D$17)+IF(Projectinformatie!$C$109="Elektriciteit",(K12/Energiedragers!$D$17),0)</f>
        <v>6.4360506078781867</v>
      </c>
      <c r="L18" s="213">
        <f>(L15/Energiedragers!$D$17)+IF(Projectinformatie!$C$109="Elektriciteit",(L12/Energiedragers!$D$17),0)</f>
        <v>6.4360506078781867</v>
      </c>
      <c r="M18" s="664">
        <f>(M15/Energiedragers!$D$17)+IF(Projectinformatie!$C$109="Elektriciteit",(M12/Energiedragers!$D$17),0)</f>
        <v>3.3425597023354841</v>
      </c>
      <c r="N18" s="643"/>
      <c r="O18" s="644"/>
      <c r="P18" s="600" t="s">
        <v>44</v>
      </c>
      <c r="Q18" s="672">
        <f>H19</f>
        <v>309.37162997025621</v>
      </c>
      <c r="R18" s="673">
        <f>H20</f>
        <v>6.6570142439883799</v>
      </c>
      <c r="S18" s="530"/>
      <c r="T18" s="530"/>
      <c r="U18" s="530"/>
    </row>
    <row r="19" spans="1:25" ht="11.4" customHeight="1">
      <c r="A19" s="90"/>
      <c r="B19" s="663" t="s">
        <v>1446</v>
      </c>
      <c r="C19" s="211" t="s">
        <v>1436</v>
      </c>
      <c r="D19" s="668">
        <f>D17*(Model!$AN$17/Model!$AM$17)</f>
        <v>307.91948609660375</v>
      </c>
      <c r="E19" s="668">
        <f>E17*(Model!$AN$17/Model!$AM$17)</f>
        <v>340.66069749592856</v>
      </c>
      <c r="F19" s="668">
        <f>F17*(Model!$AN$17/Model!$AM$17)</f>
        <v>306.4673422229514</v>
      </c>
      <c r="G19" s="668">
        <f>G17*(Model!$AN$17/Model!$AM$17)</f>
        <v>306.4673422229514</v>
      </c>
      <c r="H19" s="668">
        <f>H17*(Model!$AN$17/Model!$AM$17)</f>
        <v>309.37162997025621</v>
      </c>
      <c r="I19" s="668">
        <f>I17*(Model!$AN$17/Model!$AM$17)</f>
        <v>300.84028471254851</v>
      </c>
      <c r="J19" s="668">
        <f>J17*(Model!$AN$17/Model!$AM$17)</f>
        <v>300.91211353161401</v>
      </c>
      <c r="K19" s="668">
        <f>K17*(Model!$AN$17/Model!$AM$17)</f>
        <v>299.51258293898371</v>
      </c>
      <c r="L19" s="668">
        <f>L17*(Model!$AN$17/Model!$AM$17)</f>
        <v>299.51258293898371</v>
      </c>
      <c r="M19" s="668">
        <f>M17*(Model!$AN$17/Model!$AM$17)</f>
        <v>264.6482432795525</v>
      </c>
      <c r="N19" s="645"/>
      <c r="O19" s="640"/>
      <c r="P19" s="600" t="s">
        <v>43</v>
      </c>
      <c r="Q19" s="672">
        <f>I19</f>
        <v>300.84028471254851</v>
      </c>
      <c r="R19" s="673">
        <f>I20</f>
        <v>7.3751460613465074</v>
      </c>
      <c r="S19" s="530"/>
      <c r="T19" s="530"/>
      <c r="U19" s="530"/>
    </row>
    <row r="20" spans="1:25" ht="11.4" customHeight="1" thickBot="1">
      <c r="A20" s="90"/>
      <c r="B20" s="665" t="s">
        <v>1447</v>
      </c>
      <c r="C20" s="666" t="s">
        <v>343</v>
      </c>
      <c r="D20" s="669">
        <f>D18</f>
        <v>5.773159699547608</v>
      </c>
      <c r="E20" s="669">
        <f t="shared" ref="E20:M20" si="7">E18</f>
        <v>3.3425597023354841</v>
      </c>
      <c r="F20" s="669">
        <f t="shared" si="7"/>
        <v>6.4360506078781867</v>
      </c>
      <c r="G20" s="669">
        <f t="shared" si="7"/>
        <v>6.4360506078781867</v>
      </c>
      <c r="H20" s="669">
        <f t="shared" si="7"/>
        <v>6.6570142439883799</v>
      </c>
      <c r="I20" s="669">
        <f t="shared" si="7"/>
        <v>7.3751460613465074</v>
      </c>
      <c r="J20" s="669">
        <f t="shared" si="7"/>
        <v>5.773159699547608</v>
      </c>
      <c r="K20" s="669">
        <f t="shared" si="7"/>
        <v>6.4360506078781867</v>
      </c>
      <c r="L20" s="669">
        <f t="shared" si="7"/>
        <v>6.4360506078781867</v>
      </c>
      <c r="M20" s="669">
        <f t="shared" si="7"/>
        <v>3.3425597023354841</v>
      </c>
      <c r="N20" s="645"/>
      <c r="O20" s="640"/>
      <c r="P20" s="600" t="s">
        <v>1390</v>
      </c>
      <c r="Q20" s="672">
        <f>J19</f>
        <v>300.91211353161401</v>
      </c>
      <c r="R20" s="673">
        <f>J20</f>
        <v>5.773159699547608</v>
      </c>
      <c r="S20" s="530"/>
      <c r="T20" s="530"/>
      <c r="U20" s="530"/>
    </row>
    <row r="21" spans="1:25" ht="11.4" customHeight="1" thickBot="1">
      <c r="A21" s="90"/>
      <c r="B21" s="90"/>
      <c r="C21" s="90"/>
      <c r="D21" s="90"/>
      <c r="E21" s="90"/>
      <c r="F21" s="90"/>
      <c r="G21" s="90"/>
      <c r="H21" s="90"/>
      <c r="I21" s="90"/>
      <c r="J21" s="90"/>
      <c r="K21" s="90"/>
      <c r="L21" s="90"/>
      <c r="M21" s="90"/>
      <c r="N21" s="90"/>
      <c r="O21" s="530"/>
      <c r="P21" s="600" t="s">
        <v>1391</v>
      </c>
      <c r="Q21" s="672">
        <f>K19</f>
        <v>299.51258293898371</v>
      </c>
      <c r="R21" s="673">
        <f>K20</f>
        <v>6.4360506078781867</v>
      </c>
      <c r="S21" s="530"/>
      <c r="T21" s="530"/>
      <c r="U21" s="530"/>
    </row>
    <row r="22" spans="1:25" ht="11.4" customHeight="1" thickBot="1">
      <c r="A22" s="90"/>
      <c r="B22" s="754" t="s">
        <v>345</v>
      </c>
      <c r="C22" s="755"/>
      <c r="D22" s="755"/>
      <c r="E22" s="755"/>
      <c r="F22" s="755"/>
      <c r="G22" s="755"/>
      <c r="H22" s="755"/>
      <c r="I22" s="755"/>
      <c r="J22" s="626"/>
      <c r="K22" s="626"/>
      <c r="L22" s="626"/>
      <c r="M22" s="551"/>
      <c r="N22" s="549" t="s">
        <v>315</v>
      </c>
      <c r="O22" s="627"/>
      <c r="P22" s="600" t="s">
        <v>1392</v>
      </c>
      <c r="Q22" s="672">
        <f>L19</f>
        <v>299.51258293898371</v>
      </c>
      <c r="R22" s="673">
        <f>L20</f>
        <v>6.4360506078781867</v>
      </c>
      <c r="S22" s="530"/>
      <c r="T22" s="530"/>
      <c r="U22" s="530"/>
    </row>
    <row r="23" spans="1:25" ht="11.4" customHeight="1">
      <c r="A23" s="90"/>
      <c r="B23" s="229"/>
      <c r="C23" s="178"/>
      <c r="D23" s="178"/>
      <c r="E23" s="178"/>
      <c r="F23" s="178"/>
      <c r="G23" s="178"/>
      <c r="H23" s="230"/>
      <c r="I23" s="231"/>
      <c r="J23" s="552"/>
      <c r="K23" s="540"/>
      <c r="L23" s="552"/>
      <c r="M23" s="540"/>
      <c r="N23" s="232"/>
      <c r="O23" s="628" t="s">
        <v>347</v>
      </c>
      <c r="S23" s="530"/>
      <c r="T23" s="530"/>
      <c r="U23" s="530"/>
    </row>
    <row r="24" spans="1:25" ht="11.4" customHeight="1">
      <c r="A24" s="90"/>
      <c r="B24" s="237" t="s">
        <v>348</v>
      </c>
      <c r="C24" s="191"/>
      <c r="D24" s="191"/>
      <c r="E24" s="191"/>
      <c r="F24" s="191"/>
      <c r="G24" s="191"/>
      <c r="H24" s="191"/>
      <c r="I24" s="238"/>
      <c r="J24" s="553"/>
      <c r="K24" s="541"/>
      <c r="L24" s="553"/>
      <c r="M24" s="541"/>
      <c r="N24" s="239"/>
      <c r="O24" s="629"/>
      <c r="P24" s="600" t="s">
        <v>1385</v>
      </c>
      <c r="Q24" s="672">
        <f>E19</f>
        <v>340.66069749592856</v>
      </c>
      <c r="R24" s="673">
        <f>E20</f>
        <v>3.3425597023354841</v>
      </c>
      <c r="S24" s="530"/>
      <c r="T24" s="530"/>
      <c r="U24" s="530"/>
    </row>
    <row r="25" spans="1:25" ht="9.75" customHeight="1">
      <c r="A25" s="90"/>
      <c r="B25" s="190" t="s">
        <v>350</v>
      </c>
      <c r="C25" s="191" t="s">
        <v>224</v>
      </c>
      <c r="D25" s="197">
        <f>IF(Projectinformatie!C51=0,1,Projectinformatie!C51)</f>
        <v>27853.179600000003</v>
      </c>
      <c r="E25" s="197">
        <f>IF(Projectinformatie!C52=0,1,Projectinformatie!C52)</f>
        <v>66146.969400000002</v>
      </c>
      <c r="F25" s="197">
        <f>IF(Projectinformatie!C55=0,1,Projectinformatie!C55)</f>
        <v>70285.651000000013</v>
      </c>
      <c r="G25" s="197">
        <f>IF(Projectinformatie!C54=0,1,Projectinformatie!C54)</f>
        <v>4761.8</v>
      </c>
      <c r="H25" s="197">
        <f>IF(Projectinformatie!C53=0,1,Projectinformatie!C53)</f>
        <v>1</v>
      </c>
      <c r="I25" s="240">
        <f>IF(Projectinformatie!C56=0,1,Projectinformatie!C56)</f>
        <v>24830.1</v>
      </c>
      <c r="J25" s="240">
        <f>IF(Projectinformatie!C57=0,1,Projectinformatie!C57)</f>
        <v>1</v>
      </c>
      <c r="K25" s="240">
        <f>IF(Projectinformatie!C58=0,1,Projectinformatie!C58)</f>
        <v>1</v>
      </c>
      <c r="L25" s="240">
        <f>IF(Projectinformatie!C59=0,1,Projectinformatie!C59)</f>
        <v>1</v>
      </c>
      <c r="M25" s="240">
        <f>IF(Projectinformatie!C60=0,1,Projectinformatie!C60)</f>
        <v>1</v>
      </c>
      <c r="N25" s="241">
        <f>SUM(D25:M25)</f>
        <v>193882.7</v>
      </c>
      <c r="O25" s="630"/>
      <c r="P25" s="600" t="s">
        <v>1393</v>
      </c>
      <c r="Q25" s="672">
        <f>M19</f>
        <v>264.6482432795525</v>
      </c>
      <c r="R25" s="673">
        <f>M20</f>
        <v>3.3425597023354841</v>
      </c>
      <c r="S25" s="530"/>
      <c r="T25" s="530"/>
      <c r="U25" s="530"/>
    </row>
    <row r="26" spans="1:25" ht="9.75" customHeight="1">
      <c r="A26" s="90"/>
      <c r="B26" s="190"/>
      <c r="C26" s="191"/>
      <c r="D26" s="197"/>
      <c r="E26" s="197"/>
      <c r="F26" s="197"/>
      <c r="G26" s="197"/>
      <c r="H26" s="197"/>
      <c r="I26" s="240"/>
      <c r="J26" s="240"/>
      <c r="K26" s="240"/>
      <c r="L26" s="240"/>
      <c r="M26" s="240"/>
      <c r="N26" s="241"/>
      <c r="O26" s="631"/>
      <c r="Q26" s="530"/>
      <c r="R26" s="530"/>
      <c r="S26" s="530"/>
      <c r="T26" s="530"/>
      <c r="U26" s="530"/>
    </row>
    <row r="27" spans="1:25" ht="9.75" customHeight="1">
      <c r="A27" s="90"/>
      <c r="B27" s="237" t="s">
        <v>351</v>
      </c>
      <c r="C27" s="191"/>
      <c r="D27" s="197"/>
      <c r="E27" s="197"/>
      <c r="F27" s="197"/>
      <c r="G27" s="197"/>
      <c r="H27" s="197"/>
      <c r="I27" s="240"/>
      <c r="J27" s="240"/>
      <c r="K27" s="240"/>
      <c r="L27" s="240"/>
      <c r="M27" s="240"/>
      <c r="N27" s="241"/>
      <c r="O27" s="631"/>
      <c r="Q27" s="530"/>
      <c r="R27" s="530"/>
      <c r="S27" s="530"/>
      <c r="T27" s="530"/>
      <c r="U27" s="530"/>
    </row>
    <row r="28" spans="1:25" ht="9.75" customHeight="1">
      <c r="A28" s="90"/>
      <c r="B28" s="190" t="s">
        <v>347</v>
      </c>
      <c r="C28" s="191"/>
      <c r="D28" s="197">
        <f>Results!$C$51</f>
        <v>165</v>
      </c>
      <c r="E28" s="197"/>
      <c r="F28" s="197">
        <f>Results!$C$51</f>
        <v>165</v>
      </c>
      <c r="G28" s="197">
        <f>Results!$C$51</f>
        <v>165</v>
      </c>
      <c r="H28" s="197">
        <f>Results!$C$51</f>
        <v>165</v>
      </c>
      <c r="I28" s="197">
        <f>Results!$C$51</f>
        <v>165</v>
      </c>
      <c r="J28" s="197">
        <f>Results!$C$51</f>
        <v>165</v>
      </c>
      <c r="K28" s="197">
        <f>Results!$C$51</f>
        <v>165</v>
      </c>
      <c r="L28" s="197">
        <f>Results!$C$51</f>
        <v>165</v>
      </c>
      <c r="M28" s="240"/>
      <c r="N28" s="241"/>
      <c r="O28" s="631"/>
      <c r="P28" s="530"/>
      <c r="Q28" s="530"/>
      <c r="R28" s="530"/>
      <c r="S28" s="530"/>
      <c r="T28" s="530"/>
      <c r="U28" s="530"/>
    </row>
    <row r="29" spans="1:25" ht="9.75" customHeight="1">
      <c r="A29" s="90"/>
      <c r="B29" s="190" t="s">
        <v>349</v>
      </c>
      <c r="C29" s="191"/>
      <c r="D29" s="197">
        <f>Results!$C$52</f>
        <v>120</v>
      </c>
      <c r="E29" s="197"/>
      <c r="F29" s="197">
        <f>Results!$C$52</f>
        <v>120</v>
      </c>
      <c r="G29" s="197">
        <f>Results!$C$52</f>
        <v>120</v>
      </c>
      <c r="H29" s="197">
        <f>Results!$C$52</f>
        <v>120</v>
      </c>
      <c r="I29" s="197">
        <f>Results!$C$52</f>
        <v>120</v>
      </c>
      <c r="J29" s="197">
        <f>Results!$C$52</f>
        <v>120</v>
      </c>
      <c r="K29" s="197">
        <f>Results!$C$52</f>
        <v>120</v>
      </c>
      <c r="L29" s="197">
        <f>Results!$C$52</f>
        <v>120</v>
      </c>
      <c r="M29" s="240"/>
      <c r="N29" s="241"/>
      <c r="O29" s="631"/>
      <c r="P29" s="530">
        <v>307.1503746121474</v>
      </c>
      <c r="Q29" s="530">
        <v>264.15245195728954</v>
      </c>
      <c r="R29" s="530">
        <v>340.28101352480297</v>
      </c>
      <c r="S29" s="530">
        <v>297.40907005521956</v>
      </c>
      <c r="T29" s="530">
        <v>283.78012865960505</v>
      </c>
      <c r="U29" s="530">
        <v>311.52885132767051</v>
      </c>
      <c r="V29" s="634">
        <v>273.77464423322562</v>
      </c>
      <c r="W29" s="634">
        <v>272.93758567454876</v>
      </c>
      <c r="X29" s="634">
        <v>269.60821976882755</v>
      </c>
      <c r="Y29" s="634">
        <v>264.15245195728954</v>
      </c>
    </row>
    <row r="30" spans="1:25" ht="9.75" customHeight="1">
      <c r="A30" s="90"/>
      <c r="B30" s="210"/>
      <c r="C30" s="191"/>
      <c r="D30" s="191"/>
      <c r="E30" s="191"/>
      <c r="F30" s="191"/>
      <c r="G30" s="191"/>
      <c r="H30" s="191"/>
      <c r="I30" s="238"/>
      <c r="J30" s="238"/>
      <c r="K30" s="238"/>
      <c r="L30" s="238"/>
      <c r="M30" s="238"/>
      <c r="N30" s="244"/>
      <c r="O30" s="631"/>
      <c r="P30" s="530">
        <v>128.79079029777256</v>
      </c>
      <c r="Q30" s="530">
        <v>0</v>
      </c>
      <c r="R30" s="530">
        <v>150.90383523843914</v>
      </c>
      <c r="S30" s="530">
        <v>125.59503599999998</v>
      </c>
      <c r="T30" s="530">
        <v>120.36318</v>
      </c>
      <c r="U30" s="530">
        <v>117.604032</v>
      </c>
      <c r="V30" s="634">
        <v>104.38570799999999</v>
      </c>
      <c r="W30" s="634">
        <v>103.44423599999999</v>
      </c>
      <c r="X30" s="634">
        <v>103.44423599999999</v>
      </c>
      <c r="Y30" s="634">
        <v>0</v>
      </c>
    </row>
    <row r="31" spans="1:25" ht="9.75" customHeight="1">
      <c r="A31" s="90"/>
      <c r="B31" s="237" t="s">
        <v>352</v>
      </c>
      <c r="C31" s="191"/>
      <c r="D31" s="198"/>
      <c r="E31" s="198"/>
      <c r="F31" s="198"/>
      <c r="G31" s="198"/>
      <c r="H31" s="198"/>
      <c r="I31" s="245"/>
      <c r="J31" s="245"/>
      <c r="K31" s="245"/>
      <c r="L31" s="245"/>
      <c r="M31" s="245"/>
      <c r="N31" s="244"/>
      <c r="O31" s="631"/>
      <c r="P31" s="530">
        <v>0</v>
      </c>
      <c r="Q31" s="530">
        <v>97.98899999999999</v>
      </c>
      <c r="R31" s="530">
        <v>0</v>
      </c>
      <c r="S31" s="530">
        <v>0</v>
      </c>
      <c r="T31" s="530">
        <v>0</v>
      </c>
      <c r="U31" s="530">
        <v>0</v>
      </c>
      <c r="V31" s="634">
        <v>0</v>
      </c>
      <c r="W31" s="634">
        <v>0</v>
      </c>
      <c r="X31" s="634">
        <v>0</v>
      </c>
      <c r="Y31" s="634">
        <v>97.98899999999999</v>
      </c>
    </row>
    <row r="32" spans="1:25" ht="9.75" customHeight="1">
      <c r="A32" s="90"/>
      <c r="B32" s="190" t="s">
        <v>353</v>
      </c>
      <c r="C32" s="191" t="s">
        <v>354</v>
      </c>
      <c r="D32" s="192">
        <v>583</v>
      </c>
      <c r="E32" s="192">
        <v>0</v>
      </c>
      <c r="F32" s="192">
        <v>592</v>
      </c>
      <c r="G32" s="192">
        <v>592</v>
      </c>
      <c r="H32" s="192">
        <v>784</v>
      </c>
      <c r="I32" s="193">
        <v>321</v>
      </c>
      <c r="J32" s="193">
        <f>D32</f>
        <v>583</v>
      </c>
      <c r="K32" s="193">
        <f>F32</f>
        <v>592</v>
      </c>
      <c r="L32" s="193">
        <f>G32</f>
        <v>592</v>
      </c>
      <c r="M32" s="193">
        <f>E32</f>
        <v>0</v>
      </c>
      <c r="N32" s="244"/>
      <c r="O32" s="631"/>
      <c r="P32" s="530">
        <v>92.35441481145692</v>
      </c>
      <c r="Q32" s="530">
        <v>0</v>
      </c>
      <c r="R32" s="530">
        <v>91.549116526157164</v>
      </c>
      <c r="S32" s="530">
        <v>87.190430894999992</v>
      </c>
      <c r="T32" s="530">
        <v>80.158623239999997</v>
      </c>
      <c r="U32" s="530">
        <v>104.31178692749999</v>
      </c>
      <c r="V32" s="634">
        <v>91.536139619999986</v>
      </c>
      <c r="W32" s="634">
        <v>89.720103892499978</v>
      </c>
      <c r="X32" s="634">
        <v>86.872004145000005</v>
      </c>
      <c r="Y32" s="634">
        <v>0</v>
      </c>
    </row>
    <row r="33" spans="1:55" ht="9.75" customHeight="1">
      <c r="A33" s="90"/>
      <c r="B33" s="190" t="s">
        <v>355</v>
      </c>
      <c r="C33" s="191" t="s">
        <v>354</v>
      </c>
      <c r="D33" s="192">
        <f>304*DB_Overig!C4</f>
        <v>228</v>
      </c>
      <c r="E33" s="192">
        <v>0</v>
      </c>
      <c r="F33" s="192">
        <f>287*DB_Overig!C6</f>
        <v>215.25</v>
      </c>
      <c r="G33" s="192">
        <f>287*DB_Overig!C7</f>
        <v>143.5</v>
      </c>
      <c r="H33" s="192">
        <f>111*DB_Overig!C8</f>
        <v>111</v>
      </c>
      <c r="I33" s="193">
        <f>527*DB_Overig!C9</f>
        <v>395.25</v>
      </c>
      <c r="J33" s="193">
        <f t="shared" ref="J33:J38" si="8">D33</f>
        <v>228</v>
      </c>
      <c r="K33" s="193">
        <f t="shared" ref="K33:L38" si="9">F33</f>
        <v>215.25</v>
      </c>
      <c r="L33" s="193">
        <f t="shared" si="9"/>
        <v>143.5</v>
      </c>
      <c r="M33" s="193">
        <f t="shared" ref="M33:M38" si="10">E33</f>
        <v>0</v>
      </c>
      <c r="N33" s="244"/>
      <c r="O33" s="631"/>
      <c r="P33" s="530">
        <v>0</v>
      </c>
      <c r="Q33" s="530">
        <v>93.639630000000011</v>
      </c>
      <c r="R33" s="530">
        <v>0</v>
      </c>
      <c r="S33" s="530">
        <v>0</v>
      </c>
      <c r="T33" s="530">
        <v>0</v>
      </c>
      <c r="U33" s="530">
        <v>0</v>
      </c>
      <c r="V33" s="634">
        <v>0</v>
      </c>
      <c r="W33" s="634">
        <v>0</v>
      </c>
      <c r="X33" s="634">
        <v>0</v>
      </c>
      <c r="Y33" s="634">
        <v>93.639630000000011</v>
      </c>
    </row>
    <row r="34" spans="1:55" ht="9.75" customHeight="1">
      <c r="A34" s="90"/>
      <c r="B34" s="190" t="s">
        <v>357</v>
      </c>
      <c r="C34" s="191" t="s">
        <v>354</v>
      </c>
      <c r="D34" s="192">
        <f>304*DB_Overig!D4</f>
        <v>76</v>
      </c>
      <c r="E34" s="192">
        <v>0</v>
      </c>
      <c r="F34" s="192">
        <f>287*DB_Overig!D6</f>
        <v>71.75</v>
      </c>
      <c r="G34" s="192">
        <f>287*DB_Overig!D7</f>
        <v>143.5</v>
      </c>
      <c r="H34" s="192">
        <f>111*DB_Overig!D8</f>
        <v>0</v>
      </c>
      <c r="I34" s="193">
        <f>527*DB_Overig!D9</f>
        <v>131.75</v>
      </c>
      <c r="J34" s="193">
        <f t="shared" si="8"/>
        <v>76</v>
      </c>
      <c r="K34" s="193">
        <f t="shared" si="9"/>
        <v>71.75</v>
      </c>
      <c r="L34" s="193">
        <f t="shared" si="9"/>
        <v>143.5</v>
      </c>
      <c r="M34" s="193">
        <f t="shared" si="10"/>
        <v>0</v>
      </c>
      <c r="N34" s="244"/>
      <c r="O34" s="631"/>
      <c r="P34" s="530">
        <v>38.660792070684508</v>
      </c>
      <c r="Q34" s="530">
        <v>34.268691274078229</v>
      </c>
      <c r="R34" s="530">
        <v>47.792878724887473</v>
      </c>
      <c r="S34" s="530">
        <v>35.012894812718066</v>
      </c>
      <c r="T34" s="530">
        <v>32.994963927508927</v>
      </c>
      <c r="U34" s="530">
        <v>36.515253314836819</v>
      </c>
      <c r="V34" s="634">
        <v>30.838871957021247</v>
      </c>
      <c r="W34" s="634">
        <v>30.404829359108401</v>
      </c>
      <c r="X34" s="634">
        <v>29.956527219755714</v>
      </c>
      <c r="Y34" s="634">
        <v>34.268691274078229</v>
      </c>
    </row>
    <row r="35" spans="1:55" ht="9.75" customHeight="1">
      <c r="A35" s="90"/>
      <c r="B35" s="190" t="s">
        <v>358</v>
      </c>
      <c r="C35" s="191" t="s">
        <v>354</v>
      </c>
      <c r="D35" s="192">
        <v>0</v>
      </c>
      <c r="E35" s="192">
        <v>1000</v>
      </c>
      <c r="F35" s="192">
        <v>0</v>
      </c>
      <c r="G35" s="192">
        <v>0</v>
      </c>
      <c r="H35" s="192">
        <v>0</v>
      </c>
      <c r="I35" s="193">
        <v>0</v>
      </c>
      <c r="J35" s="193">
        <f t="shared" si="8"/>
        <v>0</v>
      </c>
      <c r="K35" s="193">
        <f t="shared" si="9"/>
        <v>0</v>
      </c>
      <c r="L35" s="193">
        <f t="shared" si="9"/>
        <v>0</v>
      </c>
      <c r="M35" s="193">
        <f t="shared" si="10"/>
        <v>1000</v>
      </c>
      <c r="N35" s="244"/>
      <c r="O35" s="530"/>
      <c r="P35" s="530">
        <v>2.8353168286512478</v>
      </c>
      <c r="Q35" s="530">
        <v>2.4962300695928894</v>
      </c>
      <c r="R35" s="530">
        <v>3.1397151617469454</v>
      </c>
      <c r="S35" s="530">
        <v>2.7152404739292879</v>
      </c>
      <c r="T35" s="530">
        <v>2.5724245285271965</v>
      </c>
      <c r="U35" s="530">
        <v>2.821567579275476</v>
      </c>
      <c r="V35" s="634">
        <v>2.5048640526223194</v>
      </c>
      <c r="W35" s="634">
        <v>2.4729485493681906</v>
      </c>
      <c r="X35" s="634">
        <v>2.4399845304996641</v>
      </c>
      <c r="Y35" s="634">
        <v>2.4962300695928894</v>
      </c>
    </row>
    <row r="36" spans="1:55" ht="9.75" customHeight="1">
      <c r="A36" s="90"/>
      <c r="B36" s="190" t="s">
        <v>359</v>
      </c>
      <c r="C36" s="191" t="s">
        <v>354</v>
      </c>
      <c r="D36" s="192">
        <v>44</v>
      </c>
      <c r="E36" s="192">
        <v>0</v>
      </c>
      <c r="F36" s="192">
        <v>56</v>
      </c>
      <c r="G36" s="192">
        <v>56</v>
      </c>
      <c r="H36" s="192">
        <v>60</v>
      </c>
      <c r="I36" s="193">
        <v>73</v>
      </c>
      <c r="J36" s="193">
        <f t="shared" si="8"/>
        <v>44</v>
      </c>
      <c r="K36" s="193">
        <f t="shared" si="9"/>
        <v>56</v>
      </c>
      <c r="L36" s="193">
        <f t="shared" si="9"/>
        <v>56</v>
      </c>
      <c r="M36" s="193">
        <f t="shared" si="10"/>
        <v>0</v>
      </c>
      <c r="N36" s="248"/>
      <c r="O36" s="530"/>
      <c r="P36" s="530">
        <v>0</v>
      </c>
      <c r="Q36" s="530">
        <v>0</v>
      </c>
      <c r="R36" s="530">
        <v>0</v>
      </c>
      <c r="S36" s="530">
        <v>0</v>
      </c>
      <c r="T36" s="530">
        <v>0</v>
      </c>
      <c r="U36" s="530">
        <v>0</v>
      </c>
      <c r="V36" s="634">
        <v>0</v>
      </c>
      <c r="W36" s="634">
        <v>0</v>
      </c>
      <c r="X36" s="634">
        <v>0</v>
      </c>
      <c r="Y36" s="634">
        <v>0</v>
      </c>
    </row>
    <row r="37" spans="1:55" ht="9.75" customHeight="1">
      <c r="A37" s="90"/>
      <c r="B37" s="190" t="s">
        <v>360</v>
      </c>
      <c r="C37" s="191" t="s">
        <v>354</v>
      </c>
      <c r="D37" s="192">
        <v>69</v>
      </c>
      <c r="E37" s="192">
        <v>0</v>
      </c>
      <c r="F37" s="192">
        <v>65</v>
      </c>
      <c r="G37" s="192">
        <v>65</v>
      </c>
      <c r="H37" s="192">
        <v>45</v>
      </c>
      <c r="I37" s="193">
        <v>79</v>
      </c>
      <c r="J37" s="193">
        <f t="shared" si="8"/>
        <v>69</v>
      </c>
      <c r="K37" s="193">
        <f t="shared" si="9"/>
        <v>65</v>
      </c>
      <c r="L37" s="193">
        <f t="shared" si="9"/>
        <v>65</v>
      </c>
      <c r="M37" s="193">
        <f t="shared" si="10"/>
        <v>0</v>
      </c>
      <c r="N37" s="248"/>
      <c r="O37" s="530"/>
      <c r="P37" s="530">
        <v>8.7501599899636471</v>
      </c>
      <c r="Q37" s="530">
        <v>0</v>
      </c>
      <c r="R37" s="530">
        <v>11.136567259953729</v>
      </c>
      <c r="S37" s="530">
        <v>11.136567259953729</v>
      </c>
      <c r="T37" s="530">
        <v>11.932036349950426</v>
      </c>
      <c r="U37" s="530">
        <v>14.517310892439683</v>
      </c>
      <c r="V37" s="634">
        <v>8.7501599899636471</v>
      </c>
      <c r="W37" s="634">
        <v>11.136567259953729</v>
      </c>
      <c r="X37" s="634">
        <v>11.136567259953729</v>
      </c>
      <c r="Y37" s="634">
        <v>0</v>
      </c>
    </row>
    <row r="38" spans="1:55" ht="9.75" customHeight="1">
      <c r="A38" s="90"/>
      <c r="B38" s="190" t="s">
        <v>361</v>
      </c>
      <c r="C38" s="191" t="s">
        <v>354</v>
      </c>
      <c r="D38" s="192">
        <f t="shared" ref="D38:I38" si="11">SUM(D32:D37)</f>
        <v>1000</v>
      </c>
      <c r="E38" s="192">
        <f t="shared" si="11"/>
        <v>1000</v>
      </c>
      <c r="F38" s="192">
        <f t="shared" si="11"/>
        <v>1000</v>
      </c>
      <c r="G38" s="192">
        <f t="shared" si="11"/>
        <v>1000</v>
      </c>
      <c r="H38" s="192">
        <f t="shared" si="11"/>
        <v>1000</v>
      </c>
      <c r="I38" s="193">
        <f t="shared" si="11"/>
        <v>1000</v>
      </c>
      <c r="J38" s="193">
        <f t="shared" si="8"/>
        <v>1000</v>
      </c>
      <c r="K38" s="193">
        <f t="shared" si="9"/>
        <v>1000</v>
      </c>
      <c r="L38" s="193">
        <f t="shared" si="9"/>
        <v>1000</v>
      </c>
      <c r="M38" s="193">
        <f t="shared" si="10"/>
        <v>1000</v>
      </c>
      <c r="N38" s="244"/>
      <c r="O38" s="632"/>
      <c r="P38" s="530">
        <v>15.473273272963498</v>
      </c>
      <c r="Q38" s="530">
        <v>15.473273272963498</v>
      </c>
      <c r="R38" s="530">
        <v>15.473273272963498</v>
      </c>
      <c r="S38" s="530">
        <v>15.473273272963498</v>
      </c>
      <c r="T38" s="530">
        <v>15.473273272963498</v>
      </c>
      <c r="U38" s="530">
        <v>15.473273272963498</v>
      </c>
      <c r="V38" s="634">
        <v>15.473273272963498</v>
      </c>
      <c r="W38" s="634">
        <v>15.473273272963498</v>
      </c>
      <c r="X38" s="634">
        <v>15.473273272963498</v>
      </c>
      <c r="Y38" s="634">
        <v>15.473273272963498</v>
      </c>
    </row>
    <row r="39" spans="1:55" ht="9.75" customHeight="1">
      <c r="A39" s="90"/>
      <c r="B39" s="190"/>
      <c r="C39" s="191"/>
      <c r="D39" s="192"/>
      <c r="E39" s="192"/>
      <c r="F39" s="192"/>
      <c r="G39" s="192"/>
      <c r="H39" s="192"/>
      <c r="I39" s="193"/>
      <c r="J39" s="193"/>
      <c r="K39" s="193"/>
      <c r="L39" s="193"/>
      <c r="M39" s="193"/>
      <c r="N39" s="244"/>
      <c r="O39" s="530"/>
      <c r="P39" s="530">
        <v>8.2524124122471978</v>
      </c>
      <c r="Q39" s="530">
        <v>8.2524124122471978</v>
      </c>
      <c r="R39" s="530">
        <v>8.2524124122471978</v>
      </c>
      <c r="S39" s="530">
        <v>8.2524124122471978</v>
      </c>
      <c r="T39" s="530">
        <v>8.2524124122471978</v>
      </c>
      <c r="U39" s="530">
        <v>8.2524124122471978</v>
      </c>
      <c r="V39" s="634">
        <v>8.2524124122471978</v>
      </c>
      <c r="W39" s="634">
        <v>8.2524124122471978</v>
      </c>
      <c r="X39" s="634">
        <v>8.2524124122471978</v>
      </c>
      <c r="Y39" s="634">
        <v>8.2524124122471978</v>
      </c>
    </row>
    <row r="40" spans="1:55" ht="9.75" customHeight="1">
      <c r="A40" s="90"/>
      <c r="B40" s="190" t="s">
        <v>364</v>
      </c>
      <c r="C40" s="191" t="s">
        <v>241</v>
      </c>
      <c r="D40" s="249">
        <f t="shared" ref="D40:M46" si="12">D32/D$38</f>
        <v>0.58299999999999996</v>
      </c>
      <c r="E40" s="249">
        <f t="shared" si="12"/>
        <v>0</v>
      </c>
      <c r="F40" s="249">
        <f t="shared" si="12"/>
        <v>0.59199999999999997</v>
      </c>
      <c r="G40" s="249">
        <f t="shared" si="12"/>
        <v>0.59199999999999997</v>
      </c>
      <c r="H40" s="249">
        <f t="shared" si="12"/>
        <v>0.78400000000000003</v>
      </c>
      <c r="I40" s="250">
        <f t="shared" si="12"/>
        <v>0.32100000000000001</v>
      </c>
      <c r="J40" s="250">
        <f t="shared" si="12"/>
        <v>0.58299999999999996</v>
      </c>
      <c r="K40" s="250">
        <f t="shared" si="12"/>
        <v>0.59199999999999997</v>
      </c>
      <c r="L40" s="250">
        <f t="shared" si="12"/>
        <v>0.59199999999999997</v>
      </c>
      <c r="M40" s="250">
        <f t="shared" si="12"/>
        <v>0</v>
      </c>
      <c r="N40" s="244"/>
      <c r="O40" s="530"/>
      <c r="P40" s="530">
        <v>12.033214928407743</v>
      </c>
      <c r="Q40" s="530">
        <v>12.033214928407743</v>
      </c>
      <c r="R40" s="530">
        <v>12.033214928407743</v>
      </c>
      <c r="S40" s="530">
        <v>12.033214928407743</v>
      </c>
      <c r="T40" s="530">
        <v>12.033214928407743</v>
      </c>
      <c r="U40" s="530">
        <v>12.033214928407743</v>
      </c>
      <c r="V40" s="634">
        <v>12.033214928407743</v>
      </c>
      <c r="W40" s="634">
        <v>12.033214928407743</v>
      </c>
      <c r="X40" s="634">
        <v>12.033214928407743</v>
      </c>
      <c r="Y40" s="634">
        <v>12.033214928407743</v>
      </c>
    </row>
    <row r="41" spans="1:55" ht="9.75" customHeight="1">
      <c r="A41" s="90"/>
      <c r="B41" s="190" t="s">
        <v>366</v>
      </c>
      <c r="C41" s="191" t="s">
        <v>241</v>
      </c>
      <c r="D41" s="249">
        <f t="shared" si="12"/>
        <v>0.22800000000000001</v>
      </c>
      <c r="E41" s="249">
        <f t="shared" si="12"/>
        <v>0</v>
      </c>
      <c r="F41" s="249">
        <f t="shared" si="12"/>
        <v>0.21525</v>
      </c>
      <c r="G41" s="249">
        <f t="shared" si="12"/>
        <v>0.14349999999999999</v>
      </c>
      <c r="H41" s="249">
        <f t="shared" si="12"/>
        <v>0.111</v>
      </c>
      <c r="I41" s="250">
        <f t="shared" si="12"/>
        <v>0.39524999999999999</v>
      </c>
      <c r="J41" s="250">
        <f t="shared" si="12"/>
        <v>0.22800000000000001</v>
      </c>
      <c r="K41" s="250">
        <f t="shared" si="12"/>
        <v>0.21525</v>
      </c>
      <c r="L41" s="250">
        <f t="shared" si="12"/>
        <v>0.14349999999999999</v>
      </c>
      <c r="M41" s="250">
        <f t="shared" si="12"/>
        <v>0</v>
      </c>
      <c r="N41" s="244"/>
      <c r="O41" s="530"/>
      <c r="P41" s="689" t="b">
        <f>P29=D4</f>
        <v>0</v>
      </c>
      <c r="Q41" s="689" t="b">
        <f t="shared" ref="Q41:Y52" si="13">Q29=E4</f>
        <v>0</v>
      </c>
      <c r="R41" s="689" t="b">
        <f t="shared" si="13"/>
        <v>0</v>
      </c>
      <c r="S41" s="689" t="b">
        <f t="shared" si="13"/>
        <v>0</v>
      </c>
      <c r="T41" s="689" t="b">
        <f t="shared" si="13"/>
        <v>0</v>
      </c>
      <c r="U41" s="689" t="b">
        <f t="shared" si="13"/>
        <v>0</v>
      </c>
      <c r="V41" s="689" t="b">
        <f t="shared" si="13"/>
        <v>0</v>
      </c>
      <c r="W41" s="689" t="b">
        <f t="shared" si="13"/>
        <v>0</v>
      </c>
      <c r="X41" s="689" t="b">
        <f t="shared" si="13"/>
        <v>0</v>
      </c>
      <c r="Y41" s="689" t="b">
        <f t="shared" si="13"/>
        <v>0</v>
      </c>
    </row>
    <row r="42" spans="1:55" ht="9.75" customHeight="1">
      <c r="A42" s="90"/>
      <c r="B42" s="190" t="s">
        <v>368</v>
      </c>
      <c r="C42" s="191" t="s">
        <v>241</v>
      </c>
      <c r="D42" s="249">
        <f t="shared" si="12"/>
        <v>7.5999999999999998E-2</v>
      </c>
      <c r="E42" s="249">
        <f t="shared" si="12"/>
        <v>0</v>
      </c>
      <c r="F42" s="249">
        <f t="shared" si="12"/>
        <v>7.1749999999999994E-2</v>
      </c>
      <c r="G42" s="249">
        <f t="shared" si="12"/>
        <v>0.14349999999999999</v>
      </c>
      <c r="H42" s="249">
        <f t="shared" si="12"/>
        <v>0</v>
      </c>
      <c r="I42" s="250">
        <f t="shared" si="12"/>
        <v>0.13175000000000001</v>
      </c>
      <c r="J42" s="250">
        <f t="shared" si="12"/>
        <v>7.5999999999999998E-2</v>
      </c>
      <c r="K42" s="250">
        <f t="shared" si="12"/>
        <v>7.1749999999999994E-2</v>
      </c>
      <c r="L42" s="250">
        <f t="shared" si="12"/>
        <v>0.14349999999999999</v>
      </c>
      <c r="M42" s="250">
        <f t="shared" si="12"/>
        <v>0</v>
      </c>
      <c r="N42" s="244"/>
      <c r="O42" s="530"/>
      <c r="P42" s="689" t="b">
        <f t="shared" ref="P42:P52" si="14">P30=D5</f>
        <v>0</v>
      </c>
      <c r="Q42" s="689" t="b">
        <f t="shared" si="13"/>
        <v>1</v>
      </c>
      <c r="R42" s="689" t="b">
        <f t="shared" si="13"/>
        <v>0</v>
      </c>
      <c r="S42" s="689" t="b">
        <f t="shared" si="13"/>
        <v>0</v>
      </c>
      <c r="T42" s="689" t="b">
        <f t="shared" si="13"/>
        <v>0</v>
      </c>
      <c r="U42" s="689" t="b">
        <f t="shared" si="13"/>
        <v>1</v>
      </c>
      <c r="V42" s="689" t="b">
        <f t="shared" si="13"/>
        <v>0</v>
      </c>
      <c r="W42" s="689" t="b">
        <f t="shared" si="13"/>
        <v>0</v>
      </c>
      <c r="X42" s="689" t="b">
        <f t="shared" si="13"/>
        <v>0</v>
      </c>
      <c r="Y42" s="689" t="b">
        <f t="shared" si="13"/>
        <v>1</v>
      </c>
    </row>
    <row r="43" spans="1:55" ht="9.75" customHeight="1">
      <c r="A43" s="90"/>
      <c r="B43" s="190" t="s">
        <v>370</v>
      </c>
      <c r="C43" s="191" t="s">
        <v>241</v>
      </c>
      <c r="D43" s="249">
        <f t="shared" si="12"/>
        <v>0</v>
      </c>
      <c r="E43" s="249">
        <f t="shared" si="12"/>
        <v>1</v>
      </c>
      <c r="F43" s="249">
        <f t="shared" si="12"/>
        <v>0</v>
      </c>
      <c r="G43" s="249">
        <f t="shared" si="12"/>
        <v>0</v>
      </c>
      <c r="H43" s="249">
        <f t="shared" si="12"/>
        <v>0</v>
      </c>
      <c r="I43" s="250">
        <f t="shared" si="12"/>
        <v>0</v>
      </c>
      <c r="J43" s="250">
        <f t="shared" si="12"/>
        <v>0</v>
      </c>
      <c r="K43" s="250">
        <f t="shared" si="12"/>
        <v>0</v>
      </c>
      <c r="L43" s="250">
        <f t="shared" si="12"/>
        <v>0</v>
      </c>
      <c r="M43" s="250">
        <f t="shared" si="12"/>
        <v>1</v>
      </c>
      <c r="N43" s="244"/>
      <c r="O43" s="530"/>
      <c r="P43" s="689" t="b">
        <f t="shared" si="14"/>
        <v>1</v>
      </c>
      <c r="Q43" s="689" t="b">
        <f t="shared" si="13"/>
        <v>0</v>
      </c>
      <c r="R43" s="689" t="b">
        <f t="shared" si="13"/>
        <v>1</v>
      </c>
      <c r="S43" s="689" t="b">
        <f t="shared" si="13"/>
        <v>1</v>
      </c>
      <c r="T43" s="689" t="b">
        <f t="shared" si="13"/>
        <v>1</v>
      </c>
      <c r="U43" s="689" t="b">
        <f t="shared" si="13"/>
        <v>1</v>
      </c>
      <c r="V43" s="689" t="b">
        <f t="shared" si="13"/>
        <v>1</v>
      </c>
      <c r="W43" s="689" t="b">
        <f t="shared" si="13"/>
        <v>1</v>
      </c>
      <c r="X43" s="689" t="b">
        <f t="shared" si="13"/>
        <v>1</v>
      </c>
      <c r="Y43" s="689" t="b">
        <f t="shared" si="13"/>
        <v>0</v>
      </c>
    </row>
    <row r="44" spans="1:55" ht="9.75" customHeight="1">
      <c r="A44" s="90"/>
      <c r="B44" s="190" t="s">
        <v>372</v>
      </c>
      <c r="C44" s="191" t="s">
        <v>241</v>
      </c>
      <c r="D44" s="249">
        <f t="shared" si="12"/>
        <v>4.3999999999999997E-2</v>
      </c>
      <c r="E44" s="249">
        <f t="shared" si="12"/>
        <v>0</v>
      </c>
      <c r="F44" s="249">
        <f t="shared" si="12"/>
        <v>5.6000000000000001E-2</v>
      </c>
      <c r="G44" s="249">
        <f t="shared" si="12"/>
        <v>5.6000000000000001E-2</v>
      </c>
      <c r="H44" s="249">
        <f t="shared" si="12"/>
        <v>0.06</v>
      </c>
      <c r="I44" s="250">
        <f t="shared" si="12"/>
        <v>7.2999999999999995E-2</v>
      </c>
      <c r="J44" s="250">
        <f t="shared" si="12"/>
        <v>4.3999999999999997E-2</v>
      </c>
      <c r="K44" s="250">
        <f t="shared" si="12"/>
        <v>5.6000000000000001E-2</v>
      </c>
      <c r="L44" s="250">
        <f t="shared" si="12"/>
        <v>5.6000000000000001E-2</v>
      </c>
      <c r="M44" s="250">
        <f t="shared" si="12"/>
        <v>0</v>
      </c>
      <c r="N44" s="244"/>
      <c r="O44" s="530"/>
      <c r="P44" s="689" t="b">
        <f t="shared" si="14"/>
        <v>0</v>
      </c>
      <c r="Q44" s="689" t="b">
        <f t="shared" si="13"/>
        <v>1</v>
      </c>
      <c r="R44" s="689" t="b">
        <f t="shared" si="13"/>
        <v>0</v>
      </c>
      <c r="S44" s="689" t="b">
        <f t="shared" si="13"/>
        <v>0</v>
      </c>
      <c r="T44" s="689" t="b">
        <f t="shared" si="13"/>
        <v>0</v>
      </c>
      <c r="U44" s="689" t="b">
        <f t="shared" si="13"/>
        <v>0</v>
      </c>
      <c r="V44" s="689" t="b">
        <f t="shared" si="13"/>
        <v>1</v>
      </c>
      <c r="W44" s="689" t="b">
        <f t="shared" si="13"/>
        <v>0</v>
      </c>
      <c r="X44" s="689" t="b">
        <f t="shared" si="13"/>
        <v>0</v>
      </c>
      <c r="Y44" s="689" t="b">
        <f t="shared" si="13"/>
        <v>1</v>
      </c>
    </row>
    <row r="45" spans="1:55" ht="9.75" customHeight="1">
      <c r="A45" s="90"/>
      <c r="B45" s="190" t="s">
        <v>374</v>
      </c>
      <c r="C45" s="191" t="s">
        <v>241</v>
      </c>
      <c r="D45" s="249">
        <f t="shared" si="12"/>
        <v>6.9000000000000006E-2</v>
      </c>
      <c r="E45" s="249">
        <f t="shared" si="12"/>
        <v>0</v>
      </c>
      <c r="F45" s="249">
        <f t="shared" si="12"/>
        <v>6.5000000000000002E-2</v>
      </c>
      <c r="G45" s="249">
        <f t="shared" si="12"/>
        <v>6.5000000000000002E-2</v>
      </c>
      <c r="H45" s="249">
        <f t="shared" si="12"/>
        <v>4.4999999999999998E-2</v>
      </c>
      <c r="I45" s="250">
        <f t="shared" si="12"/>
        <v>7.9000000000000001E-2</v>
      </c>
      <c r="J45" s="250">
        <f t="shared" si="12"/>
        <v>6.9000000000000006E-2</v>
      </c>
      <c r="K45" s="250">
        <f t="shared" si="12"/>
        <v>6.5000000000000002E-2</v>
      </c>
      <c r="L45" s="250">
        <f t="shared" si="12"/>
        <v>6.5000000000000002E-2</v>
      </c>
      <c r="M45" s="250">
        <f t="shared" si="12"/>
        <v>0</v>
      </c>
      <c r="N45" s="244"/>
      <c r="O45" s="530"/>
      <c r="P45" s="689" t="b">
        <f t="shared" si="14"/>
        <v>1</v>
      </c>
      <c r="Q45" s="689" t="b">
        <f t="shared" si="13"/>
        <v>0</v>
      </c>
      <c r="R45" s="689" t="b">
        <f t="shared" si="13"/>
        <v>1</v>
      </c>
      <c r="S45" s="689" t="b">
        <f t="shared" si="13"/>
        <v>1</v>
      </c>
      <c r="T45" s="689" t="b">
        <f t="shared" si="13"/>
        <v>1</v>
      </c>
      <c r="U45" s="689" t="b">
        <f t="shared" si="13"/>
        <v>1</v>
      </c>
      <c r="V45" s="689" t="b">
        <f t="shared" si="13"/>
        <v>1</v>
      </c>
      <c r="W45" s="689" t="b">
        <f t="shared" si="13"/>
        <v>1</v>
      </c>
      <c r="X45" s="689" t="b">
        <f t="shared" si="13"/>
        <v>1</v>
      </c>
      <c r="Y45" s="689" t="b">
        <f t="shared" si="13"/>
        <v>0</v>
      </c>
    </row>
    <row r="46" spans="1:55" ht="9.75" customHeight="1">
      <c r="A46" s="90"/>
      <c r="B46" s="190" t="s">
        <v>339</v>
      </c>
      <c r="C46" s="191" t="s">
        <v>241</v>
      </c>
      <c r="D46" s="249">
        <f t="shared" si="12"/>
        <v>1</v>
      </c>
      <c r="E46" s="249">
        <f t="shared" si="12"/>
        <v>1</v>
      </c>
      <c r="F46" s="249">
        <f t="shared" si="12"/>
        <v>1</v>
      </c>
      <c r="G46" s="249">
        <f t="shared" si="12"/>
        <v>1</v>
      </c>
      <c r="H46" s="249">
        <f t="shared" si="12"/>
        <v>1</v>
      </c>
      <c r="I46" s="250">
        <f t="shared" si="12"/>
        <v>1</v>
      </c>
      <c r="J46" s="250">
        <f t="shared" si="12"/>
        <v>1</v>
      </c>
      <c r="K46" s="250">
        <f t="shared" si="12"/>
        <v>1</v>
      </c>
      <c r="L46" s="250">
        <f t="shared" si="12"/>
        <v>1</v>
      </c>
      <c r="M46" s="250">
        <f t="shared" si="12"/>
        <v>1</v>
      </c>
      <c r="N46" s="244"/>
      <c r="O46" s="530"/>
      <c r="P46" s="689" t="b">
        <f t="shared" si="14"/>
        <v>0</v>
      </c>
      <c r="Q46" s="689" t="b">
        <f t="shared" si="13"/>
        <v>0</v>
      </c>
      <c r="R46" s="689" t="b">
        <f t="shared" si="13"/>
        <v>0</v>
      </c>
      <c r="S46" s="689" t="b">
        <f t="shared" si="13"/>
        <v>0</v>
      </c>
      <c r="T46" s="689" t="b">
        <f t="shared" si="13"/>
        <v>0</v>
      </c>
      <c r="U46" s="689" t="b">
        <f t="shared" si="13"/>
        <v>0</v>
      </c>
      <c r="V46" s="689" t="b">
        <f t="shared" si="13"/>
        <v>0</v>
      </c>
      <c r="W46" s="689" t="b">
        <f t="shared" si="13"/>
        <v>0</v>
      </c>
      <c r="X46" s="689" t="b">
        <f t="shared" si="13"/>
        <v>0</v>
      </c>
      <c r="Y46" s="689" t="b">
        <f t="shared" si="13"/>
        <v>0</v>
      </c>
    </row>
    <row r="47" spans="1:55" ht="9.75" customHeight="1">
      <c r="A47" s="90"/>
      <c r="B47" s="190"/>
      <c r="C47" s="191"/>
      <c r="D47" s="249"/>
      <c r="E47" s="249"/>
      <c r="F47" s="249"/>
      <c r="G47" s="249"/>
      <c r="H47" s="249"/>
      <c r="I47" s="250"/>
      <c r="J47" s="250"/>
      <c r="K47" s="250"/>
      <c r="L47" s="250"/>
      <c r="M47" s="250"/>
      <c r="N47" s="244"/>
      <c r="O47" s="530"/>
      <c r="P47" s="689" t="b">
        <f t="shared" si="14"/>
        <v>0</v>
      </c>
      <c r="Q47" s="689" t="b">
        <f t="shared" si="13"/>
        <v>0</v>
      </c>
      <c r="R47" s="689" t="b">
        <f t="shared" si="13"/>
        <v>0</v>
      </c>
      <c r="S47" s="689" t="b">
        <f t="shared" si="13"/>
        <v>0</v>
      </c>
      <c r="T47" s="689" t="b">
        <f t="shared" si="13"/>
        <v>0</v>
      </c>
      <c r="U47" s="689" t="b">
        <f t="shared" si="13"/>
        <v>0</v>
      </c>
      <c r="V47" s="689" t="b">
        <f t="shared" si="13"/>
        <v>0</v>
      </c>
      <c r="W47" s="689" t="b">
        <f t="shared" si="13"/>
        <v>0</v>
      </c>
      <c r="X47" s="689" t="b">
        <f t="shared" si="13"/>
        <v>0</v>
      </c>
      <c r="Y47" s="689" t="b">
        <f t="shared" si="13"/>
        <v>0</v>
      </c>
    </row>
    <row r="48" spans="1:55" s="618" customFormat="1" ht="10.199999999999999">
      <c r="A48" s="161"/>
      <c r="B48" s="606" t="s">
        <v>376</v>
      </c>
      <c r="C48" s="495"/>
      <c r="D48" s="607"/>
      <c r="E48" s="607"/>
      <c r="F48" s="607"/>
      <c r="G48" s="607"/>
      <c r="H48" s="607"/>
      <c r="I48" s="608"/>
      <c r="J48" s="608"/>
      <c r="K48" s="608"/>
      <c r="L48" s="608"/>
      <c r="M48" s="608"/>
      <c r="N48" s="609"/>
      <c r="O48" s="633"/>
      <c r="P48" s="689" t="b">
        <f t="shared" si="14"/>
        <v>1</v>
      </c>
      <c r="Q48" s="689" t="b">
        <f t="shared" si="13"/>
        <v>1</v>
      </c>
      <c r="R48" s="689" t="b">
        <f t="shared" si="13"/>
        <v>1</v>
      </c>
      <c r="S48" s="689" t="b">
        <f t="shared" si="13"/>
        <v>1</v>
      </c>
      <c r="T48" s="689" t="b">
        <f t="shared" si="13"/>
        <v>1</v>
      </c>
      <c r="U48" s="689" t="b">
        <f t="shared" si="13"/>
        <v>1</v>
      </c>
      <c r="V48" s="689" t="b">
        <f t="shared" si="13"/>
        <v>1</v>
      </c>
      <c r="W48" s="689" t="b">
        <f t="shared" si="13"/>
        <v>1</v>
      </c>
      <c r="X48" s="689" t="b">
        <f t="shared" si="13"/>
        <v>1</v>
      </c>
      <c r="Y48" s="689" t="b">
        <f t="shared" si="13"/>
        <v>1</v>
      </c>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row>
    <row r="49" spans="1:25" ht="12" customHeight="1">
      <c r="A49" s="90"/>
      <c r="B49" s="190" t="s">
        <v>377</v>
      </c>
      <c r="C49" s="191" t="s">
        <v>354</v>
      </c>
      <c r="D49" s="195">
        <f>Results!$C$53</f>
        <v>34.589999999999996</v>
      </c>
      <c r="E49" s="195">
        <v>0</v>
      </c>
      <c r="F49" s="195">
        <f>Results!$C$53</f>
        <v>34.589999999999996</v>
      </c>
      <c r="G49" s="195">
        <f>Results!$C$53</f>
        <v>34.589999999999996</v>
      </c>
      <c r="H49" s="195">
        <f>Results!$C$53</f>
        <v>34.589999999999996</v>
      </c>
      <c r="I49" s="195">
        <f>Results!$C$53</f>
        <v>34.589999999999996</v>
      </c>
      <c r="J49" s="195">
        <f>Results!$C$53</f>
        <v>34.589999999999996</v>
      </c>
      <c r="K49" s="195">
        <f>Results!$C$53</f>
        <v>34.589999999999996</v>
      </c>
      <c r="L49" s="195">
        <f>Results!$C$53</f>
        <v>34.589999999999996</v>
      </c>
      <c r="M49" s="195">
        <v>0</v>
      </c>
      <c r="N49" s="244"/>
      <c r="O49" s="530"/>
      <c r="P49" s="689" t="b">
        <f t="shared" si="14"/>
        <v>1</v>
      </c>
      <c r="Q49" s="689" t="b">
        <f t="shared" si="13"/>
        <v>1</v>
      </c>
      <c r="R49" s="689" t="b">
        <f t="shared" si="13"/>
        <v>1</v>
      </c>
      <c r="S49" s="689" t="b">
        <f t="shared" si="13"/>
        <v>1</v>
      </c>
      <c r="T49" s="689" t="b">
        <f t="shared" si="13"/>
        <v>1</v>
      </c>
      <c r="U49" s="689" t="b">
        <f t="shared" si="13"/>
        <v>1</v>
      </c>
      <c r="V49" s="689" t="b">
        <f t="shared" si="13"/>
        <v>1</v>
      </c>
      <c r="W49" s="689" t="b">
        <f t="shared" si="13"/>
        <v>1</v>
      </c>
      <c r="X49" s="689" t="b">
        <f t="shared" si="13"/>
        <v>1</v>
      </c>
      <c r="Y49" s="689" t="b">
        <f t="shared" si="13"/>
        <v>1</v>
      </c>
    </row>
    <row r="50" spans="1:25" ht="12" customHeight="1">
      <c r="A50" s="90"/>
      <c r="B50" s="190" t="s">
        <v>378</v>
      </c>
      <c r="C50" s="191" t="s">
        <v>354</v>
      </c>
      <c r="D50" s="195">
        <f>Results!$C$54</f>
        <v>35</v>
      </c>
      <c r="E50" s="195">
        <f>Results!$C$54</f>
        <v>35</v>
      </c>
      <c r="F50" s="195">
        <f>Results!$C$54</f>
        <v>35</v>
      </c>
      <c r="G50" s="195">
        <f>Results!$C$54</f>
        <v>35</v>
      </c>
      <c r="H50" s="195">
        <f>Results!$C$54</f>
        <v>35</v>
      </c>
      <c r="I50" s="195">
        <f>Results!$C$54</f>
        <v>35</v>
      </c>
      <c r="J50" s="195">
        <f>Results!$C$54</f>
        <v>35</v>
      </c>
      <c r="K50" s="195">
        <f>Results!$C$54</f>
        <v>35</v>
      </c>
      <c r="L50" s="195">
        <f>Results!$C$54</f>
        <v>35</v>
      </c>
      <c r="M50" s="195">
        <f>Results!$C$54</f>
        <v>35</v>
      </c>
      <c r="N50" s="244"/>
      <c r="O50" s="530"/>
      <c r="P50" s="689" t="b">
        <f t="shared" si="14"/>
        <v>1</v>
      </c>
      <c r="Q50" s="689" t="b">
        <f t="shared" si="13"/>
        <v>1</v>
      </c>
      <c r="R50" s="689" t="b">
        <f t="shared" si="13"/>
        <v>1</v>
      </c>
      <c r="S50" s="689" t="b">
        <f t="shared" si="13"/>
        <v>1</v>
      </c>
      <c r="T50" s="689" t="b">
        <f t="shared" si="13"/>
        <v>1</v>
      </c>
      <c r="U50" s="689" t="b">
        <f t="shared" si="13"/>
        <v>1</v>
      </c>
      <c r="V50" s="689" t="b">
        <f t="shared" si="13"/>
        <v>1</v>
      </c>
      <c r="W50" s="689" t="b">
        <f t="shared" si="13"/>
        <v>1</v>
      </c>
      <c r="X50" s="689" t="b">
        <f t="shared" si="13"/>
        <v>1</v>
      </c>
      <c r="Y50" s="689" t="b">
        <f t="shared" si="13"/>
        <v>1</v>
      </c>
    </row>
    <row r="51" spans="1:25" ht="12" customHeight="1">
      <c r="A51" s="90"/>
      <c r="B51" s="190"/>
      <c r="C51" s="191"/>
      <c r="D51" s="257"/>
      <c r="E51" s="257"/>
      <c r="F51" s="257"/>
      <c r="G51" s="257"/>
      <c r="H51" s="257"/>
      <c r="I51" s="258"/>
      <c r="J51" s="258"/>
      <c r="K51" s="258"/>
      <c r="L51" s="258"/>
      <c r="M51" s="258"/>
      <c r="N51" s="244"/>
      <c r="O51" s="530"/>
      <c r="P51" s="689" t="b">
        <f t="shared" si="14"/>
        <v>1</v>
      </c>
      <c r="Q51" s="689" t="b">
        <f t="shared" si="13"/>
        <v>1</v>
      </c>
      <c r="R51" s="689" t="b">
        <f t="shared" si="13"/>
        <v>1</v>
      </c>
      <c r="S51" s="689" t="b">
        <f t="shared" si="13"/>
        <v>1</v>
      </c>
      <c r="T51" s="689" t="b">
        <f t="shared" si="13"/>
        <v>1</v>
      </c>
      <c r="U51" s="689" t="b">
        <f t="shared" si="13"/>
        <v>1</v>
      </c>
      <c r="V51" s="689" t="b">
        <f t="shared" si="13"/>
        <v>1</v>
      </c>
      <c r="W51" s="689" t="b">
        <f t="shared" si="13"/>
        <v>1</v>
      </c>
      <c r="X51" s="689" t="b">
        <f t="shared" si="13"/>
        <v>1</v>
      </c>
      <c r="Y51" s="689" t="b">
        <f t="shared" si="13"/>
        <v>1</v>
      </c>
    </row>
    <row r="52" spans="1:25" ht="12" customHeight="1">
      <c r="A52" s="90"/>
      <c r="B52" s="237" t="s">
        <v>379</v>
      </c>
      <c r="C52" s="191"/>
      <c r="D52" s="257"/>
      <c r="E52" s="257"/>
      <c r="F52" s="257"/>
      <c r="G52" s="257"/>
      <c r="H52" s="257"/>
      <c r="I52" s="258"/>
      <c r="J52" s="258"/>
      <c r="K52" s="258"/>
      <c r="L52" s="258"/>
      <c r="M52" s="258"/>
      <c r="N52" s="244"/>
      <c r="O52" s="530"/>
      <c r="P52" s="689" t="b">
        <f t="shared" si="14"/>
        <v>1</v>
      </c>
      <c r="Q52" s="689" t="b">
        <f t="shared" si="13"/>
        <v>1</v>
      </c>
      <c r="R52" s="689" t="b">
        <f t="shared" si="13"/>
        <v>1</v>
      </c>
      <c r="S52" s="689" t="b">
        <f t="shared" si="13"/>
        <v>1</v>
      </c>
      <c r="T52" s="689" t="b">
        <f t="shared" si="13"/>
        <v>1</v>
      </c>
      <c r="U52" s="689" t="b">
        <f t="shared" si="13"/>
        <v>1</v>
      </c>
      <c r="V52" s="689" t="b">
        <f t="shared" si="13"/>
        <v>1</v>
      </c>
      <c r="W52" s="689" t="b">
        <f t="shared" si="13"/>
        <v>1</v>
      </c>
      <c r="X52" s="689" t="b">
        <f t="shared" si="13"/>
        <v>1</v>
      </c>
      <c r="Y52" s="689" t="b">
        <f t="shared" si="13"/>
        <v>1</v>
      </c>
    </row>
    <row r="53" spans="1:25" ht="12" customHeight="1">
      <c r="A53" s="90"/>
      <c r="B53" s="190" t="s">
        <v>380</v>
      </c>
      <c r="C53" s="191" t="s">
        <v>381</v>
      </c>
      <c r="D53" s="257">
        <f>IFERROR(SUM(Invloedsfactoren!E19:E23)/SUM(Invloedsfactoren!C19:C23),0)</f>
        <v>0.14699999999999999</v>
      </c>
      <c r="E53" s="257">
        <v>1</v>
      </c>
      <c r="F53" s="257">
        <f>IFERROR(SUM(Invloedsfactoren!E27)/SUM(Invloedsfactoren!C27),0)</f>
        <v>0.46604677716614273</v>
      </c>
      <c r="G53" s="257">
        <f>IFERROR(SUM(Invloedsfactoren!E24)/SUM(Invloedsfactoren!C24),0)</f>
        <v>0</v>
      </c>
      <c r="H53" s="257">
        <f>IFERROR(SUM(Invloedsfactoren!E25)/SUM(Invloedsfactoren!C25),0)</f>
        <v>0</v>
      </c>
      <c r="I53" s="258">
        <f>IFERROR(SUM(Invloedsfactoren!E26,Invloedsfactoren!E28)/SUM(Invloedsfactoren!C26,Invloedsfactoren!C28),0)</f>
        <v>0</v>
      </c>
      <c r="J53" s="258">
        <f>IFERROR(SUM(Invloedsfactoren!E29)/SUM(Invloedsfactoren!C29),0)</f>
        <v>0</v>
      </c>
      <c r="K53" s="258">
        <f>IFERROR(SUM(Invloedsfactoren!E30)/SUM(Invloedsfactoren!C30),0)</f>
        <v>0</v>
      </c>
      <c r="L53" s="258">
        <f>IFERROR(SUM(Invloedsfactoren!E31)/SUM(Invloedsfactoren!C31),0)</f>
        <v>0</v>
      </c>
      <c r="M53" s="258">
        <f>IFERROR(SUM(Invloedsfactoren!I26,Invloedsfactoren!I28)/SUM(Invloedsfactoren!G26,Invloedsfactoren!G28),0)</f>
        <v>0</v>
      </c>
      <c r="N53" s="244"/>
      <c r="O53" s="530"/>
      <c r="P53" s="530"/>
      <c r="Q53" s="530"/>
      <c r="R53" s="530"/>
      <c r="S53" s="530"/>
      <c r="T53" s="530"/>
      <c r="U53" s="530"/>
    </row>
    <row r="54" spans="1:25" ht="12" customHeight="1">
      <c r="A54" s="90"/>
      <c r="B54" s="190" t="s">
        <v>382</v>
      </c>
      <c r="C54" s="191" t="s">
        <v>383</v>
      </c>
      <c r="D54" s="192">
        <f>Input!C37</f>
        <v>10</v>
      </c>
      <c r="E54" s="192">
        <f>Input!C39</f>
        <v>0</v>
      </c>
      <c r="F54" s="192">
        <f>Input!C37</f>
        <v>10</v>
      </c>
      <c r="G54" s="192">
        <f>Input!C37</f>
        <v>10</v>
      </c>
      <c r="H54" s="192">
        <f>Input!C37</f>
        <v>10</v>
      </c>
      <c r="I54" s="193">
        <f>Input!C37</f>
        <v>10</v>
      </c>
      <c r="J54" s="193">
        <f>Input!C38</f>
        <v>5</v>
      </c>
      <c r="K54" s="193">
        <f>Input!C38</f>
        <v>5</v>
      </c>
      <c r="L54" s="193">
        <f>Input!C38</f>
        <v>5</v>
      </c>
      <c r="M54" s="193">
        <f>Input!C39</f>
        <v>0</v>
      </c>
      <c r="N54" s="244"/>
      <c r="O54" s="530"/>
      <c r="P54" s="530"/>
      <c r="Q54" s="530"/>
      <c r="R54" s="530"/>
      <c r="S54" s="530"/>
      <c r="T54" s="530"/>
      <c r="U54" s="530"/>
    </row>
    <row r="55" spans="1:25" ht="12" customHeight="1">
      <c r="A55" s="90"/>
      <c r="B55" s="190" t="s">
        <v>384</v>
      </c>
      <c r="C55" s="191" t="s">
        <v>383</v>
      </c>
      <c r="D55" s="524">
        <f>IF(Projectinformatie!C69="Nee",((D28+D54)-((D57)*D53))/(1-D53),((D28+D54)-((D56+D54)*D53))/(1-D53))</f>
        <v>175</v>
      </c>
      <c r="E55" s="192"/>
      <c r="F55" s="524">
        <f>IF(Projectinformatie!C69="Nee",((F28+F54)-((F57)*F53))/(1-F53),((F28+F54)-((F56+F54)*F53))/(1-F53))</f>
        <v>175</v>
      </c>
      <c r="G55" s="524">
        <f>IF(Projectinformatie!C69="Nee",((G28+G54)-((G57)*G53))/(1-G53),((G28+G54)-((G56+G54)*G53))/(1-G53))</f>
        <v>175</v>
      </c>
      <c r="H55" s="524">
        <f>IF(Projectinformatie!C69="Nee",((H28+H54)-((H57)*H53))/(1-H53),((H28+H54)-((H56+H54)*H53))/(1-H53))</f>
        <v>175</v>
      </c>
      <c r="I55" s="529">
        <f>IF(Projectinformatie!C69="Nee",((I28+I54)-((I57)*I53))/(1-I53),((I28+I54)-((I56+I54)*I53))/(1-I53))</f>
        <v>175</v>
      </c>
      <c r="J55" s="529">
        <f>IF(Projectinformatie!C69="Nee",((J28+J54)-((J57)*J53))/(1-J53),((J28+J54)-((J56+J54)*J53))/(1-J53))</f>
        <v>170</v>
      </c>
      <c r="K55" s="529">
        <f>IF(Projectinformatie!C69="Nee",((K28+K54)-((K57)*K53))/(1-K53),((K28+K54)-((K56+K54)*K53))/(1-K53))</f>
        <v>170</v>
      </c>
      <c r="L55" s="529">
        <f>IF(Projectinformatie!C69="Nee",((L28+L54)-((L57)*L53))/(1-L53),((L28+L54)-((L56+L54)*L53))/(1-L53))</f>
        <v>170</v>
      </c>
      <c r="M55" s="584"/>
      <c r="N55" s="244"/>
      <c r="O55" s="530"/>
      <c r="P55" s="530"/>
      <c r="Q55" s="530"/>
      <c r="R55" s="530"/>
      <c r="S55" s="530"/>
      <c r="T55" s="530"/>
      <c r="U55" s="530"/>
    </row>
    <row r="56" spans="1:25" ht="12" customHeight="1">
      <c r="A56" s="90"/>
      <c r="B56" s="190" t="s">
        <v>385</v>
      </c>
      <c r="C56" s="191" t="s">
        <v>383</v>
      </c>
      <c r="D56" s="192">
        <f>D29</f>
        <v>120</v>
      </c>
      <c r="E56" s="198">
        <f>IFERROR((SUM(Projectinformatie!C36:C40)*D53*D56+Projectinformatie!C44*F53*F56+Projectinformatie!C41*G53*G56+Projectinformatie!C42*H53*H56+(Projectinformatie!C43+Projectinformatie!C45)*I53*I56)/E25,Projectinformatie!$C$93)</f>
        <v>120</v>
      </c>
      <c r="F56" s="192">
        <f>F29</f>
        <v>120</v>
      </c>
      <c r="G56" s="192">
        <f t="shared" ref="G56:I56" si="15">G29</f>
        <v>120</v>
      </c>
      <c r="H56" s="197">
        <f t="shared" si="15"/>
        <v>120</v>
      </c>
      <c r="I56" s="240">
        <f t="shared" si="15"/>
        <v>120</v>
      </c>
      <c r="J56" s="240">
        <f>J29</f>
        <v>120</v>
      </c>
      <c r="K56" s="240">
        <f t="shared" ref="K56:L56" si="16">K29</f>
        <v>120</v>
      </c>
      <c r="L56" s="240">
        <f t="shared" si="16"/>
        <v>120</v>
      </c>
      <c r="M56" s="240">
        <f>IF((Projectinformatie!C46*J53*J56+Projectinformatie!C47*K53*K56+Projectinformatie!C48*L53*L56)/M25=0,Projectinformatie!$C$99,(Projectinformatie!C46*J53*J56+Projectinformatie!C47*K53*K56+Projectinformatie!C48*L53*L56)/M25)</f>
        <v>120</v>
      </c>
      <c r="N56" s="244"/>
      <c r="O56" s="530"/>
      <c r="P56" s="530"/>
      <c r="Q56" s="530"/>
      <c r="R56" s="530"/>
      <c r="S56" s="530"/>
      <c r="T56" s="530"/>
      <c r="U56" s="530"/>
    </row>
    <row r="57" spans="1:25" ht="12" customHeight="1">
      <c r="A57" s="90"/>
      <c r="B57" s="190" t="s">
        <v>1368</v>
      </c>
      <c r="C57" s="191" t="s">
        <v>383</v>
      </c>
      <c r="D57" s="524">
        <f>D28+D54</f>
        <v>175</v>
      </c>
      <c r="E57" s="524">
        <f>IFERROR((SUM(Projectinformatie!C36:C40)*D53*D57+Projectinformatie!C44*F53*F57+Projectinformatie!C41*G53*G57+Projectinformatie!C42*H53*H57+(Projectinformatie!C43+Projectinformatie!C45)*I53*I57)/E25,Projectinformatie!$C$84+D54)</f>
        <v>175</v>
      </c>
      <c r="F57" s="524">
        <f t="shared" ref="F57:L57" si="17">F28+F54</f>
        <v>175</v>
      </c>
      <c r="G57" s="524">
        <f t="shared" si="17"/>
        <v>175</v>
      </c>
      <c r="H57" s="524">
        <f t="shared" si="17"/>
        <v>175</v>
      </c>
      <c r="I57" s="529">
        <f t="shared" si="17"/>
        <v>175</v>
      </c>
      <c r="J57" s="529">
        <f>J28+J54</f>
        <v>170</v>
      </c>
      <c r="K57" s="529">
        <f t="shared" si="17"/>
        <v>170</v>
      </c>
      <c r="L57" s="529">
        <f t="shared" si="17"/>
        <v>170</v>
      </c>
      <c r="M57" s="529">
        <f>IF((Projectinformatie!C46*J53*J57+Projectinformatie!C47*K53*K57+Projectinformatie!C48*L53*L57)/M25=0,Projectinformatie!$C$90+J54,(Projectinformatie!C46*J53*J57+Projectinformatie!C47*K53*K57+Projectinformatie!C48*L53*L57)/M25)</f>
        <v>150</v>
      </c>
      <c r="N57" s="244"/>
      <c r="O57" s="530"/>
      <c r="P57" s="530"/>
      <c r="Q57" s="530"/>
      <c r="R57" s="530"/>
      <c r="S57" s="530"/>
      <c r="T57" s="530"/>
      <c r="U57" s="530"/>
    </row>
    <row r="58" spans="1:25" ht="12" customHeight="1">
      <c r="A58" s="90"/>
      <c r="B58" s="190" t="s">
        <v>386</v>
      </c>
      <c r="C58" s="191" t="s">
        <v>383</v>
      </c>
      <c r="D58" s="524" cm="1">
        <f t="array" ref="D58">IF(Projectinformatie!C69="Nee",Projectinformatie!C103,Projectinformatie!C103+(((TREND(DB_Overig!C20:F20,DB_Overig!C19:F19,DB_Overig!D19)-TREND(DB_Overig!C20:F20,DB_Overig!C19:F19,DB_Overig!C19))/DB_Overig!D19)*D53))</f>
        <v>110</v>
      </c>
      <c r="E58" s="524">
        <f>IF(Projectinformatie!C69="Nee",(SUM(Projectinformatie!C36:C40)*D58+Projectinformatie!C44*F58+Projectinformatie!C41*G58+Projectinformatie!C42*H58+(Projectinformatie!C43+Projectinformatie!C45)*I58)/SUM(D25:I25),E56)</f>
        <v>109.99943263494133</v>
      </c>
      <c r="F58" s="524" cm="1">
        <f t="array" ref="F58">IF(Projectinformatie!C69="Nee",Projectinformatie!C103,Projectinformatie!C103+(((TREND(DB_Overig!C20:F20,DB_Overig!C19:F19,DB_Overig!D19)-TREND(DB_Overig!C20:F20,DB_Overig!C19:F19,DB_Overig!C19))/DB_Overig!D19)*F53))</f>
        <v>110</v>
      </c>
      <c r="G58" s="524" cm="1">
        <f t="array" ref="G58">IF(Projectinformatie!C69="Nee",Projectinformatie!C103,Projectinformatie!C103+(((TREND(DB_Overig!C20:F20,DB_Overig!C19:F19,DB_Overig!D19)-TREND(DB_Overig!C20:F20,DB_Overig!C19:F19,DB_Overig!C19))/DB_Overig!D19)*G53))</f>
        <v>110</v>
      </c>
      <c r="H58" s="524" cm="1">
        <f t="array" ref="H58">IF(Projectinformatie!C69="Nee",Projectinformatie!C103,Projectinformatie!C103+(((TREND(DB_Overig!C20:F20,DB_Overig!C19:F19,DB_Overig!D19)-TREND(DB_Overig!C20:F20,DB_Overig!C19:F19,DB_Overig!C19))/DB_Overig!D19)*H53))</f>
        <v>110</v>
      </c>
      <c r="I58" s="529" cm="1">
        <f t="array" ref="I58">IF(Projectinformatie!C69="Nee",Projectinformatie!C103,Projectinformatie!C103+(((TREND(DB_Overig!C20:F20,DB_Overig!C19:F19,DB_Overig!D19)-TREND(DB_Overig!C20:F20,DB_Overig!C19:F19,DB_Overig!C19))/DB_Overig!D19)*I53))</f>
        <v>110</v>
      </c>
      <c r="J58" s="529" cm="1">
        <f t="array" ref="J58">IF(Projectinformatie!C69="Nee",Projectinformatie!C104,Projectinformatie!C104+(((TREND(DB_Overig!C20:F20,DB_Overig!C19:F19,DB_Overig!D19)-TREND(DB_Overig!C20:F20,DB_Overig!C19:F19,DB_Overig!C19))/DB_Overig!D19)*J53))</f>
        <v>105</v>
      </c>
      <c r="K58" s="529" cm="1">
        <f t="array" ref="K58">IF(Projectinformatie!C69="Nee",Projectinformatie!C104,Projectinformatie!C104+(((TREND(DB_Overig!C20:F20,DB_Overig!C19:F19,DB_Overig!D19)-TREND(DB_Overig!C20:F20,DB_Overig!C19:F19,DB_Overig!C19))/DB_Overig!D19)*K53))</f>
        <v>105</v>
      </c>
      <c r="L58" s="529" cm="1">
        <f t="array" ref="L58">IF(Projectinformatie!C69="Nee",Projectinformatie!C104,Projectinformatie!C104+(((TREND(DB_Overig!C20:F20,DB_Overig!C19:F19,DB_Overig!D19)-TREND(DB_Overig!C20:F20,DB_Overig!C19:F19,DB_Overig!C19))/DB_Overig!D19)*L53))</f>
        <v>105</v>
      </c>
      <c r="M58" s="529">
        <f>IF(Projectinformatie!C69="Nee",(Projectinformatie!C46*J58+Projectinformatie!C47*K58+Projectinformatie!C48*L58)/SUM(J25:M25),M56)</f>
        <v>0</v>
      </c>
      <c r="N58" s="248">
        <f>SUMPRODUCT(D25:I25,D58:I58)/N25</f>
        <v>109.99753701862429</v>
      </c>
      <c r="O58" s="530"/>
      <c r="P58" s="636"/>
      <c r="Q58" s="530"/>
      <c r="R58" s="530"/>
      <c r="S58" s="530"/>
      <c r="T58" s="530"/>
      <c r="U58" s="530"/>
    </row>
    <row r="59" spans="1:25" ht="12" customHeight="1">
      <c r="A59" s="90"/>
      <c r="B59" s="237"/>
      <c r="C59" s="191"/>
      <c r="D59" s="191"/>
      <c r="E59" s="191"/>
      <c r="F59" s="191"/>
      <c r="G59" s="191"/>
      <c r="H59" s="191"/>
      <c r="I59" s="238"/>
      <c r="J59" s="238"/>
      <c r="K59" s="238"/>
      <c r="L59" s="238"/>
      <c r="M59" s="238"/>
      <c r="N59" s="244"/>
      <c r="O59" s="530"/>
      <c r="P59" s="530"/>
      <c r="Q59" s="530"/>
      <c r="R59" s="530"/>
      <c r="S59" s="530"/>
      <c r="T59" s="530"/>
      <c r="U59" s="530"/>
    </row>
    <row r="60" spans="1:25" ht="12" customHeight="1">
      <c r="A60" s="90"/>
      <c r="B60" s="190" t="s">
        <v>387</v>
      </c>
      <c r="C60" s="191" t="s">
        <v>383</v>
      </c>
      <c r="D60" s="257"/>
      <c r="E60" s="191"/>
      <c r="F60" s="191"/>
      <c r="G60" s="191"/>
      <c r="H60" s="191"/>
      <c r="I60" s="238"/>
      <c r="J60" s="238"/>
      <c r="K60" s="238"/>
      <c r="L60" s="238"/>
      <c r="M60" s="238"/>
      <c r="N60" s="244">
        <v>9.9</v>
      </c>
      <c r="O60" s="530"/>
      <c r="P60" s="530"/>
      <c r="Q60" s="530"/>
      <c r="R60" s="530"/>
      <c r="S60" s="530"/>
      <c r="T60" s="530"/>
      <c r="U60" s="530"/>
    </row>
    <row r="61" spans="1:25" ht="12" customHeight="1">
      <c r="A61" s="90"/>
      <c r="B61" s="190"/>
      <c r="C61" s="191"/>
      <c r="D61" s="192"/>
      <c r="E61" s="191"/>
      <c r="F61" s="191"/>
      <c r="G61" s="191"/>
      <c r="H61" s="191"/>
      <c r="I61" s="238"/>
      <c r="J61" s="238"/>
      <c r="K61" s="238"/>
      <c r="L61" s="238"/>
      <c r="M61" s="238"/>
      <c r="N61" s="244"/>
      <c r="O61" s="530"/>
      <c r="P61" s="530"/>
      <c r="Q61" s="530"/>
      <c r="R61" s="530"/>
      <c r="S61" s="530"/>
      <c r="T61" s="530"/>
      <c r="U61" s="530"/>
    </row>
    <row r="62" spans="1:25" ht="12" customHeight="1">
      <c r="A62" s="90"/>
      <c r="B62" s="237" t="s">
        <v>388</v>
      </c>
      <c r="C62" s="191"/>
      <c r="D62" s="191"/>
      <c r="E62" s="191"/>
      <c r="F62" s="191"/>
      <c r="G62" s="191"/>
      <c r="H62" s="191"/>
      <c r="I62" s="238"/>
      <c r="J62" s="238"/>
      <c r="K62" s="238"/>
      <c r="L62" s="238"/>
      <c r="M62" s="238"/>
      <c r="N62" s="244"/>
      <c r="O62" s="530"/>
      <c r="P62" s="530"/>
      <c r="Q62" s="530"/>
      <c r="R62" s="530"/>
      <c r="S62" s="530"/>
      <c r="T62" s="530"/>
      <c r="U62" s="530"/>
    </row>
    <row r="63" spans="1:25" ht="12" customHeight="1">
      <c r="A63" s="90"/>
      <c r="B63" s="190" t="s">
        <v>389</v>
      </c>
      <c r="C63" s="191" t="s">
        <v>241</v>
      </c>
      <c r="D63" s="257" cm="1">
        <f t="array" ref="D63">IFERROR(Projectinformatie!C107+Projectinformatie!C78*((TREND(DB_Overig!C21:F21,DB_Overig!C19:F19,DB_Overig!D19)-TREND(DB_Overig!C21:F21,DB_Overig!C19:F19,DB_Overig!C19))/DB_Overig!D19),Projectinformatie!$C$107)</f>
        <v>0.16452372850976002</v>
      </c>
      <c r="E63" s="257" cm="1">
        <f t="array" ref="E63">IFERROR(Projectinformatie!C107+Projectinformatie!C78*((TREND(DB_Overig!C21:F21,DB_Overig!C19:F19,DB_Overig!D19)-TREND(DB_Overig!C21:F21,DB_Overig!C19:F19,DB_Overig!C19))/DB_Overig!D19),Projectinformatie!$C$107)</f>
        <v>0.16452372850976002</v>
      </c>
      <c r="F63" s="257" cm="1">
        <f t="array" ref="F63">IFERROR(Projectinformatie!C107+Projectinformatie!C78*((TREND(DB_Overig!C21:F21,DB_Overig!C19:F19,DB_Overig!D19)-TREND(DB_Overig!C21:F21,DB_Overig!C19:F19,DB_Overig!C19))/DB_Overig!D19),Projectinformatie!$C$107)</f>
        <v>0.16452372850976002</v>
      </c>
      <c r="G63" s="257" cm="1">
        <f t="array" ref="G63">IFERROR(Projectinformatie!C107+Projectinformatie!C78*((TREND(DB_Overig!C21:F21,DB_Overig!C19:F19,DB_Overig!D19)-TREND(DB_Overig!C21:F21,DB_Overig!C19:F19,DB_Overig!C19))/DB_Overig!D19),Projectinformatie!$C$107)</f>
        <v>0.16452372850976002</v>
      </c>
      <c r="H63" s="257" cm="1">
        <f t="array" ref="H63">IFERROR(Projectinformatie!C107+Projectinformatie!C78*((TREND(DB_Overig!C21:F21,DB_Overig!C19:F19,DB_Overig!D19)-TREND(DB_Overig!C21:F21,DB_Overig!C19:F19,DB_Overig!C19))/DB_Overig!D19),Projectinformatie!$C$107)</f>
        <v>0.16452372850976002</v>
      </c>
      <c r="I63" s="258" cm="1">
        <f t="array" ref="I63">IFERROR(Projectinformatie!C107+Projectinformatie!C78*((TREND(DB_Overig!C21:F21,DB_Overig!C19:F19,DB_Overig!D19)-TREND(DB_Overig!C21:F21,DB_Overig!C19:F19,DB_Overig!C19))/DB_Overig!D19),Projectinformatie!$C$107)</f>
        <v>0.16452372850976002</v>
      </c>
      <c r="J63" s="258" cm="1">
        <f t="array" ref="J63">IFERROR(Projectinformatie!C107+Projectinformatie!C78*((TREND(DB_Overig!C21:F21,DB_Overig!C19:F19,DB_Overig!D19)-TREND(DB_Overig!C21:F21,DB_Overig!C19:F19,DB_Overig!C19))/DB_Overig!D19),Projectinformatie!$C$107)</f>
        <v>0.16452372850976002</v>
      </c>
      <c r="K63" s="258" cm="1">
        <f t="array" ref="K63">IFERROR(Projectinformatie!C107+Projectinformatie!C78*((TREND(DB_Overig!C21:F21,DB_Overig!C19:F19,DB_Overig!D19)-TREND(DB_Overig!C21:F21,DB_Overig!C19:F19,DB_Overig!C19))/DB_Overig!D19),Projectinformatie!$C$107)</f>
        <v>0.16452372850976002</v>
      </c>
      <c r="L63" s="258" cm="1">
        <f t="array" ref="L63">IFERROR(Projectinformatie!C107+Projectinformatie!C78*((TREND(DB_Overig!C21:F21,DB_Overig!C19:F19,DB_Overig!D19)-TREND(DB_Overig!C21:F21,DB_Overig!C19:F19,DB_Overig!C19))/DB_Overig!D19),Projectinformatie!$C$107)</f>
        <v>0.16452372850976002</v>
      </c>
      <c r="M63" s="258" cm="1">
        <f t="array" ref="M63">IFERROR(Projectinformatie!C107+Projectinformatie!C78*((TREND(DB_Overig!C21:F21,DB_Overig!C19:F19,DB_Overig!D19)-TREND(DB_Overig!C21:F21,DB_Overig!C19:F19,DB_Overig!C19))/DB_Overig!D19),Projectinformatie!$C$107)</f>
        <v>0.16452372850976002</v>
      </c>
      <c r="N63" s="260">
        <f>SUMPRODUCT(D63:I63,D25:I25)/N25</f>
        <v>0.16452033421561185</v>
      </c>
      <c r="O63" s="530"/>
      <c r="P63" s="530"/>
      <c r="Q63" s="530"/>
      <c r="R63" s="530"/>
      <c r="S63" s="530"/>
      <c r="T63" s="530"/>
      <c r="U63" s="530"/>
    </row>
    <row r="64" spans="1:25" ht="12" customHeight="1">
      <c r="A64" s="90"/>
      <c r="B64" s="190" t="s">
        <v>390</v>
      </c>
      <c r="C64" s="191" t="str">
        <f>IF(Projectinformatie!C68="Aardgas","m3 lucht / m3 aardgas","m3 lucht / kg brandstof")</f>
        <v>m3 lucht / m3 aardgas</v>
      </c>
      <c r="D64" s="261">
        <f>IF(ISERROR(VLOOKUP(Projectinformatie!C68,Brandstoftabel,3,FALSE)),DB_Overig!D180,VLOOKUP(Projectinformatie!C68,Brandstoftabel,3,FALSE))</f>
        <v>10.608666117659912</v>
      </c>
      <c r="E64" s="261">
        <f>IF(ISERROR(VLOOKUP(Projectinformatie!C68,Brandstoftabel,3,FALSE)),DB_Overig!D180,VLOOKUP(Projectinformatie!C68,Brandstoftabel,3,FALSE))</f>
        <v>10.608666117659912</v>
      </c>
      <c r="F64" s="261">
        <f>IF(ISERROR(VLOOKUP(Projectinformatie!C68,Brandstoftabel,3,FALSE)),DB_Overig!D180,VLOOKUP(Projectinformatie!C68,Brandstoftabel,3,FALSE))</f>
        <v>10.608666117659912</v>
      </c>
      <c r="G64" s="261">
        <f>IF(ISERROR(VLOOKUP(Projectinformatie!C68,Brandstoftabel,3,FALSE)),DB_Overig!D180,VLOOKUP(Projectinformatie!C68,Brandstoftabel,3,FALSE))</f>
        <v>10.608666117659912</v>
      </c>
      <c r="H64" s="261">
        <f>IF(ISERROR(VLOOKUP(Projectinformatie!C68,Brandstoftabel,3,FALSE)),DB_Overig!D180,VLOOKUP(Projectinformatie!C68,Brandstoftabel,3,FALSE))</f>
        <v>10.608666117659912</v>
      </c>
      <c r="I64" s="262">
        <f>IF(ISERROR(VLOOKUP(Projectinformatie!C68,Brandstoftabel,3,FALSE)),DB_Overig!D180,VLOOKUP(Projectinformatie!C68,Brandstoftabel,3,FALSE))</f>
        <v>10.608666117659912</v>
      </c>
      <c r="J64" s="262">
        <f>IF(ISERROR(VLOOKUP(Projectinformatie!D68,Brandstoftabel,3,FALSE)),DB_Overig!E180,VLOOKUP(Projectinformatie!D68,Brandstoftabel,3,FALSE))</f>
        <v>42.7</v>
      </c>
      <c r="K64" s="262">
        <f>IF(ISERROR(VLOOKUP(Projectinformatie!E68,Brandstoftabel,3,FALSE)),DB_Overig!F180,VLOOKUP(Projectinformatie!E68,Brandstoftabel,3,FALSE))</f>
        <v>0.48599999999999999</v>
      </c>
      <c r="L64" s="262">
        <f>IF(ISERROR(VLOOKUP(Projectinformatie!F68,Brandstoftabel,3,FALSE)),DB_Overig!G180,VLOOKUP(Projectinformatie!F68,Brandstoftabel,3,FALSE))</f>
        <v>0</v>
      </c>
      <c r="M64" s="262">
        <f>IF(ISERROR(VLOOKUP(Projectinformatie!G68,Brandstoftabel,3,FALSE)),DB_Overig!H180,VLOOKUP(Projectinformatie!G68,Brandstoftabel,3,FALSE))</f>
        <v>0</v>
      </c>
      <c r="N64" s="263">
        <f>SUMPRODUCT(D64:I64,D25:I25)/N25</f>
        <v>10.608447249940044</v>
      </c>
      <c r="O64" s="530"/>
      <c r="P64" s="530"/>
      <c r="Q64" s="530"/>
      <c r="R64" s="530"/>
      <c r="S64" s="530"/>
      <c r="T64" s="530"/>
      <c r="U64" s="530"/>
    </row>
    <row r="65" spans="1:21" ht="12" customHeight="1">
      <c r="A65" s="90"/>
      <c r="B65" s="190" t="s">
        <v>392</v>
      </c>
      <c r="C65" s="191" t="str">
        <f t="shared" ref="C65:C66" si="18">C64</f>
        <v>m3 lucht / m3 aardgas</v>
      </c>
      <c r="D65" s="261">
        <f t="shared" ref="D65:M65" si="19">(D63/$D$111)*D64/(1-D63/$D$111)-D64</f>
        <v>27.771290000052137</v>
      </c>
      <c r="E65" s="261">
        <f t="shared" si="19"/>
        <v>27.771290000052137</v>
      </c>
      <c r="F65" s="261">
        <f t="shared" si="19"/>
        <v>27.771290000052137</v>
      </c>
      <c r="G65" s="261">
        <f t="shared" si="19"/>
        <v>27.771290000052137</v>
      </c>
      <c r="H65" s="261">
        <f t="shared" si="19"/>
        <v>27.771290000052137</v>
      </c>
      <c r="I65" s="262">
        <f t="shared" si="19"/>
        <v>27.771290000052137</v>
      </c>
      <c r="J65" s="262">
        <f t="shared" si="19"/>
        <v>111.77975344404568</v>
      </c>
      <c r="K65" s="262">
        <f t="shared" si="19"/>
        <v>1.2722473108619718</v>
      </c>
      <c r="L65" s="262">
        <f t="shared" si="19"/>
        <v>0</v>
      </c>
      <c r="M65" s="262">
        <f t="shared" si="19"/>
        <v>0</v>
      </c>
      <c r="N65" s="263">
        <f t="shared" ref="N65:N71" si="20">SUMPRODUCT(D65:I65,$D$25:$I$25)/$N$25</f>
        <v>27.770717049706381</v>
      </c>
      <c r="O65" s="530"/>
      <c r="P65" s="530"/>
      <c r="Q65" s="530"/>
      <c r="R65" s="530"/>
      <c r="S65" s="530"/>
      <c r="T65" s="530"/>
      <c r="U65" s="530"/>
    </row>
    <row r="66" spans="1:21" ht="9.75" customHeight="1">
      <c r="A66" s="90"/>
      <c r="B66" s="190" t="s">
        <v>394</v>
      </c>
      <c r="C66" s="191" t="str">
        <f t="shared" si="18"/>
        <v>m3 lucht / m3 aardgas</v>
      </c>
      <c r="D66" s="261">
        <f t="shared" ref="D66:M66" si="21">SUM(D64:D65)</f>
        <v>38.379956117712048</v>
      </c>
      <c r="E66" s="261">
        <f t="shared" si="21"/>
        <v>38.379956117712048</v>
      </c>
      <c r="F66" s="261">
        <f t="shared" si="21"/>
        <v>38.379956117712048</v>
      </c>
      <c r="G66" s="261">
        <f t="shared" si="21"/>
        <v>38.379956117712048</v>
      </c>
      <c r="H66" s="261">
        <f t="shared" si="21"/>
        <v>38.379956117712048</v>
      </c>
      <c r="I66" s="262">
        <f t="shared" si="21"/>
        <v>38.379956117712048</v>
      </c>
      <c r="J66" s="262">
        <f t="shared" si="21"/>
        <v>154.47975344404568</v>
      </c>
      <c r="K66" s="262">
        <f t="shared" si="21"/>
        <v>1.7582473108619718</v>
      </c>
      <c r="L66" s="262">
        <f t="shared" si="21"/>
        <v>0</v>
      </c>
      <c r="M66" s="262">
        <f t="shared" si="21"/>
        <v>0</v>
      </c>
      <c r="N66" s="263">
        <f t="shared" si="20"/>
        <v>38.379164299646433</v>
      </c>
      <c r="O66" s="530"/>
      <c r="P66" s="530"/>
      <c r="Q66" s="530"/>
      <c r="R66" s="530"/>
      <c r="S66" s="530"/>
      <c r="T66" s="530"/>
      <c r="U66" s="530"/>
    </row>
    <row r="67" spans="1:21" ht="9.75" customHeight="1">
      <c r="A67" s="90"/>
      <c r="B67" s="190" t="s">
        <v>395</v>
      </c>
      <c r="C67" s="191" t="str">
        <f>IF(Projectinformatie!C68="Aardgas","kg water / m3 aardgas","kg water / kg brandstof")</f>
        <v>kg water / m3 aardgas</v>
      </c>
      <c r="D67" s="261">
        <f t="shared" ref="D67:M67" si="22">D65*$D$101*$D$103</f>
        <v>0.24577591650046141</v>
      </c>
      <c r="E67" s="261">
        <f t="shared" si="22"/>
        <v>0.24577591650046141</v>
      </c>
      <c r="F67" s="261">
        <f t="shared" si="22"/>
        <v>0.24577591650046141</v>
      </c>
      <c r="G67" s="261">
        <f t="shared" si="22"/>
        <v>0.24577591650046141</v>
      </c>
      <c r="H67" s="261">
        <f t="shared" si="22"/>
        <v>0.24577591650046141</v>
      </c>
      <c r="I67" s="262">
        <f t="shared" si="22"/>
        <v>0.24577591650046141</v>
      </c>
      <c r="J67" s="262">
        <f t="shared" si="22"/>
        <v>0.98925081797980419</v>
      </c>
      <c r="K67" s="262">
        <f t="shared" si="22"/>
        <v>1.1259388701128449E-2</v>
      </c>
      <c r="L67" s="262">
        <f t="shared" si="22"/>
        <v>0</v>
      </c>
      <c r="M67" s="262">
        <f t="shared" si="22"/>
        <v>0</v>
      </c>
      <c r="N67" s="263">
        <f t="shared" si="20"/>
        <v>0.24577084588990147</v>
      </c>
      <c r="O67" s="530"/>
      <c r="P67" s="530"/>
      <c r="Q67" s="530"/>
      <c r="R67" s="530"/>
      <c r="S67" s="530"/>
      <c r="T67" s="530"/>
      <c r="U67" s="530"/>
    </row>
    <row r="68" spans="1:21" ht="9.75" customHeight="1">
      <c r="A68" s="90"/>
      <c r="B68" s="190" t="s">
        <v>396</v>
      </c>
      <c r="C68" s="191" t="str">
        <f>IF(Projectinformatie!C68="Aardgas","MJ / m3 aardgas","MJ / kg brandstof")</f>
        <v>MJ / m3 aardgas</v>
      </c>
      <c r="D68" s="265">
        <f t="shared" ref="D68:M68" si="23">D66*$D$98*(D58-$N$60)/1000</f>
        <v>4.9751745215609535</v>
      </c>
      <c r="E68" s="265">
        <f t="shared" si="23"/>
        <v>4.975146322358313</v>
      </c>
      <c r="F68" s="265">
        <f t="shared" si="23"/>
        <v>4.9751745215609535</v>
      </c>
      <c r="G68" s="265">
        <f t="shared" si="23"/>
        <v>4.9751745215609535</v>
      </c>
      <c r="H68" s="265">
        <f t="shared" si="23"/>
        <v>4.9751745215609535</v>
      </c>
      <c r="I68" s="266">
        <f t="shared" si="23"/>
        <v>4.9751745215609535</v>
      </c>
      <c r="J68" s="266">
        <f t="shared" si="23"/>
        <v>19.024876795524719</v>
      </c>
      <c r="K68" s="266">
        <f t="shared" si="23"/>
        <v>0.21653606844555068</v>
      </c>
      <c r="L68" s="266">
        <f t="shared" si="23"/>
        <v>0</v>
      </c>
      <c r="M68" s="266">
        <f t="shared" si="23"/>
        <v>0</v>
      </c>
      <c r="N68" s="263">
        <f t="shared" si="20"/>
        <v>4.975062257857795</v>
      </c>
      <c r="O68" s="530"/>
      <c r="P68" s="530"/>
      <c r="Q68" s="530"/>
      <c r="R68" s="530"/>
      <c r="S68" s="530"/>
      <c r="T68" s="530"/>
      <c r="U68" s="530"/>
    </row>
    <row r="69" spans="1:21" ht="11.25" customHeight="1">
      <c r="A69" s="90"/>
      <c r="B69" s="190" t="s">
        <v>398</v>
      </c>
      <c r="C69" s="191" t="str">
        <f>IF(Projectinformatie!C68="Aardgas","MJ / m3 aardgas","MJ / kg brandstof")</f>
        <v>MJ / m3 aardgas</v>
      </c>
      <c r="D69" s="265">
        <f t="shared" ref="D69:M69" si="24">(D67*(100-$N$60)*$D$96+($D$58-100)*$D$97)/1000</f>
        <v>0.11196363412057075</v>
      </c>
      <c r="E69" s="265">
        <f t="shared" si="24"/>
        <v>0.11196363412057075</v>
      </c>
      <c r="F69" s="265">
        <f t="shared" si="24"/>
        <v>0.11196363412057075</v>
      </c>
      <c r="G69" s="265">
        <f t="shared" si="24"/>
        <v>0.11196363412057075</v>
      </c>
      <c r="H69" s="265">
        <f t="shared" si="24"/>
        <v>0.11196363412057075</v>
      </c>
      <c r="I69" s="266">
        <f t="shared" si="24"/>
        <v>0.11196363412057075</v>
      </c>
      <c r="J69" s="266">
        <f t="shared" si="24"/>
        <v>0.39196966456591781</v>
      </c>
      <c r="K69" s="266">
        <f t="shared" si="24"/>
        <v>2.364048845384159E-2</v>
      </c>
      <c r="L69" s="266">
        <f t="shared" si="24"/>
        <v>1.9399999999999997E-2</v>
      </c>
      <c r="M69" s="266">
        <f t="shared" si="24"/>
        <v>1.9399999999999997E-2</v>
      </c>
      <c r="N69" s="263">
        <f t="shared" si="20"/>
        <v>0.11196132419536092</v>
      </c>
      <c r="O69" s="530"/>
      <c r="P69" s="530"/>
      <c r="Q69" s="530"/>
      <c r="R69" s="530"/>
      <c r="S69" s="530"/>
      <c r="T69" s="530"/>
      <c r="U69" s="530"/>
    </row>
    <row r="70" spans="1:21" ht="11.25" customHeight="1">
      <c r="A70" s="90"/>
      <c r="B70" s="190" t="s">
        <v>402</v>
      </c>
      <c r="C70" s="191" t="s">
        <v>403</v>
      </c>
      <c r="D70" s="265">
        <f>(SUM(D5:D8,D13:D14)+IF(Projectinformatie!C109&lt;&gt;"Elektriciteit",D12))/$D$105</f>
        <v>238.61005630521066</v>
      </c>
      <c r="E70" s="265">
        <f>(SUM(E5:E8,E13:E14)+IF(Projectinformatie!C109&lt;&gt;"Elektriciteit",E12))/$D$105</f>
        <v>263.62527716112317</v>
      </c>
      <c r="F70" s="265">
        <f>(SUM(F5:F8,F13:F14)+IF(Projectinformatie!C109&lt;&gt;"Elektriciteit",F12))/$D$105</f>
        <v>237.50058430521068</v>
      </c>
      <c r="G70" s="265">
        <f>(SUM(G5:G8,G13:G14)+IF(Projectinformatie!C109&lt;&gt;"Elektriciteit",G12))/$D$105</f>
        <v>237.50058430521068</v>
      </c>
      <c r="H70" s="265">
        <f>(SUM(H5:H8,H13:H14)+IF(Projectinformatie!C109&lt;&gt;"Elektriciteit",H12))/$D$105</f>
        <v>239.7195283052107</v>
      </c>
      <c r="I70" s="266">
        <f>(SUM(I5:I8,I13:I14)+IF(Projectinformatie!C109&lt;&gt;"Elektriciteit",I12))/$D$105</f>
        <v>233.20138030521071</v>
      </c>
      <c r="J70" s="266">
        <f>(SUM(J5:J8,J13:J14)+IF(Projectinformatie!D109&lt;&gt;"Elektriciteit",J12))/$D$105</f>
        <v>243.29929329517429</v>
      </c>
      <c r="K70" s="266">
        <f>(SUM(K5:K8,K13:K14)+IF(Projectinformatie!E109&lt;&gt;"Elektriciteit",K12))/$D$105</f>
        <v>244.60982856516438</v>
      </c>
      <c r="L70" s="266">
        <f>(SUM(L5:L8,L13:L14)+IF(Projectinformatie!F109&lt;&gt;"Elektriciteit",L12))/$D$105</f>
        <v>244.60982856516438</v>
      </c>
      <c r="M70" s="266">
        <f>(SUM(M5:M8,M13:M14)+IF(Projectinformatie!G109&lt;&gt;"Elektriciteit",M12))/$D$105</f>
        <v>233.9063156852107</v>
      </c>
      <c r="N70" s="263">
        <f t="shared" si="20"/>
        <v>246.01745627557207</v>
      </c>
      <c r="O70" s="530"/>
      <c r="P70" s="530"/>
      <c r="Q70" s="530"/>
      <c r="R70" s="530"/>
      <c r="S70" s="530"/>
      <c r="T70" s="530"/>
      <c r="U70" s="530"/>
    </row>
    <row r="71" spans="1:21" ht="11.25" customHeight="1">
      <c r="A71" s="90"/>
      <c r="B71" s="190" t="s">
        <v>404</v>
      </c>
      <c r="C71" s="191" t="s">
        <v>403</v>
      </c>
      <c r="D71" s="265">
        <f t="shared" ref="D71:I71" si="25">D70/(1-SUM(D68:D69)/$D$105)-D70</f>
        <v>-296.99077337823627</v>
      </c>
      <c r="E71" s="265">
        <f t="shared" si="25"/>
        <v>-328.12691278343488</v>
      </c>
      <c r="F71" s="265">
        <f t="shared" si="25"/>
        <v>-295.60984688911952</v>
      </c>
      <c r="G71" s="265">
        <f t="shared" si="25"/>
        <v>-295.60984688911952</v>
      </c>
      <c r="H71" s="265">
        <f t="shared" si="25"/>
        <v>-298.37169986735302</v>
      </c>
      <c r="I71" s="266">
        <f t="shared" si="25"/>
        <v>-290.25875674379228</v>
      </c>
      <c r="J71" s="266">
        <f t="shared" ref="J71:M71" si="26">J70/(1-SUM(J68:J69)/$D$105)-J70</f>
        <v>-256.50998568067064</v>
      </c>
      <c r="K71" s="266">
        <f t="shared" si="26"/>
        <v>77.319997088787943</v>
      </c>
      <c r="L71" s="266">
        <f t="shared" si="26"/>
        <v>4.8393133532165962</v>
      </c>
      <c r="M71" s="266">
        <f t="shared" si="26"/>
        <v>4.6275571326668228</v>
      </c>
      <c r="N71" s="263">
        <f t="shared" si="20"/>
        <v>-306.21069356214792</v>
      </c>
      <c r="O71" s="530"/>
      <c r="P71" s="530"/>
      <c r="Q71" s="530"/>
      <c r="R71" s="530"/>
      <c r="S71" s="530"/>
      <c r="T71" s="530"/>
      <c r="U71" s="530"/>
    </row>
    <row r="72" spans="1:21" ht="11.25" customHeight="1">
      <c r="A72" s="90"/>
      <c r="B72" s="190"/>
      <c r="C72" s="191"/>
      <c r="D72" s="265"/>
      <c r="E72" s="265"/>
      <c r="F72" s="265"/>
      <c r="G72" s="265"/>
      <c r="H72" s="265"/>
      <c r="I72" s="266"/>
      <c r="J72" s="266"/>
      <c r="K72" s="266"/>
      <c r="L72" s="266"/>
      <c r="M72" s="266"/>
      <c r="N72" s="268"/>
      <c r="O72" s="530"/>
      <c r="P72" s="530"/>
      <c r="Q72" s="530"/>
      <c r="R72" s="530"/>
      <c r="S72" s="530"/>
      <c r="T72" s="530"/>
      <c r="U72" s="530"/>
    </row>
    <row r="73" spans="1:21" ht="11.25" customHeight="1">
      <c r="A73" s="90"/>
      <c r="B73" s="237" t="s">
        <v>405</v>
      </c>
      <c r="C73" s="191"/>
      <c r="D73" s="265"/>
      <c r="E73" s="265"/>
      <c r="F73" s="265"/>
      <c r="G73" s="265"/>
      <c r="H73" s="265"/>
      <c r="I73" s="266"/>
      <c r="J73" s="266"/>
      <c r="K73" s="266"/>
      <c r="L73" s="266"/>
      <c r="M73" s="266"/>
      <c r="N73" s="244"/>
      <c r="O73" s="530"/>
      <c r="P73" s="530"/>
      <c r="Q73" s="530"/>
      <c r="R73" s="530"/>
      <c r="S73" s="530"/>
      <c r="T73" s="530"/>
      <c r="U73" s="530"/>
    </row>
    <row r="74" spans="1:21" ht="11.25" customHeight="1">
      <c r="A74" s="90"/>
      <c r="B74" s="190" t="s">
        <v>406</v>
      </c>
      <c r="C74" s="191" t="s">
        <v>241</v>
      </c>
      <c r="D74" s="192"/>
      <c r="E74" s="269"/>
      <c r="F74" s="269"/>
      <c r="G74" s="269"/>
      <c r="H74" s="269"/>
      <c r="I74" s="270"/>
      <c r="J74" s="270"/>
      <c r="K74" s="270"/>
      <c r="L74" s="270"/>
      <c r="M74" s="270"/>
      <c r="N74" s="260">
        <f>IF(Projectinformatie!C117="niet geisoleerd",0.02,IF(Projectinformatie!C117="geisoleerd",0.01,IF(Projectinformatie!C117="geisoleerd en omkast", 0.005)))</f>
        <v>0.01</v>
      </c>
      <c r="O74" s="530"/>
      <c r="P74" s="530"/>
      <c r="Q74" s="530"/>
      <c r="R74" s="530"/>
      <c r="S74" s="530"/>
      <c r="T74" s="530"/>
      <c r="U74" s="530"/>
    </row>
    <row r="75" spans="1:21" ht="9.75" customHeight="1">
      <c r="A75" s="90"/>
      <c r="B75" s="190" t="s">
        <v>407</v>
      </c>
      <c r="C75" s="191" t="s">
        <v>241</v>
      </c>
      <c r="D75" s="192"/>
      <c r="E75" s="269"/>
      <c r="F75" s="269"/>
      <c r="G75" s="269"/>
      <c r="H75" s="269"/>
      <c r="I75" s="270"/>
      <c r="J75" s="270"/>
      <c r="K75" s="270"/>
      <c r="L75" s="270"/>
      <c r="M75" s="270"/>
      <c r="N75" s="260">
        <f>IF(Projectinformatie!C118="niet geisoleerd",0.02,IF(Projectinformatie!C118="geisoleerd",0.01,IF(Projectinformatie!C118="geisoleerd en omkast", 0.005)))</f>
        <v>0.01</v>
      </c>
      <c r="O75" s="530"/>
      <c r="P75" s="530"/>
      <c r="Q75" s="530"/>
      <c r="R75" s="530"/>
      <c r="S75" s="530"/>
      <c r="T75" s="530"/>
      <c r="U75" s="530"/>
    </row>
    <row r="76" spans="1:21" ht="9.75" customHeight="1">
      <c r="A76" s="90"/>
      <c r="B76" s="190"/>
      <c r="C76" s="191"/>
      <c r="D76" s="269"/>
      <c r="E76" s="191"/>
      <c r="F76" s="191"/>
      <c r="G76" s="191"/>
      <c r="H76" s="191"/>
      <c r="I76" s="238"/>
      <c r="J76" s="238"/>
      <c r="K76" s="238"/>
      <c r="L76" s="238"/>
      <c r="M76" s="238"/>
      <c r="N76" s="244"/>
      <c r="O76" s="530"/>
      <c r="P76" s="530"/>
      <c r="Q76" s="530"/>
      <c r="R76" s="530"/>
      <c r="S76" s="530"/>
      <c r="T76" s="530"/>
      <c r="U76" s="530"/>
    </row>
    <row r="77" spans="1:21" ht="9.75" customHeight="1">
      <c r="A77" s="90"/>
      <c r="B77" s="237" t="s">
        <v>408</v>
      </c>
      <c r="C77" s="191"/>
      <c r="D77" s="269"/>
      <c r="E77" s="198"/>
      <c r="F77" s="198"/>
      <c r="G77" s="269"/>
      <c r="H77" s="269"/>
      <c r="I77" s="270"/>
      <c r="J77" s="270"/>
      <c r="K77" s="270"/>
      <c r="L77" s="270"/>
      <c r="M77" s="270"/>
      <c r="N77" s="244"/>
      <c r="O77" s="530"/>
      <c r="P77" s="530"/>
      <c r="Q77" s="530"/>
      <c r="R77" s="530"/>
      <c r="S77" s="530"/>
      <c r="T77" s="530"/>
      <c r="U77" s="530"/>
    </row>
    <row r="78" spans="1:21" ht="9.75" customHeight="1">
      <c r="A78" s="90"/>
      <c r="B78" s="190" t="s">
        <v>409</v>
      </c>
      <c r="C78" s="191" t="str">
        <f>IF(Projectinformatie!C109="Elektriciteit","kWh / a","m3 aardgas / a")</f>
        <v>kWh / a</v>
      </c>
      <c r="D78" s="191"/>
      <c r="E78" s="191"/>
      <c r="F78" s="191"/>
      <c r="G78" s="191"/>
      <c r="H78" s="191"/>
      <c r="I78" s="238"/>
      <c r="J78" s="238"/>
      <c r="K78" s="238"/>
      <c r="L78" s="238"/>
      <c r="M78" s="238"/>
      <c r="N78" s="271">
        <f>Projectinformatie!C115-MAX(0,Projectinformatie!C115-Lists!B82)</f>
        <v>400000</v>
      </c>
      <c r="O78" s="530"/>
      <c r="P78" s="530"/>
      <c r="Q78" s="530"/>
      <c r="R78" s="530"/>
      <c r="S78" s="530"/>
      <c r="T78" s="530"/>
      <c r="U78" s="530"/>
    </row>
    <row r="79" spans="1:21" ht="9.75" customHeight="1">
      <c r="A79" s="90"/>
      <c r="B79" s="190" t="s">
        <v>411</v>
      </c>
      <c r="C79" s="191" t="s">
        <v>241</v>
      </c>
      <c r="D79" s="249">
        <f>(D36*D25)/SUMPRODUCT($D36:$M36,$D25:$M25)</f>
        <v>0.16924984564527198</v>
      </c>
      <c r="E79" s="249">
        <f t="shared" ref="E79:M79" si="27">(E36*E25)/SUMPRODUCT($D36:$M36,$D25:$M25)</f>
        <v>0</v>
      </c>
      <c r="F79" s="249">
        <f t="shared" si="27"/>
        <v>0.54357005539662107</v>
      </c>
      <c r="G79" s="249">
        <f t="shared" si="27"/>
        <v>3.6826462485033108E-2</v>
      </c>
      <c r="H79" s="249">
        <f t="shared" si="27"/>
        <v>8.286136354132241E-6</v>
      </c>
      <c r="I79" s="249">
        <f t="shared" si="27"/>
        <v>0.25032380638219903</v>
      </c>
      <c r="J79" s="249">
        <f t="shared" si="27"/>
        <v>6.0764999930303099E-6</v>
      </c>
      <c r="K79" s="249">
        <f t="shared" si="27"/>
        <v>7.7337272638567574E-6</v>
      </c>
      <c r="L79" s="249">
        <f t="shared" si="27"/>
        <v>7.7337272638567574E-6</v>
      </c>
      <c r="M79" s="249">
        <f t="shared" si="27"/>
        <v>0</v>
      </c>
      <c r="N79" s="272">
        <f>SUM(D79:I79)</f>
        <v>0.99997845604547941</v>
      </c>
      <c r="O79" s="530"/>
      <c r="P79" s="530"/>
      <c r="Q79" s="530"/>
      <c r="R79" s="530"/>
      <c r="S79" s="530"/>
      <c r="T79" s="530"/>
      <c r="U79" s="530"/>
    </row>
    <row r="80" spans="1:21" ht="9.75" customHeight="1">
      <c r="A80" s="90"/>
      <c r="B80" s="190" t="s">
        <v>413</v>
      </c>
      <c r="C80" s="191" t="str">
        <f>IF(Projectinformatie!C109="Elektriciteit","kWh / ton / a","m3 aardgas / ton / a")</f>
        <v>kWh / ton / a</v>
      </c>
      <c r="D80" s="192">
        <f t="shared" ref="D80:M80" si="28">IF(ISERROR(((D79*$N25)*($N78/$N25)/D25)),0,((D79*$N25)*($N78/$N25)/D25))</f>
        <v>2.4305999972121239</v>
      </c>
      <c r="E80" s="192">
        <f t="shared" si="28"/>
        <v>0</v>
      </c>
      <c r="F80" s="192">
        <f t="shared" si="28"/>
        <v>3.0934909055427027</v>
      </c>
      <c r="G80" s="192">
        <f t="shared" si="28"/>
        <v>3.0934909055427027</v>
      </c>
      <c r="H80" s="192">
        <f t="shared" si="28"/>
        <v>3.3144545416528959</v>
      </c>
      <c r="I80" s="193">
        <f t="shared" si="28"/>
        <v>4.0325863590110229</v>
      </c>
      <c r="J80" s="193">
        <f t="shared" si="28"/>
        <v>2.4305999972121239</v>
      </c>
      <c r="K80" s="193">
        <f t="shared" si="28"/>
        <v>3.0934909055427027</v>
      </c>
      <c r="L80" s="193">
        <f t="shared" si="28"/>
        <v>3.0934909055427027</v>
      </c>
      <c r="M80" s="193">
        <f t="shared" si="28"/>
        <v>0</v>
      </c>
      <c r="N80" s="248">
        <f>SUMPRODUCT(D80:I80,D25:I25)/N25</f>
        <v>2.0630586556623758</v>
      </c>
      <c r="O80" s="530"/>
      <c r="P80" s="530"/>
      <c r="Q80" s="530"/>
      <c r="R80" s="530"/>
      <c r="S80" s="530"/>
      <c r="T80" s="530"/>
      <c r="U80" s="530"/>
    </row>
    <row r="81" spans="1:21" ht="9.75" customHeight="1">
      <c r="A81" s="90"/>
      <c r="B81" s="190"/>
      <c r="C81" s="191"/>
      <c r="D81" s="192"/>
      <c r="E81" s="192"/>
      <c r="F81" s="192"/>
      <c r="G81" s="192"/>
      <c r="H81" s="192"/>
      <c r="I81" s="193"/>
      <c r="J81" s="193"/>
      <c r="K81" s="193"/>
      <c r="L81" s="193"/>
      <c r="M81" s="193"/>
      <c r="N81" s="248"/>
      <c r="O81" s="530"/>
      <c r="P81" s="530"/>
      <c r="Q81" s="530"/>
      <c r="R81" s="530"/>
      <c r="S81" s="530"/>
      <c r="T81" s="530"/>
      <c r="U81" s="530"/>
    </row>
    <row r="82" spans="1:21" ht="9.75" customHeight="1">
      <c r="A82" s="90"/>
      <c r="B82" s="237" t="s">
        <v>331</v>
      </c>
      <c r="C82" s="191"/>
      <c r="D82" s="192"/>
      <c r="E82" s="192"/>
      <c r="F82" s="192"/>
      <c r="G82" s="192"/>
      <c r="H82" s="192"/>
      <c r="I82" s="193"/>
      <c r="J82" s="193"/>
      <c r="K82" s="193"/>
      <c r="L82" s="193"/>
      <c r="M82" s="193"/>
      <c r="N82" s="248"/>
      <c r="O82" s="530"/>
      <c r="P82" s="530"/>
      <c r="Q82" s="530"/>
      <c r="R82" s="530"/>
      <c r="S82" s="530"/>
      <c r="T82" s="530"/>
      <c r="U82" s="530"/>
    </row>
    <row r="83" spans="1:21" ht="9.75" customHeight="1">
      <c r="A83" s="90"/>
      <c r="B83" s="190" t="s">
        <v>414</v>
      </c>
      <c r="C83" s="191" t="s">
        <v>415</v>
      </c>
      <c r="D83" s="197">
        <f>Projectinformatie!$C$121*$D$113/$N$25</f>
        <v>15.473273272963498</v>
      </c>
      <c r="E83" s="197">
        <f>Projectinformatie!$C$121*$D$113/$N$25</f>
        <v>15.473273272963498</v>
      </c>
      <c r="F83" s="197">
        <f>Projectinformatie!$C$121*$D$113/$N$25</f>
        <v>15.473273272963498</v>
      </c>
      <c r="G83" s="197">
        <f>Projectinformatie!$C$121*$D$113/$N$25</f>
        <v>15.473273272963498</v>
      </c>
      <c r="H83" s="197">
        <f>Projectinformatie!$C$121*$D$113/$N$25</f>
        <v>15.473273272963498</v>
      </c>
      <c r="I83" s="240">
        <f>Projectinformatie!$C$121*$D$113/$N$25</f>
        <v>15.473273272963498</v>
      </c>
      <c r="J83" s="240">
        <f>Projectinformatie!$C$121*$D$113/$N$25</f>
        <v>15.473273272963498</v>
      </c>
      <c r="K83" s="240">
        <f>Projectinformatie!$C$121*$D$113/$N$25</f>
        <v>15.473273272963498</v>
      </c>
      <c r="L83" s="240">
        <f>Projectinformatie!$C$121*$D$113/$N$25</f>
        <v>15.473273272963498</v>
      </c>
      <c r="M83" s="240">
        <f>Projectinformatie!$C$121*$D$113/$N$25</f>
        <v>15.473273272963498</v>
      </c>
      <c r="N83" s="248"/>
      <c r="O83" s="530"/>
      <c r="P83" s="530"/>
      <c r="Q83" s="530"/>
      <c r="R83" s="530"/>
      <c r="S83" s="530"/>
      <c r="T83" s="530"/>
      <c r="U83" s="530"/>
    </row>
    <row r="84" spans="1:21" ht="9.75" customHeight="1">
      <c r="A84" s="90"/>
      <c r="B84" s="190"/>
      <c r="C84" s="191"/>
      <c r="D84" s="192"/>
      <c r="E84" s="192"/>
      <c r="F84" s="192"/>
      <c r="G84" s="192"/>
      <c r="H84" s="192"/>
      <c r="I84" s="193"/>
      <c r="J84" s="193"/>
      <c r="K84" s="193"/>
      <c r="L84" s="193"/>
      <c r="M84" s="193"/>
      <c r="N84" s="244"/>
      <c r="O84" s="554"/>
      <c r="P84" s="530"/>
      <c r="Q84" s="530"/>
      <c r="R84" s="530"/>
      <c r="S84" s="530"/>
      <c r="T84" s="530"/>
      <c r="U84" s="530"/>
    </row>
    <row r="85" spans="1:21" ht="9.75" customHeight="1">
      <c r="A85" s="90"/>
      <c r="B85" s="237" t="s">
        <v>416</v>
      </c>
      <c r="C85" s="191"/>
      <c r="D85" s="191"/>
      <c r="E85" s="191"/>
      <c r="F85" s="191"/>
      <c r="G85" s="191"/>
      <c r="H85" s="191"/>
      <c r="I85" s="238"/>
      <c r="J85" s="238"/>
      <c r="K85" s="238"/>
      <c r="L85" s="238"/>
      <c r="M85" s="238"/>
      <c r="N85" s="244"/>
      <c r="O85" s="530"/>
      <c r="P85" s="530"/>
      <c r="Q85" s="530"/>
      <c r="R85" s="530"/>
      <c r="S85" s="530"/>
      <c r="T85" s="530"/>
      <c r="U85" s="530"/>
    </row>
    <row r="86" spans="1:21" ht="9.75" customHeight="1">
      <c r="A86" s="90"/>
      <c r="B86" s="190" t="s">
        <v>417</v>
      </c>
      <c r="C86" s="191" t="s">
        <v>418</v>
      </c>
      <c r="D86" s="191"/>
      <c r="E86" s="191"/>
      <c r="F86" s="191"/>
      <c r="G86" s="191"/>
      <c r="H86" s="191"/>
      <c r="I86" s="238"/>
      <c r="J86" s="238"/>
      <c r="K86" s="238"/>
      <c r="L86" s="238"/>
      <c r="M86" s="238"/>
      <c r="N86" s="273">
        <f>MAX(0,IF(Projectinformatie!C109="Elektriciteit",Lists!B82-Projectinformatie!C115,Lists!B82))</f>
        <v>648064.5</v>
      </c>
      <c r="O86" s="530"/>
      <c r="P86" s="530"/>
      <c r="Q86" s="530"/>
      <c r="R86" s="530"/>
      <c r="S86" s="530"/>
      <c r="T86" s="530"/>
      <c r="U86" s="530"/>
    </row>
    <row r="87" spans="1:21" ht="9.75" customHeight="1" thickBot="1">
      <c r="A87" s="90"/>
      <c r="B87" s="274" t="s">
        <v>337</v>
      </c>
      <c r="C87" s="275" t="s">
        <v>419</v>
      </c>
      <c r="D87" s="471">
        <f>$N86/$N25</f>
        <v>3.3425597023354841</v>
      </c>
      <c r="E87" s="276">
        <f t="shared" ref="E87:M87" si="29">$N86/$N25</f>
        <v>3.3425597023354841</v>
      </c>
      <c r="F87" s="276">
        <f t="shared" si="29"/>
        <v>3.3425597023354841</v>
      </c>
      <c r="G87" s="276">
        <f t="shared" si="29"/>
        <v>3.3425597023354841</v>
      </c>
      <c r="H87" s="276">
        <f t="shared" si="29"/>
        <v>3.3425597023354841</v>
      </c>
      <c r="I87" s="277">
        <f t="shared" si="29"/>
        <v>3.3425597023354841</v>
      </c>
      <c r="J87" s="277">
        <f t="shared" si="29"/>
        <v>3.3425597023354841</v>
      </c>
      <c r="K87" s="277">
        <f t="shared" si="29"/>
        <v>3.3425597023354841</v>
      </c>
      <c r="L87" s="277">
        <f t="shared" si="29"/>
        <v>3.3425597023354841</v>
      </c>
      <c r="M87" s="277">
        <f t="shared" si="29"/>
        <v>3.3425597023354841</v>
      </c>
      <c r="N87" s="278"/>
      <c r="O87" s="530"/>
      <c r="P87" s="530"/>
      <c r="Q87" s="530"/>
      <c r="R87" s="530"/>
      <c r="S87" s="530"/>
      <c r="T87" s="530"/>
      <c r="U87" s="530"/>
    </row>
    <row r="88" spans="1:21" ht="9.75" customHeight="1" thickBot="1">
      <c r="A88" s="90"/>
      <c r="B88" s="555"/>
      <c r="C88" s="165"/>
      <c r="D88" s="165"/>
      <c r="E88" s="165"/>
      <c r="F88" s="165"/>
      <c r="G88" s="165"/>
      <c r="H88" s="165"/>
      <c r="I88" s="165"/>
      <c r="J88" s="165"/>
      <c r="K88" s="165"/>
      <c r="L88" s="165"/>
      <c r="M88" s="165"/>
      <c r="N88" s="165"/>
      <c r="O88" s="530"/>
      <c r="P88" s="530"/>
      <c r="Q88" s="530"/>
      <c r="R88" s="530"/>
      <c r="S88" s="530"/>
      <c r="T88" s="530"/>
      <c r="U88" s="530"/>
    </row>
    <row r="89" spans="1:21" ht="9.75" customHeight="1" thickBot="1">
      <c r="A89" s="90"/>
      <c r="B89" s="625" t="s">
        <v>421</v>
      </c>
      <c r="C89" s="626"/>
      <c r="D89" s="551"/>
      <c r="E89" s="548"/>
      <c r="F89" s="548"/>
      <c r="G89" s="548"/>
      <c r="H89" s="548"/>
      <c r="I89" s="548"/>
      <c r="J89" s="548"/>
      <c r="K89" s="548"/>
      <c r="L89" s="548"/>
      <c r="M89" s="548"/>
      <c r="N89" s="548"/>
      <c r="O89" s="530"/>
      <c r="P89" s="530"/>
      <c r="Q89" s="530"/>
      <c r="R89" s="530"/>
      <c r="S89" s="530"/>
      <c r="T89" s="530"/>
      <c r="U89" s="530"/>
    </row>
    <row r="90" spans="1:21" ht="9.75" customHeight="1">
      <c r="A90" s="90"/>
      <c r="B90" s="570"/>
      <c r="C90" s="571"/>
      <c r="D90" s="572"/>
      <c r="E90" s="530"/>
      <c r="F90" s="530"/>
      <c r="G90" s="530"/>
      <c r="H90" s="530"/>
      <c r="I90" s="530"/>
      <c r="J90" s="530"/>
      <c r="K90" s="530"/>
      <c r="L90" s="530"/>
      <c r="M90" s="530"/>
      <c r="N90" s="530"/>
      <c r="O90" s="530"/>
      <c r="P90" s="530"/>
      <c r="Q90" s="530"/>
      <c r="R90" s="530"/>
      <c r="S90" s="530"/>
      <c r="T90" s="530"/>
      <c r="U90" s="530"/>
    </row>
    <row r="91" spans="1:21" ht="9.75" customHeight="1">
      <c r="A91" s="90"/>
      <c r="B91" s="568" t="s">
        <v>423</v>
      </c>
      <c r="C91" s="569" t="s">
        <v>424</v>
      </c>
      <c r="D91" s="566">
        <v>0.84</v>
      </c>
      <c r="E91" s="530"/>
      <c r="F91" s="530"/>
      <c r="G91" s="530"/>
      <c r="H91" s="530"/>
      <c r="I91" s="530"/>
      <c r="J91" s="530"/>
      <c r="K91" s="530"/>
      <c r="L91" s="530"/>
      <c r="M91" s="530"/>
      <c r="N91" s="530"/>
      <c r="O91" s="530"/>
      <c r="P91" s="530"/>
      <c r="Q91" s="530"/>
      <c r="R91" s="530"/>
      <c r="S91" s="530"/>
      <c r="T91" s="530"/>
      <c r="U91" s="530"/>
    </row>
    <row r="92" spans="1:21" ht="9.75" customHeight="1">
      <c r="A92" s="90"/>
      <c r="B92" s="556" t="s">
        <v>425</v>
      </c>
      <c r="C92" s="178" t="s">
        <v>424</v>
      </c>
      <c r="D92" s="557">
        <v>0.84</v>
      </c>
      <c r="E92" s="530"/>
      <c r="F92" s="530"/>
      <c r="G92" s="530"/>
      <c r="H92" s="530"/>
      <c r="I92" s="530"/>
      <c r="J92" s="530"/>
      <c r="K92" s="530"/>
      <c r="L92" s="530"/>
      <c r="M92" s="530"/>
      <c r="N92" s="530"/>
      <c r="O92" s="530"/>
      <c r="P92" s="530"/>
      <c r="Q92" s="530"/>
      <c r="R92" s="530"/>
      <c r="S92" s="530"/>
      <c r="T92" s="530"/>
      <c r="U92" s="530"/>
    </row>
    <row r="93" spans="1:21" ht="9.75" customHeight="1">
      <c r="A93" s="90"/>
      <c r="B93" s="556" t="s">
        <v>426</v>
      </c>
      <c r="C93" s="191" t="s">
        <v>424</v>
      </c>
      <c r="D93" s="557">
        <v>0.89</v>
      </c>
      <c r="E93" s="530"/>
      <c r="F93" s="530"/>
      <c r="G93" s="530"/>
      <c r="H93" s="530"/>
      <c r="I93" s="530"/>
      <c r="J93" s="530"/>
      <c r="K93" s="530"/>
      <c r="L93" s="530"/>
      <c r="M93" s="530"/>
      <c r="N93" s="530"/>
      <c r="O93" s="530"/>
      <c r="P93" s="530"/>
      <c r="Q93" s="530"/>
      <c r="R93" s="530"/>
      <c r="S93" s="530"/>
      <c r="T93" s="530"/>
      <c r="U93" s="530"/>
    </row>
    <row r="94" spans="1:21" ht="9.75" customHeight="1">
      <c r="A94" s="90"/>
      <c r="B94" s="556" t="s">
        <v>427</v>
      </c>
      <c r="C94" s="191" t="s">
        <v>424</v>
      </c>
      <c r="D94" s="557">
        <f>AVERAGE(1.11,1.306)</f>
        <v>1.2080000000000002</v>
      </c>
      <c r="E94" s="530"/>
      <c r="F94" s="530"/>
      <c r="G94" s="530"/>
      <c r="H94" s="530"/>
      <c r="I94" s="530"/>
      <c r="J94" s="530"/>
      <c r="K94" s="530"/>
      <c r="L94" s="530"/>
      <c r="M94" s="530"/>
      <c r="N94" s="530"/>
      <c r="O94" s="530"/>
      <c r="P94" s="530"/>
      <c r="Q94" s="530"/>
      <c r="R94" s="530"/>
      <c r="S94" s="530"/>
      <c r="T94" s="530"/>
      <c r="U94" s="530"/>
    </row>
    <row r="95" spans="1:21" ht="9.75" customHeight="1">
      <c r="A95" s="90"/>
      <c r="B95" s="556" t="s">
        <v>428</v>
      </c>
      <c r="C95" s="191" t="s">
        <v>429</v>
      </c>
      <c r="D95" s="557">
        <v>2260</v>
      </c>
      <c r="E95" s="530"/>
      <c r="F95" s="530"/>
      <c r="G95" s="530"/>
      <c r="H95" s="530"/>
      <c r="I95" s="530"/>
      <c r="J95" s="530"/>
      <c r="K95" s="530"/>
      <c r="L95" s="530"/>
      <c r="M95" s="530"/>
      <c r="N95" s="530"/>
      <c r="O95" s="530"/>
      <c r="P95" s="530"/>
      <c r="Q95" s="530"/>
      <c r="R95" s="530"/>
      <c r="S95" s="530"/>
      <c r="T95" s="530"/>
      <c r="U95" s="530"/>
    </row>
    <row r="96" spans="1:21" ht="9.75" customHeight="1">
      <c r="A96" s="90"/>
      <c r="B96" s="556" t="s">
        <v>430</v>
      </c>
      <c r="C96" s="191" t="s">
        <v>424</v>
      </c>
      <c r="D96" s="557">
        <v>4.18</v>
      </c>
      <c r="E96" s="530"/>
      <c r="F96" s="530"/>
      <c r="G96" s="530"/>
      <c r="H96" s="530"/>
      <c r="I96" s="530"/>
      <c r="J96" s="530"/>
      <c r="K96" s="530"/>
      <c r="L96" s="530"/>
      <c r="M96" s="530"/>
      <c r="N96" s="530"/>
      <c r="O96" s="530"/>
      <c r="P96" s="530"/>
      <c r="Q96" s="530"/>
      <c r="R96" s="530"/>
      <c r="S96" s="530"/>
      <c r="T96" s="530"/>
      <c r="U96" s="530"/>
    </row>
    <row r="97" spans="1:21" ht="9.75" customHeight="1">
      <c r="A97" s="90"/>
      <c r="B97" s="556" t="s">
        <v>431</v>
      </c>
      <c r="C97" s="191" t="s">
        <v>424</v>
      </c>
      <c r="D97" s="557">
        <v>1.94</v>
      </c>
      <c r="E97" s="530"/>
      <c r="F97" s="530"/>
      <c r="G97" s="530"/>
      <c r="H97" s="530"/>
      <c r="I97" s="530"/>
      <c r="J97" s="530"/>
      <c r="K97" s="530"/>
      <c r="L97" s="530"/>
      <c r="M97" s="530"/>
      <c r="N97" s="530"/>
      <c r="O97" s="530"/>
      <c r="P97" s="530"/>
      <c r="Q97" s="530"/>
      <c r="R97" s="530"/>
      <c r="S97" s="530"/>
      <c r="T97" s="530"/>
      <c r="U97" s="530"/>
    </row>
    <row r="98" spans="1:21" ht="9.75" customHeight="1">
      <c r="A98" s="90"/>
      <c r="B98" s="556" t="s">
        <v>432</v>
      </c>
      <c r="C98" s="191" t="s">
        <v>424</v>
      </c>
      <c r="D98" s="557">
        <f>AVERAGE(1.21,1.38)</f>
        <v>1.2949999999999999</v>
      </c>
      <c r="E98" s="530"/>
      <c r="F98" s="530"/>
      <c r="G98" s="530"/>
      <c r="H98" s="530"/>
      <c r="I98" s="530"/>
      <c r="J98" s="530"/>
      <c r="K98" s="530"/>
      <c r="L98" s="530"/>
      <c r="M98" s="530"/>
      <c r="N98" s="530"/>
      <c r="O98" s="530"/>
      <c r="P98" s="530"/>
      <c r="Q98" s="530"/>
      <c r="R98" s="530"/>
      <c r="S98" s="530"/>
      <c r="T98" s="530"/>
      <c r="U98" s="530"/>
    </row>
    <row r="99" spans="1:21" ht="9.75" customHeight="1">
      <c r="A99" s="90"/>
      <c r="B99" s="556" t="s">
        <v>433</v>
      </c>
      <c r="C99" s="191" t="s">
        <v>424</v>
      </c>
      <c r="D99" s="557">
        <v>2.2000000000000002</v>
      </c>
      <c r="E99" s="530"/>
      <c r="F99" s="530"/>
      <c r="G99" s="530"/>
      <c r="H99" s="530"/>
      <c r="I99" s="530"/>
      <c r="J99" s="530"/>
      <c r="K99" s="530"/>
      <c r="L99" s="530"/>
      <c r="M99" s="530"/>
      <c r="N99" s="530"/>
      <c r="O99" s="530"/>
      <c r="P99" s="530"/>
      <c r="Q99" s="530"/>
      <c r="R99" s="530"/>
      <c r="S99" s="530"/>
      <c r="T99" s="530"/>
      <c r="U99" s="530"/>
    </row>
    <row r="100" spans="1:21" ht="9.75" customHeight="1">
      <c r="A100" s="90"/>
      <c r="B100" s="556" t="s">
        <v>434</v>
      </c>
      <c r="C100" s="191" t="s">
        <v>424</v>
      </c>
      <c r="D100" s="558">
        <v>2</v>
      </c>
      <c r="E100" s="530"/>
      <c r="F100" s="530"/>
      <c r="G100" s="530"/>
      <c r="H100" s="530"/>
      <c r="I100" s="530"/>
      <c r="J100" s="530"/>
      <c r="K100" s="530"/>
      <c r="L100" s="530"/>
      <c r="M100" s="530"/>
      <c r="N100" s="530"/>
      <c r="O100" s="530"/>
      <c r="P100" s="530"/>
      <c r="Q100" s="530"/>
      <c r="R100" s="530"/>
      <c r="S100" s="530"/>
      <c r="T100" s="530"/>
      <c r="U100" s="530"/>
    </row>
    <row r="101" spans="1:21" ht="9.75" customHeight="1">
      <c r="A101" s="90"/>
      <c r="B101" s="556" t="s">
        <v>435</v>
      </c>
      <c r="C101" s="191" t="s">
        <v>436</v>
      </c>
      <c r="D101" s="557">
        <v>1.18</v>
      </c>
      <c r="E101" s="530"/>
      <c r="F101" s="530"/>
      <c r="G101" s="530"/>
      <c r="H101" s="530"/>
      <c r="I101" s="530"/>
      <c r="J101" s="530"/>
      <c r="K101" s="530"/>
      <c r="L101" s="530"/>
      <c r="M101" s="530"/>
      <c r="N101" s="530"/>
      <c r="O101" s="530"/>
      <c r="P101" s="530"/>
      <c r="Q101" s="530"/>
      <c r="R101" s="530"/>
      <c r="S101" s="530"/>
      <c r="T101" s="530"/>
      <c r="U101" s="530"/>
    </row>
    <row r="102" spans="1:21" ht="9.75" customHeight="1">
      <c r="A102" s="90"/>
      <c r="B102" s="556" t="s">
        <v>437</v>
      </c>
      <c r="C102" s="191" t="s">
        <v>436</v>
      </c>
      <c r="D102" s="557">
        <v>1.1399999999999999</v>
      </c>
      <c r="E102" s="530"/>
      <c r="F102" s="530"/>
      <c r="G102" s="530"/>
      <c r="H102" s="530"/>
      <c r="I102" s="530"/>
      <c r="J102" s="530"/>
      <c r="K102" s="530"/>
      <c r="L102" s="530"/>
      <c r="M102" s="530"/>
      <c r="N102" s="530"/>
      <c r="O102" s="530"/>
      <c r="P102" s="530"/>
      <c r="Q102" s="530"/>
      <c r="R102" s="530"/>
      <c r="S102" s="530"/>
      <c r="T102" s="530"/>
      <c r="U102" s="530"/>
    </row>
    <row r="103" spans="1:21" ht="9.75" customHeight="1">
      <c r="A103" s="90"/>
      <c r="B103" s="556" t="s">
        <v>438</v>
      </c>
      <c r="C103" s="191" t="s">
        <v>439</v>
      </c>
      <c r="D103" s="557">
        <v>7.4999999999999997E-3</v>
      </c>
      <c r="E103" s="530"/>
      <c r="F103" s="530"/>
      <c r="G103" s="530"/>
      <c r="H103" s="530"/>
      <c r="I103" s="530"/>
      <c r="J103" s="530"/>
      <c r="K103" s="530"/>
      <c r="L103" s="530"/>
      <c r="M103" s="530"/>
      <c r="N103" s="530"/>
      <c r="O103" s="530"/>
      <c r="P103" s="530"/>
      <c r="Q103" s="530"/>
      <c r="R103" s="530"/>
      <c r="S103" s="530"/>
      <c r="T103" s="530"/>
      <c r="U103" s="530"/>
    </row>
    <row r="104" spans="1:21" ht="9.75" customHeight="1">
      <c r="A104" s="90"/>
      <c r="B104" s="556" t="s">
        <v>440</v>
      </c>
      <c r="C104" s="191" t="s">
        <v>441</v>
      </c>
      <c r="D104" s="559">
        <f>2/0.21/34.8</f>
        <v>0.27367268746579093</v>
      </c>
      <c r="E104" s="530"/>
      <c r="F104" s="530"/>
      <c r="G104" s="530"/>
      <c r="H104" s="530"/>
      <c r="I104" s="530"/>
      <c r="J104" s="530"/>
      <c r="K104" s="530"/>
      <c r="L104" s="530"/>
      <c r="M104" s="530"/>
      <c r="N104" s="530"/>
      <c r="O104" s="530"/>
      <c r="P104" s="530"/>
      <c r="Q104" s="530"/>
      <c r="R104" s="530"/>
      <c r="S104" s="530"/>
      <c r="T104" s="530"/>
      <c r="U104" s="530"/>
    </row>
    <row r="105" spans="1:21" ht="9.75" customHeight="1">
      <c r="A105" s="90"/>
      <c r="B105" s="556" t="s">
        <v>442</v>
      </c>
      <c r="C105" s="191" t="s">
        <v>443</v>
      </c>
      <c r="D105" s="559">
        <f>Energiedragers!D3</f>
        <v>1</v>
      </c>
      <c r="E105" s="530"/>
      <c r="F105" s="530"/>
      <c r="G105" s="530"/>
      <c r="H105" s="530"/>
      <c r="I105" s="530"/>
      <c r="J105" s="530"/>
      <c r="K105" s="530"/>
      <c r="L105" s="530"/>
      <c r="M105" s="530"/>
      <c r="N105" s="530"/>
      <c r="O105" s="530"/>
      <c r="P105" s="530"/>
      <c r="Q105" s="530"/>
      <c r="R105" s="530"/>
      <c r="S105" s="530"/>
      <c r="T105" s="530"/>
      <c r="U105" s="530"/>
    </row>
    <row r="106" spans="1:21" ht="9.75" customHeight="1">
      <c r="A106" s="90"/>
      <c r="B106" s="556" t="s">
        <v>444</v>
      </c>
      <c r="C106" s="191" t="s">
        <v>445</v>
      </c>
      <c r="D106" s="560">
        <f>Energiedragers!D50</f>
        <v>40.18</v>
      </c>
      <c r="E106" s="530"/>
      <c r="F106" s="530"/>
      <c r="G106" s="530"/>
      <c r="H106" s="530"/>
      <c r="I106" s="530"/>
      <c r="J106" s="530"/>
      <c r="K106" s="530"/>
      <c r="L106" s="530"/>
      <c r="M106" s="530"/>
      <c r="N106" s="530"/>
      <c r="O106" s="530"/>
      <c r="P106" s="530"/>
      <c r="Q106" s="530"/>
      <c r="R106" s="530"/>
      <c r="S106" s="530"/>
      <c r="T106" s="530"/>
      <c r="U106" s="530"/>
    </row>
    <row r="107" spans="1:21" ht="9.75" customHeight="1">
      <c r="A107" s="90"/>
      <c r="B107" s="556" t="s">
        <v>446</v>
      </c>
      <c r="C107" s="191" t="s">
        <v>447</v>
      </c>
      <c r="D107" s="557">
        <f>3600/1000</f>
        <v>3.6</v>
      </c>
      <c r="E107" s="530"/>
      <c r="F107" s="530"/>
      <c r="G107" s="530"/>
      <c r="H107" s="530"/>
      <c r="I107" s="530"/>
      <c r="J107" s="530"/>
      <c r="K107" s="530"/>
      <c r="L107" s="530"/>
      <c r="M107" s="530"/>
      <c r="N107" s="530"/>
      <c r="O107" s="530"/>
      <c r="P107" s="530"/>
      <c r="Q107" s="530"/>
      <c r="R107" s="530"/>
      <c r="S107" s="530"/>
      <c r="T107" s="530"/>
      <c r="U107" s="530"/>
    </row>
    <row r="108" spans="1:21" ht="9.75" customHeight="1">
      <c r="A108" s="90"/>
      <c r="B108" s="556" t="s">
        <v>448</v>
      </c>
      <c r="C108" s="191" t="s">
        <v>449</v>
      </c>
      <c r="D108" s="557">
        <v>1.78</v>
      </c>
      <c r="E108" s="530"/>
      <c r="F108" s="530"/>
      <c r="G108" s="530"/>
      <c r="H108" s="530"/>
      <c r="I108" s="530"/>
      <c r="J108" s="530"/>
      <c r="K108" s="530"/>
      <c r="L108" s="530"/>
      <c r="M108" s="530"/>
      <c r="N108" s="530"/>
      <c r="O108" s="530"/>
      <c r="P108" s="530"/>
      <c r="Q108" s="530"/>
      <c r="R108" s="530"/>
      <c r="S108" s="530"/>
      <c r="T108" s="530"/>
      <c r="U108" s="530"/>
    </row>
    <row r="109" spans="1:21" ht="9.75" customHeight="1">
      <c r="A109" s="90"/>
      <c r="B109" s="556" t="s">
        <v>450</v>
      </c>
      <c r="C109" s="191" t="s">
        <v>451</v>
      </c>
      <c r="D109" s="557">
        <v>0.56599999999999995</v>
      </c>
      <c r="E109" s="530"/>
      <c r="F109" s="530"/>
      <c r="G109" s="530"/>
      <c r="H109" s="530"/>
      <c r="I109" s="530"/>
      <c r="J109" s="530"/>
      <c r="K109" s="530"/>
      <c r="L109" s="530"/>
      <c r="M109" s="530"/>
      <c r="N109" s="530"/>
      <c r="O109" s="530"/>
      <c r="P109" s="530"/>
      <c r="Q109" s="530"/>
      <c r="R109" s="530"/>
      <c r="S109" s="530"/>
      <c r="T109" s="530"/>
      <c r="U109" s="530"/>
    </row>
    <row r="110" spans="1:21" ht="9.75" customHeight="1">
      <c r="A110" s="90"/>
      <c r="B110" s="556" t="s">
        <v>452</v>
      </c>
      <c r="C110" s="191" t="s">
        <v>383</v>
      </c>
      <c r="D110" s="557">
        <v>100</v>
      </c>
      <c r="E110" s="530"/>
      <c r="F110" s="530"/>
      <c r="G110" s="530"/>
      <c r="H110" s="530"/>
      <c r="I110" s="530"/>
      <c r="J110" s="530"/>
      <c r="K110" s="530"/>
      <c r="L110" s="530"/>
      <c r="M110" s="530"/>
      <c r="N110" s="530"/>
      <c r="O110" s="530"/>
      <c r="P110" s="530"/>
      <c r="Q110" s="530"/>
      <c r="R110" s="530"/>
      <c r="S110" s="530"/>
      <c r="T110" s="530"/>
      <c r="U110" s="530"/>
    </row>
    <row r="111" spans="1:21" ht="9.75" customHeight="1">
      <c r="A111" s="90"/>
      <c r="B111" s="556" t="s">
        <v>453</v>
      </c>
      <c r="C111" s="191" t="s">
        <v>381</v>
      </c>
      <c r="D111" s="561">
        <v>0.21</v>
      </c>
      <c r="E111" s="530"/>
      <c r="F111" s="530"/>
      <c r="G111" s="530"/>
      <c r="H111" s="530"/>
      <c r="I111" s="530"/>
      <c r="J111" s="530"/>
      <c r="K111" s="530"/>
      <c r="L111" s="530"/>
      <c r="M111" s="530"/>
      <c r="N111" s="530"/>
      <c r="O111" s="530"/>
      <c r="P111" s="530"/>
      <c r="Q111" s="530"/>
      <c r="R111" s="530"/>
      <c r="S111" s="530"/>
      <c r="T111" s="530"/>
      <c r="U111" s="530"/>
    </row>
    <row r="112" spans="1:21" ht="9.75" customHeight="1">
      <c r="A112" s="90"/>
      <c r="B112" s="556" t="s">
        <v>454</v>
      </c>
      <c r="C112" s="191" t="s">
        <v>455</v>
      </c>
      <c r="D112" s="557">
        <f>IF(Projectinformatie!C67="Drummixer",2000,4000)</f>
        <v>4000</v>
      </c>
      <c r="E112" s="530"/>
      <c r="F112" s="530"/>
      <c r="G112" s="530"/>
      <c r="H112" s="530"/>
      <c r="I112" s="530"/>
      <c r="J112" s="530"/>
      <c r="K112" s="530"/>
      <c r="L112" s="530"/>
      <c r="M112" s="530"/>
      <c r="N112" s="530"/>
      <c r="O112" s="530"/>
      <c r="P112" s="530"/>
      <c r="Q112" s="530"/>
      <c r="R112" s="530"/>
      <c r="S112" s="530"/>
      <c r="T112" s="530"/>
      <c r="U112" s="530"/>
    </row>
    <row r="113" spans="1:21" ht="9.75" customHeight="1">
      <c r="A113" s="90"/>
      <c r="B113" s="556" t="s">
        <v>287</v>
      </c>
      <c r="C113" s="191" t="s">
        <v>288</v>
      </c>
      <c r="D113" s="562">
        <f>Projectinformatie!C122</f>
        <v>1500</v>
      </c>
      <c r="E113" s="530"/>
      <c r="F113" s="530"/>
      <c r="G113" s="530"/>
      <c r="H113" s="530"/>
      <c r="I113" s="530"/>
      <c r="J113" s="530"/>
      <c r="K113" s="530"/>
      <c r="L113" s="530"/>
      <c r="M113" s="530"/>
      <c r="N113" s="530"/>
      <c r="O113" s="530"/>
      <c r="P113" s="530"/>
      <c r="Q113" s="530"/>
      <c r="R113" s="530"/>
      <c r="S113" s="530"/>
      <c r="T113" s="530"/>
      <c r="U113" s="530"/>
    </row>
    <row r="114" spans="1:21" ht="9.75" customHeight="1">
      <c r="A114" s="90"/>
      <c r="B114" s="556" t="s">
        <v>456</v>
      </c>
      <c r="C114" s="191" t="s">
        <v>381</v>
      </c>
      <c r="D114" s="557">
        <v>0.4</v>
      </c>
      <c r="E114" s="530"/>
      <c r="F114" s="530"/>
      <c r="G114" s="530"/>
      <c r="H114" s="530"/>
      <c r="I114" s="530"/>
      <c r="J114" s="530"/>
      <c r="K114" s="530"/>
      <c r="L114" s="530"/>
      <c r="M114" s="530"/>
      <c r="N114" s="530"/>
      <c r="O114" s="530"/>
      <c r="P114" s="530"/>
      <c r="Q114" s="530"/>
      <c r="R114" s="530"/>
      <c r="S114" s="530"/>
      <c r="T114" s="530"/>
      <c r="U114" s="530"/>
    </row>
    <row r="115" spans="1:21" ht="9.75" customHeight="1" thickBot="1">
      <c r="A115" s="90"/>
      <c r="B115" s="563"/>
      <c r="C115" s="564"/>
      <c r="D115" s="565"/>
      <c r="E115" s="530"/>
      <c r="F115" s="530"/>
      <c r="G115" s="530"/>
      <c r="H115" s="530"/>
      <c r="I115" s="554"/>
      <c r="J115" s="554"/>
      <c r="K115" s="554"/>
      <c r="L115" s="554"/>
      <c r="M115" s="554"/>
      <c r="N115" s="530"/>
      <c r="O115" s="530"/>
      <c r="P115" s="530"/>
      <c r="Q115" s="530"/>
      <c r="R115" s="530"/>
      <c r="S115" s="530"/>
      <c r="T115" s="530"/>
      <c r="U115" s="530"/>
    </row>
    <row r="116" spans="1:21" ht="9.75" customHeight="1">
      <c r="A116" s="90"/>
      <c r="B116" s="90"/>
      <c r="C116" s="90"/>
      <c r="D116" s="90"/>
      <c r="E116" s="90"/>
      <c r="F116" s="90"/>
      <c r="G116" s="90"/>
      <c r="H116" s="90"/>
      <c r="I116" s="173"/>
      <c r="J116" s="173"/>
      <c r="K116" s="173"/>
      <c r="L116" s="173"/>
      <c r="M116" s="173"/>
      <c r="N116" s="90"/>
      <c r="O116" s="530"/>
      <c r="P116" s="530"/>
      <c r="Q116" s="530"/>
      <c r="R116" s="530"/>
      <c r="S116" s="530"/>
      <c r="T116" s="530"/>
      <c r="U116" s="530"/>
    </row>
    <row r="117" spans="1:21" ht="9.75" customHeight="1">
      <c r="A117" s="90"/>
      <c r="B117" s="90"/>
      <c r="C117" s="90"/>
      <c r="D117" s="90"/>
      <c r="E117" s="90"/>
      <c r="F117" s="90"/>
      <c r="G117" s="90"/>
      <c r="H117" s="90"/>
      <c r="I117" s="173"/>
      <c r="J117" s="173"/>
      <c r="K117" s="173"/>
      <c r="L117" s="173"/>
      <c r="M117" s="173"/>
      <c r="N117" s="90"/>
      <c r="O117" s="530"/>
      <c r="P117" s="530"/>
      <c r="Q117" s="530"/>
      <c r="R117" s="530"/>
      <c r="S117" s="530"/>
      <c r="T117" s="530"/>
      <c r="U117" s="530"/>
    </row>
    <row r="118" spans="1:21" ht="9.75" customHeight="1">
      <c r="A118" s="90"/>
      <c r="B118" s="90"/>
      <c r="C118" s="90"/>
      <c r="D118" s="90"/>
      <c r="E118" s="90"/>
      <c r="F118" s="90"/>
      <c r="G118" s="90"/>
      <c r="H118" s="90"/>
      <c r="I118" s="173"/>
      <c r="J118" s="173"/>
      <c r="K118" s="173"/>
      <c r="L118" s="173"/>
      <c r="M118" s="173"/>
      <c r="N118" s="90"/>
      <c r="O118" s="530"/>
      <c r="P118" s="530"/>
      <c r="Q118" s="530"/>
      <c r="R118" s="530"/>
      <c r="S118" s="530"/>
      <c r="T118" s="530"/>
      <c r="U118" s="530"/>
    </row>
    <row r="119" spans="1:21" ht="9.75" customHeight="1">
      <c r="A119" s="90"/>
      <c r="B119" s="90"/>
      <c r="C119" s="90"/>
      <c r="D119" s="90"/>
      <c r="E119" s="90"/>
      <c r="F119" s="90"/>
      <c r="G119" s="90"/>
      <c r="H119" s="90"/>
      <c r="I119" s="173"/>
      <c r="J119" s="173"/>
      <c r="K119" s="173"/>
      <c r="L119" s="173"/>
      <c r="M119" s="173"/>
      <c r="N119" s="90"/>
      <c r="O119" s="530"/>
      <c r="P119" s="530"/>
      <c r="Q119" s="530"/>
      <c r="R119" s="530"/>
      <c r="S119" s="530"/>
      <c r="T119" s="530"/>
      <c r="U119" s="530"/>
    </row>
    <row r="120" spans="1:21" ht="9.75" customHeight="1">
      <c r="A120" s="90"/>
      <c r="B120" s="90"/>
      <c r="C120" s="90"/>
      <c r="D120" s="90"/>
      <c r="E120" s="90"/>
      <c r="F120" s="90"/>
      <c r="G120" s="90"/>
      <c r="H120" s="90"/>
      <c r="I120" s="90"/>
      <c r="J120" s="90"/>
      <c r="K120" s="90"/>
      <c r="L120" s="90"/>
      <c r="M120" s="90"/>
      <c r="N120" s="90"/>
      <c r="O120" s="530"/>
      <c r="P120" s="530"/>
      <c r="Q120" s="530"/>
      <c r="R120" s="530"/>
      <c r="S120" s="530"/>
      <c r="T120" s="530"/>
      <c r="U120" s="530"/>
    </row>
    <row r="121" spans="1:21" ht="9.75" customHeight="1">
      <c r="A121" s="90"/>
      <c r="B121" s="90"/>
      <c r="C121" s="90"/>
      <c r="D121" s="90"/>
      <c r="E121" s="90"/>
      <c r="F121" s="90"/>
      <c r="G121" s="90"/>
      <c r="H121" s="90"/>
      <c r="I121" s="173"/>
      <c r="J121" s="173"/>
      <c r="K121" s="173"/>
      <c r="L121" s="173"/>
      <c r="M121" s="173"/>
      <c r="N121" s="90"/>
      <c r="O121" s="530"/>
      <c r="P121" s="530"/>
      <c r="Q121" s="530"/>
      <c r="R121" s="530"/>
      <c r="S121" s="530"/>
      <c r="T121" s="530"/>
      <c r="U121" s="530"/>
    </row>
    <row r="122" spans="1:21" ht="9.75" customHeight="1">
      <c r="A122" s="90"/>
      <c r="B122" s="90"/>
      <c r="C122" s="90"/>
      <c r="D122" s="90"/>
      <c r="E122" s="90"/>
      <c r="F122" s="90"/>
      <c r="G122" s="90"/>
      <c r="H122" s="289"/>
      <c r="I122" s="289"/>
      <c r="J122" s="289"/>
      <c r="K122" s="289"/>
      <c r="L122" s="289"/>
      <c r="M122" s="289"/>
      <c r="N122" s="90"/>
      <c r="O122" s="530"/>
      <c r="P122" s="530"/>
      <c r="Q122" s="530"/>
      <c r="R122" s="530"/>
      <c r="S122" s="530"/>
      <c r="T122" s="530"/>
      <c r="U122" s="530"/>
    </row>
    <row r="123" spans="1:21" ht="9.75" customHeight="1">
      <c r="A123" s="90"/>
      <c r="B123" s="90"/>
      <c r="C123" s="90"/>
      <c r="D123" s="90"/>
      <c r="E123" s="90"/>
      <c r="F123" s="90"/>
      <c r="G123" s="90"/>
      <c r="H123" s="90"/>
      <c r="I123" s="173"/>
      <c r="J123" s="173"/>
      <c r="K123" s="173"/>
      <c r="L123" s="173"/>
      <c r="M123" s="173"/>
      <c r="N123" s="90"/>
      <c r="O123" s="530"/>
      <c r="P123" s="530"/>
      <c r="Q123" s="530"/>
      <c r="R123" s="530"/>
      <c r="S123" s="530"/>
      <c r="T123" s="530"/>
      <c r="U123" s="530"/>
    </row>
    <row r="124" spans="1:21" ht="9.75" customHeight="1">
      <c r="A124" s="90"/>
      <c r="B124" s="34"/>
      <c r="C124" s="34"/>
      <c r="D124" s="289"/>
      <c r="E124" s="289"/>
      <c r="F124" s="289"/>
      <c r="G124" s="289"/>
      <c r="H124" s="289"/>
      <c r="I124" s="289"/>
      <c r="J124" s="289"/>
      <c r="K124" s="289"/>
      <c r="L124" s="289"/>
      <c r="M124" s="289"/>
      <c r="N124" s="90"/>
      <c r="O124" s="530"/>
      <c r="P124" s="530"/>
      <c r="Q124" s="530"/>
      <c r="R124" s="530"/>
      <c r="S124" s="530"/>
      <c r="T124" s="530"/>
      <c r="U124" s="530"/>
    </row>
    <row r="125" spans="1:21" ht="9.75" customHeight="1">
      <c r="A125" s="90"/>
      <c r="B125" s="90"/>
      <c r="C125" s="90"/>
      <c r="D125" s="90"/>
      <c r="E125" s="90"/>
      <c r="F125" s="90"/>
      <c r="G125" s="90"/>
      <c r="H125" s="90"/>
      <c r="I125" s="90"/>
      <c r="J125" s="90"/>
      <c r="K125" s="90"/>
      <c r="L125" s="90"/>
      <c r="M125" s="90"/>
      <c r="N125" s="90"/>
      <c r="O125" s="530"/>
      <c r="P125" s="530"/>
      <c r="Q125" s="530"/>
      <c r="R125" s="530"/>
      <c r="S125" s="530"/>
      <c r="T125" s="530"/>
      <c r="U125" s="530"/>
    </row>
    <row r="126" spans="1:21" ht="9.75" customHeight="1">
      <c r="A126" s="90"/>
      <c r="B126" s="90"/>
      <c r="C126" s="90"/>
      <c r="D126" s="90"/>
      <c r="E126" s="90"/>
      <c r="F126" s="90"/>
      <c r="G126" s="90"/>
      <c r="H126" s="90"/>
      <c r="I126" s="90"/>
      <c r="J126" s="90"/>
      <c r="K126" s="90"/>
      <c r="L126" s="90"/>
      <c r="M126" s="90"/>
      <c r="N126" s="90"/>
      <c r="O126" s="530"/>
      <c r="P126" s="530"/>
      <c r="Q126" s="530"/>
      <c r="R126" s="530"/>
      <c r="S126" s="530"/>
      <c r="T126" s="530"/>
      <c r="U126" s="530"/>
    </row>
    <row r="127" spans="1:21" ht="9.75" customHeight="1">
      <c r="A127" s="90"/>
      <c r="B127" s="90"/>
      <c r="C127" s="90"/>
      <c r="D127" s="90"/>
      <c r="E127" s="90"/>
      <c r="F127" s="90"/>
      <c r="G127" s="90"/>
      <c r="H127" s="90"/>
      <c r="I127" s="90"/>
      <c r="J127" s="90"/>
      <c r="K127" s="90"/>
      <c r="L127" s="90"/>
      <c r="M127" s="90"/>
      <c r="N127" s="90"/>
      <c r="O127" s="530"/>
      <c r="P127" s="530"/>
      <c r="Q127" s="530"/>
      <c r="R127" s="530"/>
      <c r="S127" s="530"/>
      <c r="T127" s="530"/>
      <c r="U127" s="530"/>
    </row>
    <row r="128" spans="1:21" ht="9.75" customHeight="1">
      <c r="A128" s="90"/>
      <c r="B128" s="90"/>
      <c r="C128" s="90"/>
      <c r="D128" s="90"/>
      <c r="E128" s="90"/>
      <c r="F128" s="90"/>
      <c r="G128" s="90"/>
      <c r="H128" s="90"/>
      <c r="I128" s="90"/>
      <c r="J128" s="90"/>
      <c r="K128" s="90"/>
      <c r="L128" s="90"/>
      <c r="M128" s="90"/>
      <c r="N128" s="90"/>
      <c r="O128" s="530"/>
      <c r="P128" s="530"/>
      <c r="Q128" s="530"/>
      <c r="R128" s="530"/>
      <c r="S128" s="530"/>
      <c r="T128" s="530"/>
      <c r="U128" s="530"/>
    </row>
    <row r="129" spans="1:21" ht="9.75" customHeight="1">
      <c r="A129" s="90"/>
      <c r="B129" s="90"/>
      <c r="C129" s="90"/>
      <c r="D129" s="90"/>
      <c r="E129" s="90"/>
      <c r="F129" s="90"/>
      <c r="G129" s="90"/>
      <c r="H129" s="90"/>
      <c r="I129" s="90"/>
      <c r="J129" s="90"/>
      <c r="K129" s="90"/>
      <c r="L129" s="90"/>
      <c r="M129" s="90"/>
      <c r="N129" s="90"/>
      <c r="O129" s="530"/>
      <c r="P129" s="530"/>
      <c r="Q129" s="530"/>
      <c r="R129" s="530"/>
      <c r="S129" s="530"/>
      <c r="T129" s="530"/>
      <c r="U129" s="530"/>
    </row>
    <row r="130" spans="1:21" ht="9.75" customHeight="1">
      <c r="A130" s="90"/>
      <c r="B130" s="90"/>
      <c r="C130" s="90"/>
      <c r="D130" s="90"/>
      <c r="E130" s="90"/>
      <c r="F130" s="90"/>
      <c r="G130" s="90"/>
      <c r="H130" s="90"/>
      <c r="I130" s="90"/>
      <c r="J130" s="90"/>
      <c r="K130" s="90"/>
      <c r="L130" s="90"/>
      <c r="M130" s="90"/>
      <c r="N130" s="90"/>
      <c r="O130" s="530"/>
      <c r="P130" s="530"/>
      <c r="Q130" s="530"/>
      <c r="R130" s="530"/>
      <c r="S130" s="530"/>
      <c r="T130" s="530"/>
      <c r="U130" s="530"/>
    </row>
    <row r="131" spans="1:21" ht="9.75" customHeight="1">
      <c r="A131" s="90"/>
      <c r="B131" s="90"/>
      <c r="C131" s="90"/>
      <c r="D131" s="90"/>
      <c r="E131" s="90"/>
      <c r="F131" s="90"/>
      <c r="G131" s="90"/>
      <c r="H131" s="90"/>
      <c r="I131" s="90"/>
      <c r="J131" s="90"/>
      <c r="K131" s="90"/>
      <c r="L131" s="90"/>
      <c r="M131" s="90"/>
      <c r="N131" s="90"/>
      <c r="O131" s="530"/>
      <c r="P131" s="530"/>
      <c r="Q131" s="530"/>
      <c r="R131" s="530"/>
      <c r="S131" s="530"/>
      <c r="T131" s="530"/>
      <c r="U131" s="530"/>
    </row>
    <row r="132" spans="1:21" ht="9.75" customHeight="1">
      <c r="A132" s="90"/>
      <c r="B132" s="90"/>
      <c r="C132" s="90"/>
      <c r="D132" s="90"/>
      <c r="E132" s="90"/>
      <c r="F132" s="90"/>
      <c r="G132" s="90"/>
      <c r="H132" s="90"/>
      <c r="I132" s="90"/>
      <c r="J132" s="90"/>
      <c r="K132" s="90"/>
      <c r="L132" s="90"/>
      <c r="M132" s="90"/>
      <c r="N132" s="90"/>
      <c r="O132" s="530"/>
      <c r="P132" s="530"/>
      <c r="Q132" s="530"/>
      <c r="R132" s="530"/>
      <c r="S132" s="530"/>
      <c r="T132" s="530"/>
      <c r="U132" s="530"/>
    </row>
    <row r="133" spans="1:21" ht="9.75" customHeight="1">
      <c r="A133" s="90"/>
      <c r="B133" s="34"/>
      <c r="C133" s="34"/>
      <c r="D133" s="90"/>
      <c r="E133" s="90"/>
      <c r="F133" s="90"/>
      <c r="G133" s="90"/>
      <c r="H133" s="90"/>
      <c r="I133" s="90"/>
      <c r="J133" s="90"/>
      <c r="K133" s="90"/>
      <c r="L133" s="90"/>
      <c r="M133" s="90"/>
      <c r="N133" s="90"/>
      <c r="O133" s="530"/>
      <c r="P133" s="530"/>
      <c r="Q133" s="530"/>
      <c r="R133" s="530"/>
      <c r="S133" s="530"/>
      <c r="T133" s="530"/>
      <c r="U133" s="530"/>
    </row>
    <row r="134" spans="1:21" ht="9.75" customHeight="1">
      <c r="A134" s="90"/>
      <c r="B134" s="90"/>
      <c r="C134" s="90"/>
      <c r="D134" s="90"/>
      <c r="E134" s="90"/>
      <c r="F134" s="90"/>
      <c r="G134" s="90"/>
      <c r="H134" s="90"/>
      <c r="I134" s="90"/>
      <c r="J134" s="90"/>
      <c r="K134" s="90"/>
      <c r="L134" s="90"/>
      <c r="M134" s="90"/>
      <c r="N134" s="90"/>
      <c r="O134" s="530"/>
      <c r="P134" s="530"/>
      <c r="Q134" s="530"/>
      <c r="R134" s="530"/>
      <c r="S134" s="530"/>
      <c r="T134" s="530"/>
      <c r="U134" s="530"/>
    </row>
    <row r="135" spans="1:21" ht="9.75" customHeight="1">
      <c r="A135" s="90"/>
      <c r="B135" s="90"/>
      <c r="C135" s="90"/>
      <c r="D135" s="90"/>
      <c r="E135" s="90"/>
      <c r="F135" s="90"/>
      <c r="G135" s="90"/>
      <c r="H135" s="90"/>
      <c r="I135" s="90"/>
      <c r="J135" s="90"/>
      <c r="K135" s="90"/>
      <c r="L135" s="90"/>
      <c r="M135" s="90"/>
      <c r="N135" s="90"/>
      <c r="O135" s="530"/>
      <c r="P135" s="530"/>
      <c r="Q135" s="530"/>
      <c r="R135" s="530"/>
      <c r="S135" s="530"/>
      <c r="T135" s="530"/>
      <c r="U135" s="530"/>
    </row>
    <row r="136" spans="1:21" ht="9.75" customHeight="1">
      <c r="A136" s="90"/>
      <c r="B136" s="90"/>
      <c r="C136" s="90"/>
      <c r="D136" s="90"/>
      <c r="E136" s="34"/>
      <c r="F136" s="34"/>
      <c r="G136" s="34"/>
      <c r="H136" s="34"/>
      <c r="I136" s="90"/>
      <c r="J136" s="90"/>
      <c r="K136" s="90"/>
      <c r="L136" s="90"/>
      <c r="M136" s="90"/>
      <c r="N136" s="90"/>
      <c r="O136" s="530"/>
      <c r="P136" s="530"/>
      <c r="Q136" s="530"/>
      <c r="R136" s="530"/>
      <c r="S136" s="530"/>
      <c r="T136" s="530"/>
      <c r="U136" s="530"/>
    </row>
    <row r="137" spans="1:21" ht="9.75" customHeight="1">
      <c r="A137" s="90"/>
      <c r="B137" s="90"/>
      <c r="C137" s="90"/>
      <c r="D137" s="90"/>
      <c r="E137" s="90"/>
      <c r="F137" s="90"/>
      <c r="G137" s="90"/>
      <c r="H137" s="90"/>
      <c r="I137" s="90"/>
      <c r="J137" s="90"/>
      <c r="K137" s="90"/>
      <c r="L137" s="90"/>
      <c r="M137" s="90"/>
      <c r="N137" s="90"/>
      <c r="O137" s="530"/>
      <c r="P137" s="530"/>
      <c r="Q137" s="530"/>
      <c r="R137" s="530"/>
      <c r="S137" s="530"/>
      <c r="T137" s="530"/>
      <c r="U137" s="530"/>
    </row>
    <row r="138" spans="1:21" ht="9.75" customHeight="1">
      <c r="A138" s="90"/>
      <c r="B138" s="90"/>
      <c r="C138" s="90"/>
      <c r="D138" s="90"/>
      <c r="E138" s="90"/>
      <c r="F138" s="90"/>
      <c r="G138" s="90"/>
      <c r="H138" s="90"/>
      <c r="I138" s="90"/>
      <c r="J138" s="90"/>
      <c r="K138" s="90"/>
      <c r="L138" s="90"/>
      <c r="M138" s="90"/>
      <c r="N138" s="90"/>
      <c r="O138" s="530"/>
      <c r="P138" s="530"/>
      <c r="Q138" s="530"/>
      <c r="R138" s="530"/>
      <c r="S138" s="530"/>
      <c r="T138" s="530"/>
      <c r="U138" s="530"/>
    </row>
    <row r="139" spans="1:21" ht="9.75" customHeight="1">
      <c r="A139" s="90"/>
      <c r="B139" s="90"/>
      <c r="C139" s="90"/>
      <c r="D139" s="90"/>
      <c r="E139" s="90"/>
      <c r="F139" s="90"/>
      <c r="G139" s="90"/>
      <c r="H139" s="90"/>
      <c r="I139" s="90"/>
      <c r="J139" s="90"/>
      <c r="K139" s="90"/>
      <c r="L139" s="90"/>
      <c r="M139" s="90"/>
      <c r="N139" s="90"/>
      <c r="O139" s="530"/>
      <c r="P139" s="530"/>
      <c r="Q139" s="530"/>
      <c r="R139" s="530"/>
      <c r="S139" s="530"/>
      <c r="T139" s="530"/>
      <c r="U139" s="530"/>
    </row>
    <row r="140" spans="1:21" ht="9.75" customHeight="1">
      <c r="A140" s="90"/>
      <c r="B140" s="90"/>
      <c r="C140" s="90"/>
      <c r="D140" s="90"/>
      <c r="E140" s="90"/>
      <c r="F140" s="90"/>
      <c r="G140" s="90"/>
      <c r="H140" s="90"/>
      <c r="I140" s="90"/>
      <c r="J140" s="90"/>
      <c r="K140" s="90"/>
      <c r="L140" s="90"/>
      <c r="M140" s="90"/>
      <c r="N140" s="90"/>
      <c r="O140" s="530"/>
      <c r="P140" s="530"/>
      <c r="Q140" s="530"/>
      <c r="R140" s="530"/>
      <c r="S140" s="530"/>
      <c r="T140" s="530"/>
      <c r="U140" s="530"/>
    </row>
    <row r="141" spans="1:21" ht="9.75" customHeight="1">
      <c r="A141" s="90"/>
      <c r="B141" s="90"/>
      <c r="C141" s="90"/>
      <c r="D141" s="90"/>
      <c r="E141" s="90"/>
      <c r="F141" s="90"/>
      <c r="G141" s="90"/>
      <c r="H141" s="90"/>
      <c r="I141" s="90"/>
      <c r="J141" s="90"/>
      <c r="K141" s="90"/>
      <c r="L141" s="90"/>
      <c r="M141" s="90"/>
      <c r="N141" s="90"/>
      <c r="O141" s="530"/>
      <c r="P141" s="530"/>
      <c r="Q141" s="530"/>
      <c r="R141" s="530"/>
      <c r="S141" s="530"/>
      <c r="T141" s="530"/>
      <c r="U141" s="530"/>
    </row>
    <row r="142" spans="1:21" ht="9.75" customHeight="1">
      <c r="A142" s="90"/>
      <c r="B142" s="90"/>
      <c r="C142" s="90"/>
      <c r="D142" s="90"/>
      <c r="E142" s="90"/>
      <c r="F142" s="90"/>
      <c r="G142" s="90"/>
      <c r="H142" s="90"/>
      <c r="I142" s="90"/>
      <c r="J142" s="90"/>
      <c r="K142" s="90"/>
      <c r="L142" s="90"/>
      <c r="M142" s="90"/>
      <c r="N142" s="90"/>
      <c r="O142" s="530"/>
      <c r="P142" s="530"/>
      <c r="Q142" s="530"/>
      <c r="R142" s="530"/>
      <c r="S142" s="530"/>
      <c r="T142" s="530"/>
      <c r="U142" s="530"/>
    </row>
    <row r="143" spans="1:21" ht="9.75" customHeight="1">
      <c r="A143" s="90"/>
      <c r="B143" s="90"/>
      <c r="C143" s="90"/>
      <c r="D143" s="90"/>
      <c r="E143" s="90"/>
      <c r="F143" s="90"/>
      <c r="G143" s="90"/>
      <c r="H143" s="90"/>
      <c r="I143" s="90"/>
      <c r="J143" s="90"/>
      <c r="K143" s="90"/>
      <c r="L143" s="90"/>
      <c r="M143" s="90"/>
      <c r="N143" s="90"/>
      <c r="O143" s="530"/>
      <c r="P143" s="530"/>
      <c r="Q143" s="530"/>
      <c r="R143" s="530"/>
      <c r="S143" s="530"/>
      <c r="T143" s="530"/>
      <c r="U143" s="530"/>
    </row>
    <row r="144" spans="1:21" ht="9.75" customHeight="1">
      <c r="A144" s="90"/>
      <c r="B144" s="90"/>
      <c r="C144" s="90"/>
      <c r="D144" s="90"/>
      <c r="E144" s="90"/>
      <c r="F144" s="90"/>
      <c r="G144" s="90"/>
      <c r="H144" s="90"/>
      <c r="I144" s="90"/>
      <c r="J144" s="90"/>
      <c r="K144" s="90"/>
      <c r="L144" s="90"/>
      <c r="M144" s="90"/>
      <c r="N144" s="90"/>
      <c r="O144" s="530"/>
      <c r="P144" s="530"/>
      <c r="Q144" s="530"/>
      <c r="R144" s="530"/>
      <c r="S144" s="530"/>
      <c r="T144" s="530"/>
      <c r="U144" s="530"/>
    </row>
    <row r="145" spans="1:21" ht="9.75" customHeight="1">
      <c r="A145" s="90"/>
      <c r="B145" s="90"/>
      <c r="C145" s="90"/>
      <c r="D145" s="90"/>
      <c r="E145" s="90"/>
      <c r="F145" s="90"/>
      <c r="G145" s="90"/>
      <c r="H145" s="90"/>
      <c r="I145" s="90"/>
      <c r="J145" s="90"/>
      <c r="K145" s="90"/>
      <c r="L145" s="90"/>
      <c r="M145" s="90"/>
      <c r="N145" s="90"/>
      <c r="O145" s="530"/>
      <c r="P145" s="530"/>
      <c r="Q145" s="530"/>
      <c r="R145" s="530"/>
      <c r="S145" s="530"/>
      <c r="T145" s="530"/>
      <c r="U145" s="530"/>
    </row>
    <row r="146" spans="1:21" ht="9.75" customHeight="1">
      <c r="A146" s="90"/>
      <c r="B146" s="34"/>
      <c r="C146" s="34"/>
      <c r="D146" s="289"/>
      <c r="E146" s="90"/>
      <c r="F146" s="90"/>
      <c r="G146" s="90"/>
      <c r="H146" s="90"/>
      <c r="I146" s="90"/>
      <c r="J146" s="90"/>
      <c r="K146" s="90"/>
      <c r="L146" s="90"/>
      <c r="M146" s="90"/>
      <c r="N146" s="90"/>
      <c r="O146" s="530"/>
      <c r="P146" s="530"/>
      <c r="Q146" s="530"/>
      <c r="R146" s="530"/>
      <c r="S146" s="530"/>
      <c r="T146" s="530"/>
      <c r="U146" s="530"/>
    </row>
    <row r="147" spans="1:21" ht="9.75" customHeight="1">
      <c r="A147" s="90"/>
      <c r="B147" s="90"/>
      <c r="C147" s="90"/>
      <c r="D147" s="90"/>
      <c r="E147" s="90"/>
      <c r="F147" s="90"/>
      <c r="G147" s="90"/>
      <c r="H147" s="90"/>
      <c r="I147" s="90"/>
      <c r="J147" s="90"/>
      <c r="K147" s="90"/>
      <c r="L147" s="90"/>
      <c r="M147" s="90"/>
      <c r="N147" s="90"/>
      <c r="O147" s="530"/>
      <c r="P147" s="530"/>
      <c r="Q147" s="530"/>
      <c r="R147" s="530"/>
      <c r="S147" s="530"/>
      <c r="T147" s="530"/>
      <c r="U147" s="530"/>
    </row>
    <row r="148" spans="1:21" ht="9.75" customHeight="1">
      <c r="A148" s="90"/>
      <c r="B148" s="90"/>
      <c r="C148" s="90"/>
      <c r="D148" s="90"/>
      <c r="E148" s="90"/>
      <c r="F148" s="90"/>
      <c r="G148" s="90"/>
      <c r="H148" s="90"/>
      <c r="I148" s="90"/>
      <c r="J148" s="90"/>
      <c r="K148" s="90"/>
      <c r="L148" s="90"/>
      <c r="M148" s="90"/>
      <c r="N148" s="90"/>
      <c r="O148" s="530"/>
      <c r="P148" s="530"/>
      <c r="Q148" s="530"/>
      <c r="R148" s="530"/>
      <c r="S148" s="530"/>
      <c r="T148" s="530"/>
      <c r="U148" s="530"/>
    </row>
    <row r="149" spans="1:21" ht="9.75" customHeight="1">
      <c r="A149" s="90"/>
      <c r="B149" s="90"/>
      <c r="C149" s="90"/>
      <c r="D149" s="90"/>
      <c r="E149" s="90"/>
      <c r="F149" s="90"/>
      <c r="G149" s="90"/>
      <c r="H149" s="90"/>
      <c r="I149" s="90"/>
      <c r="J149" s="90"/>
      <c r="K149" s="90"/>
      <c r="L149" s="90"/>
      <c r="M149" s="90"/>
      <c r="N149" s="90"/>
      <c r="O149" s="530"/>
      <c r="P149" s="530"/>
      <c r="Q149" s="530"/>
      <c r="R149" s="530"/>
      <c r="S149" s="530"/>
      <c r="T149" s="530"/>
      <c r="U149" s="530"/>
    </row>
    <row r="150" spans="1:21" ht="9.75" customHeight="1">
      <c r="A150" s="90"/>
      <c r="B150" s="90"/>
      <c r="C150" s="90"/>
      <c r="D150" s="90"/>
      <c r="E150" s="90"/>
      <c r="F150" s="90"/>
      <c r="G150" s="90"/>
      <c r="H150" s="90"/>
      <c r="I150" s="90"/>
      <c r="J150" s="90"/>
      <c r="K150" s="90"/>
      <c r="L150" s="90"/>
      <c r="M150" s="90"/>
      <c r="N150" s="90"/>
      <c r="O150" s="530"/>
      <c r="P150" s="530"/>
      <c r="Q150" s="530"/>
      <c r="R150" s="530"/>
      <c r="S150" s="530"/>
      <c r="T150" s="530"/>
      <c r="U150" s="530"/>
    </row>
    <row r="151" spans="1:21" ht="9.75" customHeight="1">
      <c r="A151" s="90"/>
      <c r="B151" s="90"/>
      <c r="C151" s="90"/>
      <c r="D151" s="90"/>
      <c r="E151" s="90"/>
      <c r="F151" s="90"/>
      <c r="G151" s="90"/>
      <c r="H151" s="90"/>
      <c r="I151" s="90"/>
      <c r="J151" s="90"/>
      <c r="K151" s="90"/>
      <c r="L151" s="90"/>
      <c r="M151" s="90"/>
      <c r="N151" s="90"/>
      <c r="O151" s="530"/>
      <c r="P151" s="530"/>
      <c r="Q151" s="530"/>
      <c r="R151" s="530"/>
      <c r="S151" s="530"/>
      <c r="T151" s="530"/>
      <c r="U151" s="530"/>
    </row>
    <row r="152" spans="1:21" ht="9.75" customHeight="1">
      <c r="A152" s="90"/>
      <c r="B152" s="90"/>
      <c r="C152" s="90"/>
      <c r="D152" s="90"/>
      <c r="E152" s="90"/>
      <c r="F152" s="90"/>
      <c r="G152" s="90"/>
      <c r="H152" s="90"/>
      <c r="I152" s="90"/>
      <c r="J152" s="90"/>
      <c r="K152" s="90"/>
      <c r="L152" s="90"/>
      <c r="M152" s="90"/>
      <c r="N152" s="90"/>
      <c r="O152" s="530"/>
      <c r="P152" s="530"/>
      <c r="Q152" s="530"/>
      <c r="R152" s="530"/>
      <c r="S152" s="530"/>
      <c r="T152" s="530"/>
      <c r="U152" s="530"/>
    </row>
    <row r="153" spans="1:21" ht="9.75" customHeight="1">
      <c r="A153" s="90"/>
      <c r="B153" s="90"/>
      <c r="C153" s="90"/>
      <c r="D153" s="90"/>
      <c r="E153" s="90"/>
      <c r="F153" s="90"/>
      <c r="G153" s="90"/>
      <c r="H153" s="90"/>
      <c r="I153" s="90"/>
      <c r="J153" s="90"/>
      <c r="K153" s="90"/>
      <c r="L153" s="90"/>
      <c r="M153" s="90"/>
      <c r="N153" s="90"/>
      <c r="O153" s="530"/>
      <c r="P153" s="530"/>
      <c r="Q153" s="530"/>
      <c r="R153" s="530"/>
      <c r="S153" s="530"/>
      <c r="T153" s="530"/>
      <c r="U153" s="530"/>
    </row>
    <row r="154" spans="1:21" ht="9.75" customHeight="1">
      <c r="A154" s="90"/>
      <c r="B154" s="90"/>
      <c r="C154" s="90"/>
      <c r="D154" s="90"/>
      <c r="E154" s="90"/>
      <c r="F154" s="90"/>
      <c r="G154" s="90"/>
      <c r="H154" s="90"/>
      <c r="I154" s="90"/>
      <c r="J154" s="90"/>
      <c r="K154" s="90"/>
      <c r="L154" s="90"/>
      <c r="M154" s="90"/>
      <c r="N154" s="90"/>
      <c r="O154" s="530"/>
      <c r="P154" s="530"/>
      <c r="Q154" s="530"/>
      <c r="R154" s="530"/>
      <c r="S154" s="530"/>
      <c r="T154" s="530"/>
      <c r="U154" s="530"/>
    </row>
    <row r="155" spans="1:21" ht="9.75" customHeight="1">
      <c r="A155" s="90"/>
      <c r="B155" s="90"/>
      <c r="C155" s="90"/>
      <c r="D155" s="90"/>
      <c r="E155" s="90"/>
      <c r="F155" s="90"/>
      <c r="G155" s="90"/>
      <c r="H155" s="90"/>
      <c r="I155" s="90"/>
      <c r="J155" s="90"/>
      <c r="K155" s="90"/>
      <c r="L155" s="90"/>
      <c r="M155" s="90"/>
      <c r="N155" s="90"/>
      <c r="O155" s="530"/>
      <c r="P155" s="530"/>
      <c r="Q155" s="530"/>
      <c r="R155" s="530"/>
      <c r="S155" s="530"/>
      <c r="T155" s="530"/>
      <c r="U155" s="530"/>
    </row>
    <row r="156" spans="1:21" ht="9.75" customHeight="1">
      <c r="A156" s="90"/>
      <c r="B156" s="90"/>
      <c r="C156" s="90"/>
      <c r="D156" s="90"/>
      <c r="E156" s="90"/>
      <c r="F156" s="90"/>
      <c r="G156" s="90"/>
      <c r="H156" s="90"/>
      <c r="I156" s="90"/>
      <c r="J156" s="90"/>
      <c r="K156" s="90"/>
      <c r="L156" s="90"/>
      <c r="M156" s="90"/>
      <c r="N156" s="90"/>
      <c r="O156" s="530"/>
      <c r="P156" s="530"/>
      <c r="Q156" s="530"/>
      <c r="R156" s="530"/>
      <c r="S156" s="530"/>
      <c r="T156" s="530"/>
      <c r="U156" s="530"/>
    </row>
    <row r="157" spans="1:21" ht="9.75" customHeight="1">
      <c r="A157" s="90"/>
      <c r="B157" s="90"/>
      <c r="C157" s="90"/>
      <c r="D157" s="90"/>
      <c r="E157" s="90"/>
      <c r="F157" s="90"/>
      <c r="G157" s="90"/>
      <c r="H157" s="90"/>
      <c r="I157" s="90"/>
      <c r="J157" s="90"/>
      <c r="K157" s="90"/>
      <c r="L157" s="90"/>
      <c r="M157" s="90"/>
      <c r="N157" s="90"/>
      <c r="O157" s="530"/>
      <c r="P157" s="530"/>
      <c r="Q157" s="530"/>
      <c r="R157" s="530"/>
      <c r="S157" s="530"/>
      <c r="T157" s="530"/>
      <c r="U157" s="530"/>
    </row>
    <row r="158" spans="1:21" ht="9.75" customHeight="1">
      <c r="A158" s="90"/>
      <c r="B158" s="90"/>
      <c r="C158" s="90"/>
      <c r="D158" s="90"/>
      <c r="E158" s="90"/>
      <c r="F158" s="90"/>
      <c r="G158" s="90"/>
      <c r="H158" s="90"/>
      <c r="I158" s="90"/>
      <c r="J158" s="90"/>
      <c r="K158" s="90"/>
      <c r="L158" s="90"/>
      <c r="M158" s="90"/>
      <c r="N158" s="90"/>
      <c r="O158" s="530"/>
      <c r="P158" s="530"/>
      <c r="Q158" s="530"/>
      <c r="R158" s="530"/>
      <c r="S158" s="530"/>
      <c r="T158" s="530"/>
      <c r="U158" s="530"/>
    </row>
    <row r="159" spans="1:21" ht="9.75" customHeight="1">
      <c r="A159" s="90"/>
      <c r="B159" s="90"/>
      <c r="C159" s="90"/>
      <c r="D159" s="90"/>
      <c r="E159" s="90"/>
      <c r="F159" s="90"/>
      <c r="G159" s="90"/>
      <c r="H159" s="90"/>
      <c r="I159" s="90"/>
      <c r="J159" s="90"/>
      <c r="K159" s="90"/>
      <c r="L159" s="90"/>
      <c r="M159" s="90"/>
      <c r="N159" s="90"/>
      <c r="O159" s="530"/>
      <c r="P159" s="530"/>
      <c r="Q159" s="530"/>
      <c r="R159" s="530"/>
      <c r="S159" s="530"/>
      <c r="T159" s="530"/>
      <c r="U159" s="530"/>
    </row>
    <row r="160" spans="1:21" ht="9.75" customHeight="1">
      <c r="A160" s="90"/>
      <c r="B160" s="90"/>
      <c r="C160" s="90"/>
      <c r="D160" s="90"/>
      <c r="E160" s="90"/>
      <c r="F160" s="90"/>
      <c r="G160" s="90"/>
      <c r="H160" s="90"/>
      <c r="I160" s="90"/>
      <c r="J160" s="90"/>
      <c r="K160" s="90"/>
      <c r="L160" s="90"/>
      <c r="M160" s="90"/>
      <c r="N160" s="90"/>
      <c r="O160" s="530"/>
      <c r="P160" s="530"/>
      <c r="Q160" s="530"/>
      <c r="R160" s="530"/>
      <c r="S160" s="530"/>
      <c r="T160" s="530"/>
      <c r="U160" s="530"/>
    </row>
    <row r="161" spans="1:21" ht="9.75" customHeight="1">
      <c r="A161" s="90"/>
      <c r="B161" s="90"/>
      <c r="C161" s="90"/>
      <c r="D161" s="90"/>
      <c r="E161" s="90"/>
      <c r="F161" s="90"/>
      <c r="G161" s="90"/>
      <c r="H161" s="90"/>
      <c r="I161" s="90"/>
      <c r="J161" s="90"/>
      <c r="K161" s="90"/>
      <c r="L161" s="90"/>
      <c r="M161" s="90"/>
      <c r="N161" s="90"/>
      <c r="O161" s="530"/>
      <c r="P161" s="530"/>
      <c r="Q161" s="530"/>
      <c r="R161" s="530"/>
      <c r="S161" s="530"/>
      <c r="T161" s="530"/>
      <c r="U161" s="530"/>
    </row>
    <row r="162" spans="1:21" ht="9.75" customHeight="1">
      <c r="A162" s="90"/>
      <c r="B162" s="90"/>
      <c r="C162" s="90"/>
      <c r="D162" s="90"/>
      <c r="E162" s="90"/>
      <c r="F162" s="90"/>
      <c r="G162" s="90"/>
      <c r="H162" s="90"/>
      <c r="I162" s="90"/>
      <c r="J162" s="90"/>
      <c r="K162" s="90"/>
      <c r="L162" s="90"/>
      <c r="M162" s="90"/>
      <c r="N162" s="90"/>
      <c r="O162" s="530"/>
      <c r="P162" s="530"/>
      <c r="Q162" s="530"/>
      <c r="R162" s="530"/>
      <c r="S162" s="530"/>
      <c r="T162" s="530"/>
      <c r="U162" s="530"/>
    </row>
    <row r="163" spans="1:21" ht="9.75" customHeight="1">
      <c r="A163" s="90"/>
      <c r="B163" s="90"/>
      <c r="C163" s="90"/>
      <c r="D163" s="90"/>
      <c r="E163" s="90"/>
      <c r="F163" s="90"/>
      <c r="G163" s="90"/>
      <c r="H163" s="90"/>
      <c r="I163" s="90"/>
      <c r="J163" s="90"/>
      <c r="K163" s="90"/>
      <c r="L163" s="90"/>
      <c r="M163" s="90"/>
      <c r="N163" s="90"/>
      <c r="O163" s="530"/>
      <c r="P163" s="530"/>
      <c r="Q163" s="530"/>
      <c r="R163" s="530"/>
      <c r="S163" s="530"/>
      <c r="T163" s="530"/>
      <c r="U163" s="530"/>
    </row>
    <row r="164" spans="1:21" ht="9.75" customHeight="1">
      <c r="A164" s="90"/>
      <c r="B164" s="90"/>
      <c r="C164" s="90"/>
      <c r="D164" s="90"/>
      <c r="E164" s="90"/>
      <c r="F164" s="90"/>
      <c r="G164" s="90"/>
      <c r="H164" s="90"/>
      <c r="I164" s="90"/>
      <c r="J164" s="90"/>
      <c r="K164" s="90"/>
      <c r="L164" s="90"/>
      <c r="M164" s="90"/>
      <c r="N164" s="90"/>
      <c r="O164" s="530"/>
      <c r="P164" s="530"/>
      <c r="Q164" s="530"/>
      <c r="R164" s="530"/>
      <c r="S164" s="530"/>
      <c r="T164" s="530"/>
      <c r="U164" s="530"/>
    </row>
    <row r="165" spans="1:21" ht="9.75" customHeight="1">
      <c r="A165" s="90"/>
      <c r="B165" s="90"/>
      <c r="C165" s="90"/>
      <c r="D165" s="90"/>
      <c r="E165" s="90"/>
      <c r="F165" s="90"/>
      <c r="G165" s="90"/>
      <c r="H165" s="90"/>
      <c r="I165" s="90"/>
      <c r="J165" s="90"/>
      <c r="K165" s="90"/>
      <c r="L165" s="90"/>
      <c r="M165" s="90"/>
      <c r="N165" s="90"/>
      <c r="O165" s="530"/>
      <c r="P165" s="530"/>
      <c r="Q165" s="530"/>
      <c r="R165" s="530"/>
      <c r="S165" s="530"/>
      <c r="T165" s="530"/>
      <c r="U165" s="530"/>
    </row>
    <row r="166" spans="1:21" ht="9.75" customHeight="1">
      <c r="A166" s="90"/>
      <c r="B166" s="90"/>
      <c r="C166" s="90"/>
      <c r="D166" s="90"/>
      <c r="E166" s="90"/>
      <c r="F166" s="90"/>
      <c r="G166" s="90"/>
      <c r="H166" s="90"/>
      <c r="I166" s="90"/>
      <c r="J166" s="90"/>
      <c r="K166" s="90"/>
      <c r="L166" s="90"/>
      <c r="M166" s="90"/>
      <c r="N166" s="90"/>
      <c r="O166" s="530"/>
      <c r="P166" s="530"/>
      <c r="Q166" s="530"/>
      <c r="R166" s="530"/>
      <c r="S166" s="530"/>
      <c r="T166" s="530"/>
      <c r="U166" s="530"/>
    </row>
    <row r="167" spans="1:21" ht="9.75" customHeight="1">
      <c r="A167" s="90"/>
      <c r="B167" s="90"/>
      <c r="C167" s="90"/>
      <c r="D167" s="90"/>
      <c r="E167" s="90"/>
      <c r="F167" s="90"/>
      <c r="G167" s="90"/>
      <c r="H167" s="90"/>
      <c r="I167" s="90"/>
      <c r="J167" s="90"/>
      <c r="K167" s="90"/>
      <c r="L167" s="90"/>
      <c r="M167" s="90"/>
      <c r="N167" s="90"/>
      <c r="O167" s="530"/>
      <c r="P167" s="530"/>
      <c r="Q167" s="530"/>
      <c r="R167" s="530"/>
      <c r="S167" s="530"/>
      <c r="T167" s="530"/>
      <c r="U167" s="530"/>
    </row>
    <row r="168" spans="1:21" ht="9.75" customHeight="1">
      <c r="A168" s="90"/>
      <c r="B168" s="90"/>
      <c r="C168" s="90"/>
      <c r="D168" s="90"/>
      <c r="E168" s="90"/>
      <c r="F168" s="90"/>
      <c r="G168" s="90"/>
      <c r="H168" s="90"/>
      <c r="I168" s="90"/>
      <c r="J168" s="90"/>
      <c r="K168" s="90"/>
      <c r="L168" s="90"/>
      <c r="M168" s="90"/>
      <c r="N168" s="90"/>
      <c r="O168" s="530"/>
      <c r="P168" s="530"/>
      <c r="Q168" s="530"/>
      <c r="R168" s="530"/>
      <c r="S168" s="530"/>
      <c r="T168" s="530"/>
      <c r="U168" s="530"/>
    </row>
    <row r="169" spans="1:21" ht="9.75" customHeight="1">
      <c r="A169" s="90"/>
      <c r="B169" s="90"/>
      <c r="C169" s="90"/>
      <c r="D169" s="90"/>
      <c r="E169" s="90"/>
      <c r="F169" s="90"/>
      <c r="G169" s="90"/>
      <c r="H169" s="90"/>
      <c r="I169" s="90"/>
      <c r="J169" s="90"/>
      <c r="K169" s="90"/>
      <c r="L169" s="90"/>
      <c r="M169" s="90"/>
      <c r="N169" s="90"/>
      <c r="O169" s="530"/>
      <c r="P169" s="530"/>
      <c r="Q169" s="530"/>
      <c r="R169" s="530"/>
      <c r="S169" s="530"/>
      <c r="T169" s="530"/>
      <c r="U169" s="530"/>
    </row>
    <row r="170" spans="1:21" ht="9.75" customHeight="1">
      <c r="A170" s="90"/>
      <c r="B170" s="90"/>
      <c r="C170" s="90"/>
      <c r="D170" s="90"/>
      <c r="E170" s="90"/>
      <c r="F170" s="90"/>
      <c r="G170" s="90"/>
      <c r="H170" s="90"/>
      <c r="I170" s="90"/>
      <c r="J170" s="90"/>
      <c r="K170" s="90"/>
      <c r="L170" s="90"/>
      <c r="M170" s="90"/>
      <c r="N170" s="90"/>
      <c r="O170" s="530"/>
      <c r="P170" s="530"/>
      <c r="Q170" s="530"/>
      <c r="R170" s="530"/>
      <c r="S170" s="530"/>
      <c r="T170" s="530"/>
      <c r="U170" s="530"/>
    </row>
    <row r="171" spans="1:21" ht="9.75" customHeight="1">
      <c r="A171" s="90"/>
      <c r="B171" s="90"/>
      <c r="C171" s="90"/>
      <c r="D171" s="90"/>
      <c r="E171" s="90"/>
      <c r="F171" s="90"/>
      <c r="G171" s="90"/>
      <c r="H171" s="90"/>
      <c r="I171" s="90"/>
      <c r="J171" s="90"/>
      <c r="K171" s="90"/>
      <c r="L171" s="90"/>
      <c r="M171" s="90"/>
      <c r="N171" s="90"/>
      <c r="O171" s="530"/>
      <c r="P171" s="530"/>
      <c r="Q171" s="530"/>
      <c r="R171" s="530"/>
      <c r="S171" s="530"/>
      <c r="T171" s="530"/>
      <c r="U171" s="530"/>
    </row>
    <row r="172" spans="1:21" ht="9.75" customHeight="1">
      <c r="A172" s="90"/>
      <c r="B172" s="90"/>
      <c r="C172" s="90"/>
      <c r="D172" s="90"/>
      <c r="E172" s="90"/>
      <c r="F172" s="90"/>
      <c r="G172" s="90"/>
      <c r="H172" s="90"/>
      <c r="I172" s="90"/>
      <c r="J172" s="90"/>
      <c r="K172" s="90"/>
      <c r="L172" s="90"/>
      <c r="M172" s="90"/>
      <c r="N172" s="90"/>
      <c r="O172" s="530"/>
      <c r="P172" s="530"/>
      <c r="Q172" s="530"/>
      <c r="R172" s="530"/>
      <c r="S172" s="530"/>
      <c r="T172" s="530"/>
      <c r="U172" s="530"/>
    </row>
    <row r="173" spans="1:21" ht="9.75" customHeight="1">
      <c r="A173" s="90"/>
      <c r="B173" s="90"/>
      <c r="C173" s="90"/>
      <c r="D173" s="90"/>
      <c r="E173" s="90"/>
      <c r="F173" s="90"/>
      <c r="G173" s="90"/>
      <c r="H173" s="90"/>
      <c r="I173" s="90"/>
      <c r="J173" s="90"/>
      <c r="K173" s="90"/>
      <c r="L173" s="90"/>
      <c r="M173" s="90"/>
      <c r="N173" s="90"/>
      <c r="O173" s="530"/>
      <c r="P173" s="530"/>
      <c r="Q173" s="530"/>
      <c r="R173" s="530"/>
      <c r="S173" s="530"/>
      <c r="T173" s="530"/>
      <c r="U173" s="530"/>
    </row>
    <row r="174" spans="1:21" ht="9.75" customHeight="1">
      <c r="A174" s="90"/>
      <c r="B174" s="90"/>
      <c r="C174" s="90"/>
      <c r="D174" s="90"/>
      <c r="E174" s="90"/>
      <c r="F174" s="90"/>
      <c r="G174" s="90"/>
      <c r="H174" s="90"/>
      <c r="I174" s="90"/>
      <c r="J174" s="90"/>
      <c r="K174" s="90"/>
      <c r="L174" s="90"/>
      <c r="M174" s="90"/>
      <c r="N174" s="90"/>
      <c r="O174" s="530"/>
      <c r="P174" s="530"/>
      <c r="Q174" s="530"/>
      <c r="R174" s="530"/>
      <c r="S174" s="530"/>
      <c r="T174" s="530"/>
      <c r="U174" s="530"/>
    </row>
    <row r="175" spans="1:21" ht="9.75" customHeight="1">
      <c r="A175" s="90"/>
      <c r="B175" s="90"/>
      <c r="C175" s="90"/>
      <c r="D175" s="90"/>
      <c r="E175" s="90"/>
      <c r="F175" s="90"/>
      <c r="G175" s="90"/>
      <c r="H175" s="90"/>
      <c r="I175" s="90"/>
      <c r="J175" s="90"/>
      <c r="K175" s="90"/>
      <c r="L175" s="90"/>
      <c r="M175" s="90"/>
      <c r="N175" s="90"/>
      <c r="O175" s="530"/>
      <c r="P175" s="530"/>
      <c r="Q175" s="530"/>
      <c r="R175" s="530"/>
      <c r="S175" s="530"/>
      <c r="T175" s="530"/>
      <c r="U175" s="530"/>
    </row>
    <row r="176" spans="1:21" ht="9.75" customHeight="1">
      <c r="A176" s="90"/>
      <c r="B176" s="90"/>
      <c r="C176" s="90"/>
      <c r="D176" s="90"/>
      <c r="E176" s="90"/>
      <c r="F176" s="90"/>
      <c r="G176" s="90"/>
      <c r="H176" s="90"/>
      <c r="I176" s="90"/>
      <c r="J176" s="90"/>
      <c r="K176" s="90"/>
      <c r="L176" s="90"/>
      <c r="M176" s="90"/>
      <c r="N176" s="90"/>
      <c r="O176" s="530"/>
      <c r="P176" s="530"/>
      <c r="Q176" s="530"/>
      <c r="R176" s="530"/>
      <c r="S176" s="530"/>
      <c r="T176" s="530"/>
      <c r="U176" s="530"/>
    </row>
    <row r="177" spans="1:21" ht="9.75" customHeight="1">
      <c r="A177" s="90"/>
      <c r="B177" s="90"/>
      <c r="C177" s="90"/>
      <c r="D177" s="90"/>
      <c r="E177" s="90"/>
      <c r="F177" s="90"/>
      <c r="G177" s="90"/>
      <c r="H177" s="90"/>
      <c r="I177" s="90"/>
      <c r="J177" s="90"/>
      <c r="K177" s="90"/>
      <c r="L177" s="90"/>
      <c r="M177" s="90"/>
      <c r="N177" s="90"/>
      <c r="O177" s="530"/>
      <c r="P177" s="530"/>
      <c r="Q177" s="530"/>
      <c r="R177" s="530"/>
      <c r="S177" s="530"/>
      <c r="T177" s="530"/>
      <c r="U177" s="530"/>
    </row>
    <row r="178" spans="1:21" ht="9.75" customHeight="1">
      <c r="A178" s="90"/>
      <c r="B178" s="90"/>
      <c r="C178" s="90"/>
      <c r="D178" s="90"/>
      <c r="E178" s="90"/>
      <c r="F178" s="90"/>
      <c r="G178" s="90"/>
      <c r="H178" s="90"/>
      <c r="I178" s="90"/>
      <c r="J178" s="90"/>
      <c r="K178" s="90"/>
      <c r="L178" s="90"/>
      <c r="M178" s="90"/>
      <c r="N178" s="90"/>
      <c r="O178" s="530"/>
      <c r="P178" s="530"/>
      <c r="Q178" s="530"/>
      <c r="R178" s="530"/>
      <c r="S178" s="530"/>
      <c r="T178" s="530"/>
      <c r="U178" s="530"/>
    </row>
    <row r="179" spans="1:21" ht="9.75" customHeight="1">
      <c r="A179" s="90"/>
      <c r="B179" s="90"/>
      <c r="C179" s="90"/>
      <c r="D179" s="90"/>
      <c r="E179" s="90"/>
      <c r="F179" s="90"/>
      <c r="G179" s="90"/>
      <c r="H179" s="90"/>
      <c r="I179" s="90"/>
      <c r="J179" s="90"/>
      <c r="K179" s="90"/>
      <c r="L179" s="90"/>
      <c r="M179" s="90"/>
      <c r="N179" s="90"/>
      <c r="O179" s="530"/>
      <c r="P179" s="530"/>
      <c r="Q179" s="530"/>
      <c r="R179" s="530"/>
      <c r="S179" s="530"/>
      <c r="T179" s="530"/>
      <c r="U179" s="530"/>
    </row>
    <row r="180" spans="1:21" ht="9.75" customHeight="1">
      <c r="A180" s="90"/>
      <c r="B180" s="90"/>
      <c r="C180" s="90"/>
      <c r="D180" s="90"/>
      <c r="E180" s="90"/>
      <c r="F180" s="90"/>
      <c r="G180" s="90"/>
      <c r="H180" s="90"/>
      <c r="I180" s="90"/>
      <c r="J180" s="90"/>
      <c r="K180" s="90"/>
      <c r="L180" s="90"/>
      <c r="M180" s="90"/>
      <c r="N180" s="90"/>
      <c r="O180" s="530"/>
      <c r="P180" s="530"/>
      <c r="Q180" s="530"/>
      <c r="R180" s="530"/>
      <c r="S180" s="530"/>
      <c r="T180" s="530"/>
      <c r="U180" s="530"/>
    </row>
    <row r="181" spans="1:21" ht="9.75" customHeight="1">
      <c r="A181" s="90"/>
      <c r="B181" s="90"/>
      <c r="C181" s="90"/>
      <c r="D181" s="90"/>
      <c r="E181" s="90"/>
      <c r="F181" s="90"/>
      <c r="G181" s="90"/>
      <c r="H181" s="90"/>
      <c r="I181" s="90"/>
      <c r="J181" s="90"/>
      <c r="K181" s="90"/>
      <c r="L181" s="90"/>
      <c r="M181" s="90"/>
      <c r="N181" s="90"/>
      <c r="O181" s="530"/>
      <c r="P181" s="530"/>
      <c r="Q181" s="530"/>
      <c r="R181" s="530"/>
      <c r="S181" s="530"/>
      <c r="T181" s="530"/>
      <c r="U181" s="530"/>
    </row>
    <row r="182" spans="1:21" ht="9.75" customHeight="1">
      <c r="A182" s="90"/>
      <c r="B182" s="90"/>
      <c r="C182" s="90"/>
      <c r="D182" s="90"/>
      <c r="E182" s="90"/>
      <c r="F182" s="90"/>
      <c r="G182" s="90"/>
      <c r="H182" s="90"/>
      <c r="I182" s="90"/>
      <c r="J182" s="90"/>
      <c r="K182" s="90"/>
      <c r="L182" s="90"/>
      <c r="M182" s="90"/>
      <c r="N182" s="90"/>
      <c r="O182" s="530"/>
      <c r="P182" s="530"/>
      <c r="Q182" s="530"/>
      <c r="R182" s="530"/>
      <c r="S182" s="530"/>
      <c r="T182" s="530"/>
      <c r="U182" s="530"/>
    </row>
    <row r="183" spans="1:21" ht="9.75" customHeight="1">
      <c r="A183" s="90"/>
      <c r="B183" s="90"/>
      <c r="C183" s="90"/>
      <c r="D183" s="90"/>
      <c r="E183" s="90"/>
      <c r="F183" s="90"/>
      <c r="G183" s="90"/>
      <c r="H183" s="90"/>
      <c r="I183" s="90"/>
      <c r="J183" s="90"/>
      <c r="K183" s="90"/>
      <c r="L183" s="90"/>
      <c r="M183" s="90"/>
      <c r="N183" s="90"/>
      <c r="O183" s="530"/>
      <c r="P183" s="530"/>
      <c r="Q183" s="530"/>
      <c r="R183" s="530"/>
      <c r="S183" s="530"/>
      <c r="T183" s="530"/>
      <c r="U183" s="530"/>
    </row>
    <row r="184" spans="1:21" ht="9.75" customHeight="1">
      <c r="A184" s="90"/>
      <c r="B184" s="90"/>
      <c r="C184" s="90"/>
      <c r="D184" s="90"/>
      <c r="E184" s="90"/>
      <c r="F184" s="90"/>
      <c r="G184" s="90"/>
      <c r="H184" s="90"/>
      <c r="I184" s="90"/>
      <c r="J184" s="90"/>
      <c r="K184" s="90"/>
      <c r="L184" s="90"/>
      <c r="M184" s="90"/>
      <c r="N184" s="90"/>
      <c r="O184" s="530"/>
      <c r="P184" s="530"/>
      <c r="Q184" s="530"/>
      <c r="R184" s="530"/>
      <c r="S184" s="530"/>
      <c r="T184" s="530"/>
      <c r="U184" s="530"/>
    </row>
    <row r="185" spans="1:21" ht="9.75" customHeight="1">
      <c r="A185" s="90"/>
      <c r="B185" s="90"/>
      <c r="C185" s="90"/>
      <c r="D185" s="90"/>
      <c r="E185" s="90"/>
      <c r="F185" s="90"/>
      <c r="G185" s="90"/>
      <c r="H185" s="90"/>
      <c r="I185" s="90"/>
      <c r="J185" s="90"/>
      <c r="K185" s="90"/>
      <c r="L185" s="90"/>
      <c r="M185" s="90"/>
      <c r="N185" s="90"/>
      <c r="O185" s="530"/>
      <c r="P185" s="530"/>
      <c r="Q185" s="530"/>
      <c r="R185" s="530"/>
      <c r="S185" s="530"/>
      <c r="T185" s="530"/>
      <c r="U185" s="530"/>
    </row>
    <row r="186" spans="1:21" ht="9.75" customHeight="1">
      <c r="A186" s="90"/>
      <c r="B186" s="90"/>
      <c r="C186" s="90"/>
      <c r="D186" s="90"/>
      <c r="E186" s="90"/>
      <c r="F186" s="90"/>
      <c r="G186" s="90"/>
      <c r="H186" s="90"/>
      <c r="I186" s="90"/>
      <c r="J186" s="90"/>
      <c r="K186" s="90"/>
      <c r="L186" s="90"/>
      <c r="M186" s="90"/>
      <c r="N186" s="90"/>
      <c r="O186" s="530"/>
      <c r="P186" s="530"/>
      <c r="Q186" s="530"/>
      <c r="R186" s="530"/>
      <c r="S186" s="530"/>
      <c r="T186" s="530"/>
      <c r="U186" s="530"/>
    </row>
    <row r="187" spans="1:21" ht="9.75" customHeight="1">
      <c r="A187" s="90"/>
      <c r="B187" s="90"/>
      <c r="C187" s="90"/>
      <c r="D187" s="90"/>
      <c r="E187" s="90"/>
      <c r="F187" s="90"/>
      <c r="G187" s="90"/>
      <c r="H187" s="90"/>
      <c r="I187" s="90"/>
      <c r="J187" s="90"/>
      <c r="K187" s="90"/>
      <c r="L187" s="90"/>
      <c r="M187" s="90"/>
      <c r="N187" s="90"/>
      <c r="O187" s="530"/>
      <c r="P187" s="530"/>
      <c r="Q187" s="530"/>
      <c r="R187" s="530"/>
      <c r="S187" s="530"/>
      <c r="T187" s="530"/>
      <c r="U187" s="530"/>
    </row>
    <row r="188" spans="1:21" ht="9.75" customHeight="1">
      <c r="A188" s="90"/>
      <c r="B188" s="90"/>
      <c r="C188" s="90"/>
      <c r="D188" s="90"/>
      <c r="E188" s="90"/>
      <c r="F188" s="90"/>
      <c r="G188" s="90"/>
      <c r="H188" s="90"/>
      <c r="I188" s="90"/>
      <c r="J188" s="90"/>
      <c r="K188" s="90"/>
      <c r="L188" s="90"/>
      <c r="M188" s="90"/>
      <c r="N188" s="90"/>
      <c r="O188" s="530"/>
      <c r="P188" s="530"/>
      <c r="Q188" s="530"/>
      <c r="R188" s="530"/>
      <c r="S188" s="530"/>
      <c r="T188" s="530"/>
      <c r="U188" s="530"/>
    </row>
    <row r="189" spans="1:21" ht="9.75" customHeight="1">
      <c r="A189" s="90"/>
      <c r="B189" s="90"/>
      <c r="C189" s="90"/>
      <c r="D189" s="90"/>
      <c r="E189" s="90"/>
      <c r="F189" s="90"/>
      <c r="G189" s="90"/>
      <c r="H189" s="90"/>
      <c r="I189" s="90"/>
      <c r="J189" s="90"/>
      <c r="K189" s="90"/>
      <c r="L189" s="90"/>
      <c r="M189" s="90"/>
      <c r="N189" s="90"/>
      <c r="O189" s="530"/>
      <c r="P189" s="530"/>
      <c r="Q189" s="530"/>
      <c r="R189" s="530"/>
      <c r="S189" s="530"/>
      <c r="T189" s="530"/>
      <c r="U189" s="530"/>
    </row>
    <row r="190" spans="1:21" ht="9.75" customHeight="1">
      <c r="A190" s="90"/>
      <c r="B190" s="90"/>
      <c r="C190" s="90"/>
      <c r="D190" s="90"/>
      <c r="E190" s="90"/>
      <c r="F190" s="90"/>
      <c r="G190" s="90"/>
      <c r="H190" s="90"/>
      <c r="I190" s="90"/>
      <c r="J190" s="90"/>
      <c r="K190" s="90"/>
      <c r="L190" s="90"/>
      <c r="M190" s="90"/>
      <c r="N190" s="90"/>
      <c r="O190" s="530"/>
      <c r="P190" s="530"/>
      <c r="Q190" s="530"/>
      <c r="R190" s="530"/>
      <c r="S190" s="530"/>
      <c r="T190" s="530"/>
      <c r="U190" s="530"/>
    </row>
    <row r="191" spans="1:21" ht="9.75" customHeight="1">
      <c r="A191" s="90"/>
      <c r="B191" s="90"/>
      <c r="C191" s="90"/>
      <c r="D191" s="90"/>
      <c r="E191" s="90"/>
      <c r="F191" s="90"/>
      <c r="G191" s="90"/>
      <c r="H191" s="90"/>
      <c r="I191" s="90"/>
      <c r="J191" s="90"/>
      <c r="K191" s="90"/>
      <c r="L191" s="90"/>
      <c r="M191" s="90"/>
      <c r="N191" s="90"/>
      <c r="O191" s="530"/>
      <c r="P191" s="530"/>
      <c r="Q191" s="530"/>
      <c r="R191" s="530"/>
      <c r="S191" s="530"/>
      <c r="T191" s="530"/>
      <c r="U191" s="530"/>
    </row>
    <row r="192" spans="1:21" ht="9.75" customHeight="1">
      <c r="A192" s="90"/>
      <c r="B192" s="90"/>
      <c r="C192" s="90"/>
      <c r="D192" s="90"/>
      <c r="E192" s="90"/>
      <c r="F192" s="90"/>
      <c r="G192" s="90"/>
      <c r="H192" s="90"/>
      <c r="I192" s="90"/>
      <c r="J192" s="90"/>
      <c r="K192" s="90"/>
      <c r="L192" s="90"/>
      <c r="M192" s="90"/>
      <c r="N192" s="90"/>
      <c r="O192" s="530"/>
      <c r="P192" s="530"/>
      <c r="Q192" s="530"/>
      <c r="R192" s="530"/>
      <c r="S192" s="530"/>
      <c r="T192" s="530"/>
      <c r="U192" s="530"/>
    </row>
    <row r="193" spans="1:21" ht="9.75" customHeight="1">
      <c r="A193" s="90"/>
      <c r="B193" s="90"/>
      <c r="C193" s="90"/>
      <c r="D193" s="90"/>
      <c r="E193" s="90"/>
      <c r="F193" s="90"/>
      <c r="G193" s="90"/>
      <c r="H193" s="90"/>
      <c r="I193" s="90"/>
      <c r="J193" s="90"/>
      <c r="K193" s="90"/>
      <c r="L193" s="90"/>
      <c r="M193" s="90"/>
      <c r="N193" s="90"/>
      <c r="O193" s="530"/>
      <c r="P193" s="530"/>
      <c r="Q193" s="530"/>
      <c r="R193" s="530"/>
      <c r="S193" s="530"/>
      <c r="T193" s="530"/>
      <c r="U193" s="530"/>
    </row>
    <row r="194" spans="1:21" ht="9.75" customHeight="1">
      <c r="A194" s="90"/>
      <c r="B194" s="90"/>
      <c r="C194" s="90"/>
      <c r="D194" s="90"/>
      <c r="E194" s="90"/>
      <c r="F194" s="90"/>
      <c r="G194" s="90"/>
      <c r="H194" s="90"/>
      <c r="I194" s="90"/>
      <c r="J194" s="90"/>
      <c r="K194" s="90"/>
      <c r="L194" s="90"/>
      <c r="M194" s="90"/>
      <c r="N194" s="90"/>
      <c r="O194" s="530"/>
      <c r="P194" s="530"/>
      <c r="Q194" s="530"/>
      <c r="R194" s="530"/>
      <c r="S194" s="530"/>
      <c r="T194" s="530"/>
      <c r="U194" s="530"/>
    </row>
    <row r="195" spans="1:21" ht="9.75" customHeight="1">
      <c r="A195" s="90"/>
      <c r="B195" s="90"/>
      <c r="C195" s="90"/>
      <c r="D195" s="90"/>
      <c r="E195" s="90"/>
      <c r="F195" s="90"/>
      <c r="G195" s="90"/>
      <c r="H195" s="90"/>
      <c r="I195" s="90"/>
      <c r="J195" s="90"/>
      <c r="K195" s="90"/>
      <c r="L195" s="90"/>
      <c r="M195" s="90"/>
      <c r="N195" s="90"/>
      <c r="O195" s="530"/>
      <c r="P195" s="530"/>
      <c r="Q195" s="530"/>
      <c r="R195" s="530"/>
      <c r="S195" s="530"/>
      <c r="T195" s="530"/>
      <c r="U195" s="530"/>
    </row>
    <row r="196" spans="1:21" ht="9.75" customHeight="1">
      <c r="A196" s="90"/>
      <c r="B196" s="90"/>
      <c r="C196" s="90"/>
      <c r="D196" s="90"/>
      <c r="E196" s="90"/>
      <c r="F196" s="90"/>
      <c r="G196" s="90"/>
      <c r="H196" s="90"/>
      <c r="I196" s="90"/>
      <c r="J196" s="90"/>
      <c r="K196" s="90"/>
      <c r="L196" s="90"/>
      <c r="M196" s="90"/>
      <c r="N196" s="90"/>
      <c r="O196" s="530"/>
      <c r="P196" s="530"/>
      <c r="Q196" s="530"/>
      <c r="R196" s="530"/>
      <c r="S196" s="530"/>
      <c r="T196" s="530"/>
      <c r="U196" s="530"/>
    </row>
    <row r="197" spans="1:21" ht="9.75" customHeight="1">
      <c r="A197" s="90"/>
      <c r="B197" s="90"/>
      <c r="C197" s="90"/>
      <c r="D197" s="90"/>
      <c r="E197" s="90"/>
      <c r="F197" s="90"/>
      <c r="G197" s="90"/>
      <c r="H197" s="90"/>
      <c r="I197" s="90"/>
      <c r="J197" s="90"/>
      <c r="K197" s="90"/>
      <c r="L197" s="90"/>
      <c r="M197" s="90"/>
      <c r="N197" s="90"/>
      <c r="O197" s="530"/>
      <c r="P197" s="530"/>
      <c r="Q197" s="530"/>
      <c r="R197" s="530"/>
      <c r="S197" s="530"/>
      <c r="T197" s="530"/>
      <c r="U197" s="530"/>
    </row>
    <row r="198" spans="1:21" ht="9.75" customHeight="1">
      <c r="A198" s="90"/>
      <c r="B198" s="90"/>
      <c r="C198" s="90"/>
      <c r="D198" s="90"/>
      <c r="E198" s="90"/>
      <c r="F198" s="90"/>
      <c r="G198" s="90"/>
      <c r="H198" s="90"/>
      <c r="I198" s="90"/>
      <c r="J198" s="90"/>
      <c r="K198" s="90"/>
      <c r="L198" s="90"/>
      <c r="M198" s="90"/>
      <c r="N198" s="90"/>
      <c r="O198" s="530"/>
      <c r="P198" s="530"/>
      <c r="Q198" s="530"/>
      <c r="R198" s="530"/>
      <c r="S198" s="530"/>
      <c r="T198" s="530"/>
      <c r="U198" s="530"/>
    </row>
    <row r="199" spans="1:21" ht="9.75" customHeight="1">
      <c r="A199" s="90"/>
      <c r="B199" s="90"/>
      <c r="C199" s="90"/>
      <c r="D199" s="90"/>
      <c r="E199" s="90"/>
      <c r="F199" s="90"/>
      <c r="G199" s="90"/>
      <c r="H199" s="90"/>
      <c r="I199" s="90"/>
      <c r="J199" s="90"/>
      <c r="K199" s="90"/>
      <c r="L199" s="90"/>
      <c r="M199" s="90"/>
      <c r="N199" s="90"/>
      <c r="O199" s="530"/>
      <c r="P199" s="530"/>
      <c r="Q199" s="530"/>
      <c r="R199" s="530"/>
      <c r="S199" s="530"/>
      <c r="T199" s="530"/>
      <c r="U199" s="530"/>
    </row>
    <row r="200" spans="1:21" ht="9.75" customHeight="1">
      <c r="A200" s="90"/>
      <c r="B200" s="90"/>
      <c r="C200" s="90"/>
      <c r="D200" s="90"/>
      <c r="E200" s="90"/>
      <c r="F200" s="90"/>
      <c r="G200" s="90"/>
      <c r="H200" s="90"/>
      <c r="I200" s="90"/>
      <c r="J200" s="90"/>
      <c r="K200" s="90"/>
      <c r="L200" s="90"/>
      <c r="M200" s="90"/>
      <c r="N200" s="90"/>
      <c r="O200" s="530"/>
      <c r="P200" s="530"/>
      <c r="Q200" s="530"/>
      <c r="R200" s="530"/>
      <c r="S200" s="530"/>
      <c r="T200" s="530"/>
      <c r="U200" s="530"/>
    </row>
    <row r="201" spans="1:21" ht="9.75" customHeight="1">
      <c r="A201" s="90"/>
      <c r="B201" s="90"/>
      <c r="C201" s="90"/>
      <c r="D201" s="90"/>
      <c r="E201" s="90"/>
      <c r="F201" s="90"/>
      <c r="G201" s="90"/>
      <c r="H201" s="90"/>
      <c r="I201" s="90"/>
      <c r="J201" s="90"/>
      <c r="K201" s="90"/>
      <c r="L201" s="90"/>
      <c r="M201" s="90"/>
      <c r="N201" s="90"/>
      <c r="O201" s="530"/>
      <c r="P201" s="530"/>
      <c r="Q201" s="530"/>
      <c r="R201" s="530"/>
      <c r="S201" s="530"/>
      <c r="T201" s="530"/>
      <c r="U201" s="530"/>
    </row>
    <row r="202" spans="1:21" ht="9.75" customHeight="1">
      <c r="A202" s="90"/>
      <c r="B202" s="90"/>
      <c r="C202" s="90"/>
      <c r="D202" s="90"/>
      <c r="E202" s="90"/>
      <c r="F202" s="90"/>
      <c r="G202" s="90"/>
      <c r="H202" s="90"/>
      <c r="I202" s="90"/>
      <c r="J202" s="90"/>
      <c r="K202" s="90"/>
      <c r="L202" s="90"/>
      <c r="M202" s="90"/>
      <c r="N202" s="90"/>
      <c r="O202" s="530"/>
      <c r="P202" s="530"/>
      <c r="Q202" s="530"/>
      <c r="R202" s="530"/>
      <c r="S202" s="530"/>
      <c r="T202" s="530"/>
      <c r="U202" s="530"/>
    </row>
    <row r="203" spans="1:21" ht="9.75" customHeight="1">
      <c r="A203" s="90"/>
      <c r="B203" s="90"/>
      <c r="C203" s="90"/>
      <c r="D203" s="90"/>
      <c r="E203" s="90"/>
      <c r="F203" s="90"/>
      <c r="G203" s="90"/>
      <c r="H203" s="90"/>
      <c r="I203" s="90"/>
      <c r="J203" s="90"/>
      <c r="K203" s="90"/>
      <c r="L203" s="90"/>
      <c r="M203" s="90"/>
      <c r="N203" s="90"/>
      <c r="O203" s="530"/>
      <c r="P203" s="530"/>
      <c r="Q203" s="530"/>
      <c r="R203" s="530"/>
      <c r="S203" s="530"/>
      <c r="T203" s="530"/>
      <c r="U203" s="530"/>
    </row>
    <row r="204" spans="1:21" ht="9.75" customHeight="1">
      <c r="A204" s="90"/>
      <c r="B204" s="90"/>
      <c r="C204" s="90"/>
      <c r="D204" s="90"/>
      <c r="E204" s="90"/>
      <c r="F204" s="90"/>
      <c r="G204" s="90"/>
      <c r="H204" s="90"/>
      <c r="I204" s="90"/>
      <c r="J204" s="90"/>
      <c r="K204" s="90"/>
      <c r="L204" s="90"/>
      <c r="M204" s="90"/>
      <c r="N204" s="90"/>
      <c r="O204" s="530"/>
      <c r="P204" s="530"/>
      <c r="Q204" s="530"/>
      <c r="R204" s="530"/>
      <c r="S204" s="530"/>
      <c r="T204" s="530"/>
      <c r="U204" s="530"/>
    </row>
    <row r="205" spans="1:21" ht="9.75" customHeight="1">
      <c r="A205" s="90"/>
      <c r="B205" s="90"/>
      <c r="C205" s="90"/>
      <c r="D205" s="90"/>
      <c r="E205" s="90"/>
      <c r="F205" s="90"/>
      <c r="G205" s="90"/>
      <c r="H205" s="90"/>
      <c r="I205" s="90"/>
      <c r="J205" s="90"/>
      <c r="K205" s="90"/>
      <c r="L205" s="90"/>
      <c r="M205" s="90"/>
      <c r="N205" s="90"/>
      <c r="O205" s="530"/>
      <c r="P205" s="530"/>
      <c r="Q205" s="530"/>
      <c r="R205" s="530"/>
      <c r="S205" s="530"/>
      <c r="T205" s="530"/>
      <c r="U205" s="530"/>
    </row>
    <row r="206" spans="1:21" ht="9.75" customHeight="1">
      <c r="A206" s="90"/>
      <c r="B206" s="90"/>
      <c r="C206" s="90"/>
      <c r="D206" s="90"/>
      <c r="E206" s="90"/>
      <c r="F206" s="90"/>
      <c r="G206" s="90"/>
      <c r="H206" s="90"/>
      <c r="I206" s="90"/>
      <c r="J206" s="90"/>
      <c r="K206" s="90"/>
      <c r="L206" s="90"/>
      <c r="M206" s="90"/>
      <c r="N206" s="90"/>
      <c r="O206" s="530"/>
      <c r="P206" s="530"/>
      <c r="Q206" s="530"/>
      <c r="R206" s="530"/>
      <c r="S206" s="530"/>
      <c r="T206" s="530"/>
      <c r="U206" s="530"/>
    </row>
    <row r="207" spans="1:21" ht="9.75" customHeight="1">
      <c r="A207" s="90"/>
      <c r="B207" s="90"/>
      <c r="C207" s="90"/>
      <c r="D207" s="90"/>
      <c r="E207" s="90"/>
      <c r="F207" s="90"/>
      <c r="G207" s="90"/>
      <c r="H207" s="90"/>
      <c r="I207" s="90"/>
      <c r="J207" s="90"/>
      <c r="K207" s="90"/>
      <c r="L207" s="90"/>
      <c r="M207" s="90"/>
      <c r="N207" s="90"/>
      <c r="O207" s="530"/>
      <c r="P207" s="530"/>
      <c r="Q207" s="530"/>
      <c r="R207" s="530"/>
      <c r="S207" s="530"/>
      <c r="T207" s="530"/>
      <c r="U207" s="530"/>
    </row>
    <row r="208" spans="1:21" ht="9.75" customHeight="1">
      <c r="A208" s="90"/>
      <c r="B208" s="90"/>
      <c r="C208" s="90"/>
      <c r="D208" s="90"/>
      <c r="E208" s="90"/>
      <c r="F208" s="90"/>
      <c r="G208" s="90"/>
      <c r="H208" s="90"/>
      <c r="I208" s="90"/>
      <c r="J208" s="90"/>
      <c r="K208" s="90"/>
      <c r="L208" s="90"/>
      <c r="M208" s="90"/>
      <c r="N208" s="90"/>
      <c r="O208" s="530"/>
      <c r="P208" s="530"/>
      <c r="Q208" s="530"/>
      <c r="R208" s="530"/>
      <c r="S208" s="530"/>
      <c r="T208" s="530"/>
      <c r="U208" s="530"/>
    </row>
    <row r="209" spans="1:21" ht="9.75" customHeight="1">
      <c r="A209" s="90"/>
      <c r="B209" s="90"/>
      <c r="C209" s="90"/>
      <c r="D209" s="90"/>
      <c r="E209" s="90"/>
      <c r="F209" s="90"/>
      <c r="G209" s="90"/>
      <c r="H209" s="90"/>
      <c r="I209" s="90"/>
      <c r="J209" s="90"/>
      <c r="K209" s="90"/>
      <c r="L209" s="90"/>
      <c r="M209" s="90"/>
      <c r="N209" s="90"/>
      <c r="O209" s="530"/>
      <c r="P209" s="530"/>
      <c r="Q209" s="530"/>
      <c r="R209" s="530"/>
      <c r="S209" s="530"/>
      <c r="T209" s="530"/>
      <c r="U209" s="530"/>
    </row>
    <row r="210" spans="1:21" ht="9.75" customHeight="1">
      <c r="A210" s="90"/>
      <c r="B210" s="90"/>
      <c r="C210" s="90"/>
      <c r="D210" s="90"/>
      <c r="E210" s="90"/>
      <c r="F210" s="90"/>
      <c r="G210" s="90"/>
      <c r="H210" s="90"/>
      <c r="I210" s="90"/>
      <c r="J210" s="90"/>
      <c r="K210" s="90"/>
      <c r="L210" s="90"/>
      <c r="M210" s="90"/>
      <c r="N210" s="90"/>
      <c r="O210" s="530"/>
      <c r="P210" s="530"/>
      <c r="Q210" s="530"/>
      <c r="R210" s="530"/>
      <c r="S210" s="530"/>
      <c r="T210" s="530"/>
      <c r="U210" s="530"/>
    </row>
    <row r="211" spans="1:21" ht="9.75" customHeight="1">
      <c r="A211" s="90"/>
      <c r="B211" s="90"/>
      <c r="C211" s="90"/>
      <c r="D211" s="90"/>
      <c r="E211" s="90"/>
      <c r="F211" s="90"/>
      <c r="G211" s="90"/>
      <c r="H211" s="90"/>
      <c r="I211" s="90"/>
      <c r="J211" s="90"/>
      <c r="K211" s="90"/>
      <c r="L211" s="90"/>
      <c r="M211" s="90"/>
      <c r="N211" s="90"/>
      <c r="O211" s="530"/>
      <c r="P211" s="530"/>
      <c r="Q211" s="530"/>
      <c r="R211" s="530"/>
      <c r="S211" s="530"/>
      <c r="T211" s="530"/>
      <c r="U211" s="530"/>
    </row>
    <row r="212" spans="1:21" ht="9.75" customHeight="1">
      <c r="A212" s="90"/>
      <c r="B212" s="90"/>
      <c r="C212" s="90"/>
      <c r="D212" s="90"/>
      <c r="E212" s="90"/>
      <c r="F212" s="90"/>
      <c r="G212" s="90"/>
      <c r="H212" s="90"/>
      <c r="I212" s="90"/>
      <c r="J212" s="90"/>
      <c r="K212" s="90"/>
      <c r="L212" s="90"/>
      <c r="M212" s="90"/>
      <c r="N212" s="90"/>
      <c r="O212" s="530"/>
      <c r="P212" s="530"/>
      <c r="Q212" s="530"/>
      <c r="R212" s="530"/>
      <c r="S212" s="530"/>
      <c r="T212" s="530"/>
      <c r="U212" s="530"/>
    </row>
    <row r="213" spans="1:21" ht="9.75" customHeight="1">
      <c r="A213" s="90"/>
      <c r="B213" s="90"/>
      <c r="C213" s="90"/>
      <c r="D213" s="90"/>
      <c r="E213" s="90"/>
      <c r="F213" s="90"/>
      <c r="G213" s="90"/>
      <c r="H213" s="90"/>
      <c r="I213" s="90"/>
      <c r="J213" s="90"/>
      <c r="K213" s="90"/>
      <c r="L213" s="90"/>
      <c r="M213" s="90"/>
      <c r="N213" s="90"/>
      <c r="O213" s="530"/>
      <c r="P213" s="530"/>
      <c r="Q213" s="530"/>
      <c r="R213" s="530"/>
      <c r="S213" s="530"/>
      <c r="T213" s="530"/>
      <c r="U213" s="530"/>
    </row>
    <row r="214" spans="1:21" ht="9.75" customHeight="1">
      <c r="A214" s="90"/>
      <c r="B214" s="90"/>
      <c r="C214" s="90"/>
      <c r="D214" s="90"/>
      <c r="E214" s="90"/>
      <c r="F214" s="90"/>
      <c r="G214" s="90"/>
      <c r="H214" s="90"/>
      <c r="I214" s="90"/>
      <c r="J214" s="90"/>
      <c r="K214" s="90"/>
      <c r="L214" s="90"/>
      <c r="M214" s="90"/>
      <c r="N214" s="90"/>
      <c r="O214" s="530"/>
      <c r="P214" s="530"/>
      <c r="Q214" s="530"/>
      <c r="R214" s="530"/>
      <c r="S214" s="530"/>
      <c r="T214" s="530"/>
      <c r="U214" s="530"/>
    </row>
    <row r="215" spans="1:21" ht="9.75" customHeight="1">
      <c r="A215" s="90"/>
      <c r="B215" s="90"/>
      <c r="C215" s="90"/>
      <c r="D215" s="90"/>
      <c r="E215" s="90"/>
      <c r="F215" s="90"/>
      <c r="G215" s="90"/>
      <c r="H215" s="90"/>
      <c r="I215" s="90"/>
      <c r="J215" s="90"/>
      <c r="K215" s="90"/>
      <c r="L215" s="90"/>
      <c r="M215" s="90"/>
      <c r="N215" s="90"/>
      <c r="O215" s="530"/>
      <c r="P215" s="530"/>
      <c r="Q215" s="530"/>
      <c r="R215" s="530"/>
      <c r="S215" s="530"/>
      <c r="T215" s="530"/>
      <c r="U215" s="530"/>
    </row>
    <row r="216" spans="1:21" ht="9.75" customHeight="1">
      <c r="A216" s="90"/>
      <c r="B216" s="90"/>
      <c r="C216" s="90"/>
      <c r="D216" s="90"/>
      <c r="E216" s="90"/>
      <c r="F216" s="90"/>
      <c r="G216" s="90"/>
      <c r="H216" s="90"/>
      <c r="I216" s="90"/>
      <c r="J216" s="90"/>
      <c r="K216" s="90"/>
      <c r="L216" s="90"/>
      <c r="M216" s="90"/>
      <c r="N216" s="90"/>
      <c r="O216" s="530"/>
      <c r="P216" s="530"/>
      <c r="Q216" s="530"/>
      <c r="R216" s="530"/>
      <c r="S216" s="530"/>
      <c r="T216" s="530"/>
      <c r="U216" s="530"/>
    </row>
    <row r="217" spans="1:21" ht="9.75" customHeight="1">
      <c r="A217" s="90"/>
      <c r="B217" s="90"/>
      <c r="C217" s="90"/>
      <c r="D217" s="90"/>
      <c r="E217" s="90"/>
      <c r="F217" s="90"/>
      <c r="G217" s="90"/>
      <c r="H217" s="90"/>
      <c r="I217" s="90"/>
      <c r="J217" s="90"/>
      <c r="K217" s="90"/>
      <c r="L217" s="90"/>
      <c r="M217" s="90"/>
      <c r="N217" s="90"/>
      <c r="O217" s="530"/>
      <c r="P217" s="530"/>
      <c r="Q217" s="530"/>
      <c r="R217" s="530"/>
      <c r="S217" s="530"/>
      <c r="T217" s="530"/>
      <c r="U217" s="530"/>
    </row>
    <row r="218" spans="1:21" ht="9.75" customHeight="1">
      <c r="A218" s="90"/>
      <c r="B218" s="90"/>
      <c r="C218" s="90"/>
      <c r="D218" s="90"/>
      <c r="E218" s="90"/>
      <c r="F218" s="90"/>
      <c r="G218" s="90"/>
      <c r="H218" s="90"/>
      <c r="I218" s="90"/>
      <c r="J218" s="90"/>
      <c r="K218" s="90"/>
      <c r="L218" s="90"/>
      <c r="M218" s="90"/>
      <c r="N218" s="90"/>
      <c r="O218" s="530"/>
      <c r="P218" s="530"/>
      <c r="Q218" s="530"/>
      <c r="R218" s="530"/>
      <c r="S218" s="530"/>
      <c r="T218" s="530"/>
      <c r="U218" s="530"/>
    </row>
    <row r="219" spans="1:21" ht="9.75" customHeight="1">
      <c r="A219" s="90"/>
      <c r="B219" s="90"/>
      <c r="C219" s="90"/>
      <c r="D219" s="90"/>
      <c r="E219" s="90"/>
      <c r="F219" s="90"/>
      <c r="G219" s="90"/>
      <c r="H219" s="90"/>
      <c r="I219" s="90"/>
      <c r="J219" s="90"/>
      <c r="K219" s="90"/>
      <c r="L219" s="90"/>
      <c r="M219" s="90"/>
      <c r="N219" s="90"/>
      <c r="O219" s="530"/>
      <c r="P219" s="530"/>
      <c r="Q219" s="530"/>
      <c r="R219" s="530"/>
      <c r="S219" s="530"/>
      <c r="T219" s="530"/>
      <c r="U219" s="530"/>
    </row>
    <row r="220" spans="1:21" ht="9.75" customHeight="1">
      <c r="A220" s="90"/>
      <c r="B220" s="90"/>
      <c r="C220" s="90"/>
      <c r="D220" s="90"/>
      <c r="E220" s="90"/>
      <c r="F220" s="90"/>
      <c r="G220" s="90"/>
      <c r="H220" s="90"/>
      <c r="I220" s="90"/>
      <c r="J220" s="90"/>
      <c r="K220" s="90"/>
      <c r="L220" s="90"/>
      <c r="M220" s="90"/>
      <c r="N220" s="90"/>
      <c r="O220" s="530"/>
      <c r="P220" s="530"/>
      <c r="Q220" s="530"/>
      <c r="R220" s="530"/>
      <c r="S220" s="530"/>
      <c r="T220" s="530"/>
      <c r="U220" s="530"/>
    </row>
    <row r="221" spans="1:21" ht="9.75" customHeight="1">
      <c r="A221" s="90"/>
      <c r="B221" s="90"/>
      <c r="C221" s="90"/>
      <c r="D221" s="90"/>
      <c r="E221" s="90"/>
      <c r="F221" s="90"/>
      <c r="G221" s="90"/>
      <c r="H221" s="90"/>
      <c r="I221" s="90"/>
      <c r="J221" s="90"/>
      <c r="K221" s="90"/>
      <c r="L221" s="90"/>
      <c r="M221" s="90"/>
      <c r="N221" s="90"/>
      <c r="O221" s="530"/>
      <c r="P221" s="530"/>
      <c r="Q221" s="530"/>
      <c r="R221" s="530"/>
      <c r="S221" s="530"/>
      <c r="T221" s="530"/>
      <c r="U221" s="530"/>
    </row>
    <row r="222" spans="1:21" ht="9.75" customHeight="1">
      <c r="A222" s="90"/>
      <c r="B222" s="90"/>
      <c r="C222" s="90"/>
      <c r="D222" s="90"/>
      <c r="E222" s="90"/>
      <c r="F222" s="90"/>
      <c r="G222" s="90"/>
      <c r="H222" s="90"/>
      <c r="I222" s="90"/>
      <c r="J222" s="90"/>
      <c r="K222" s="90"/>
      <c r="L222" s="90"/>
      <c r="M222" s="90"/>
      <c r="N222" s="90"/>
      <c r="O222" s="530"/>
      <c r="P222" s="530"/>
      <c r="Q222" s="530"/>
      <c r="R222" s="530"/>
      <c r="S222" s="530"/>
      <c r="T222" s="530"/>
      <c r="U222" s="530"/>
    </row>
    <row r="223" spans="1:21" ht="9.75" customHeight="1">
      <c r="A223" s="90"/>
      <c r="B223" s="90"/>
      <c r="C223" s="90"/>
      <c r="D223" s="90"/>
      <c r="E223" s="90"/>
      <c r="F223" s="90"/>
      <c r="G223" s="90"/>
      <c r="H223" s="90"/>
      <c r="I223" s="90"/>
      <c r="J223" s="90"/>
      <c r="K223" s="90"/>
      <c r="L223" s="90"/>
      <c r="M223" s="90"/>
      <c r="N223" s="90"/>
      <c r="O223" s="530"/>
      <c r="P223" s="530"/>
      <c r="Q223" s="530"/>
      <c r="R223" s="530"/>
      <c r="S223" s="530"/>
      <c r="T223" s="530"/>
      <c r="U223" s="530"/>
    </row>
    <row r="224" spans="1:21" ht="9.75" customHeight="1">
      <c r="A224" s="90"/>
      <c r="B224" s="90"/>
      <c r="C224" s="90"/>
      <c r="D224" s="90"/>
      <c r="E224" s="90"/>
      <c r="F224" s="90"/>
      <c r="G224" s="90"/>
      <c r="H224" s="90"/>
      <c r="I224" s="90"/>
      <c r="J224" s="90"/>
      <c r="K224" s="90"/>
      <c r="L224" s="90"/>
      <c r="M224" s="90"/>
      <c r="N224" s="90"/>
      <c r="O224" s="530"/>
      <c r="P224" s="530"/>
      <c r="Q224" s="530"/>
      <c r="R224" s="530"/>
      <c r="S224" s="530"/>
      <c r="T224" s="530"/>
      <c r="U224" s="530"/>
    </row>
    <row r="225" spans="1:21" ht="9.75" customHeight="1">
      <c r="A225" s="90"/>
      <c r="B225" s="90"/>
      <c r="C225" s="90"/>
      <c r="D225" s="90"/>
      <c r="E225" s="90"/>
      <c r="F225" s="90"/>
      <c r="G225" s="90"/>
      <c r="H225" s="90"/>
      <c r="I225" s="90"/>
      <c r="J225" s="90"/>
      <c r="K225" s="90"/>
      <c r="L225" s="90"/>
      <c r="M225" s="90"/>
      <c r="N225" s="90"/>
      <c r="O225" s="530"/>
      <c r="P225" s="530"/>
      <c r="Q225" s="530"/>
      <c r="R225" s="530"/>
      <c r="S225" s="530"/>
      <c r="T225" s="530"/>
      <c r="U225" s="530"/>
    </row>
    <row r="226" spans="1:21" ht="9.75" customHeight="1">
      <c r="A226" s="90"/>
      <c r="B226" s="90"/>
      <c r="C226" s="90"/>
      <c r="D226" s="90"/>
      <c r="E226" s="90"/>
      <c r="F226" s="90"/>
      <c r="G226" s="90"/>
      <c r="H226" s="90"/>
      <c r="I226" s="90"/>
      <c r="J226" s="90"/>
      <c r="K226" s="90"/>
      <c r="L226" s="90"/>
      <c r="M226" s="90"/>
      <c r="N226" s="90"/>
      <c r="O226" s="530"/>
      <c r="P226" s="530"/>
      <c r="Q226" s="530"/>
      <c r="R226" s="530"/>
      <c r="S226" s="530"/>
      <c r="T226" s="530"/>
      <c r="U226" s="530"/>
    </row>
    <row r="227" spans="1:21" ht="9.75" customHeight="1">
      <c r="A227" s="90"/>
      <c r="B227" s="90"/>
      <c r="C227" s="90"/>
      <c r="D227" s="90"/>
      <c r="E227" s="90"/>
      <c r="F227" s="90"/>
      <c r="G227" s="90"/>
      <c r="H227" s="90"/>
      <c r="I227" s="90"/>
      <c r="J227" s="90"/>
      <c r="K227" s="90"/>
      <c r="L227" s="90"/>
      <c r="M227" s="90"/>
      <c r="N227" s="90"/>
      <c r="O227" s="530"/>
      <c r="P227" s="530"/>
      <c r="Q227" s="530"/>
      <c r="R227" s="530"/>
      <c r="S227" s="530"/>
      <c r="T227" s="530"/>
      <c r="U227" s="530"/>
    </row>
    <row r="228" spans="1:21" ht="9.75" customHeight="1">
      <c r="A228" s="90"/>
      <c r="B228" s="90"/>
      <c r="C228" s="90"/>
      <c r="D228" s="90"/>
      <c r="E228" s="90"/>
      <c r="F228" s="90"/>
      <c r="G228" s="90"/>
      <c r="H228" s="90"/>
      <c r="I228" s="90"/>
      <c r="J228" s="90"/>
      <c r="K228" s="90"/>
      <c r="L228" s="90"/>
      <c r="M228" s="90"/>
      <c r="N228" s="90"/>
      <c r="O228" s="530"/>
      <c r="P228" s="530"/>
      <c r="Q228" s="530"/>
      <c r="R228" s="530"/>
      <c r="S228" s="530"/>
      <c r="T228" s="530"/>
      <c r="U228" s="530"/>
    </row>
    <row r="229" spans="1:21" ht="9.75" customHeight="1">
      <c r="A229" s="90"/>
      <c r="B229" s="90"/>
      <c r="C229" s="90"/>
      <c r="D229" s="90"/>
      <c r="E229" s="90"/>
      <c r="F229" s="90"/>
      <c r="G229" s="90"/>
      <c r="H229" s="90"/>
      <c r="I229" s="90"/>
      <c r="J229" s="90"/>
      <c r="K229" s="90"/>
      <c r="L229" s="90"/>
      <c r="M229" s="90"/>
      <c r="N229" s="90"/>
      <c r="O229" s="530"/>
      <c r="P229" s="530"/>
      <c r="Q229" s="530"/>
      <c r="R229" s="530"/>
      <c r="S229" s="530"/>
      <c r="T229" s="530"/>
      <c r="U229" s="530"/>
    </row>
    <row r="230" spans="1:21" ht="9.75" customHeight="1">
      <c r="A230" s="90"/>
      <c r="B230" s="90"/>
      <c r="C230" s="90"/>
      <c r="D230" s="90"/>
      <c r="E230" s="90"/>
      <c r="F230" s="90"/>
      <c r="G230" s="90"/>
      <c r="H230" s="90"/>
      <c r="I230" s="90"/>
      <c r="J230" s="90"/>
      <c r="K230" s="90"/>
      <c r="L230" s="90"/>
      <c r="M230" s="90"/>
      <c r="N230" s="90"/>
      <c r="O230" s="530"/>
      <c r="P230" s="530"/>
      <c r="Q230" s="530"/>
      <c r="R230" s="530"/>
      <c r="S230" s="530"/>
      <c r="T230" s="530"/>
      <c r="U230" s="530"/>
    </row>
    <row r="231" spans="1:21" ht="9.75" customHeight="1">
      <c r="A231" s="90"/>
      <c r="B231" s="90"/>
      <c r="C231" s="90"/>
      <c r="D231" s="90"/>
      <c r="E231" s="90"/>
      <c r="F231" s="90"/>
      <c r="G231" s="90"/>
      <c r="H231" s="90"/>
      <c r="I231" s="90"/>
      <c r="J231" s="90"/>
      <c r="K231" s="90"/>
      <c r="L231" s="90"/>
      <c r="M231" s="90"/>
      <c r="N231" s="90"/>
      <c r="O231" s="530"/>
      <c r="P231" s="530"/>
      <c r="Q231" s="530"/>
      <c r="R231" s="530"/>
      <c r="S231" s="530"/>
      <c r="T231" s="530"/>
      <c r="U231" s="530"/>
    </row>
    <row r="232" spans="1:21" ht="9.75" customHeight="1">
      <c r="A232" s="90"/>
      <c r="B232" s="90"/>
      <c r="C232" s="90"/>
      <c r="D232" s="90"/>
      <c r="E232" s="90"/>
      <c r="F232" s="90"/>
      <c r="G232" s="90"/>
      <c r="H232" s="90"/>
      <c r="I232" s="90"/>
      <c r="J232" s="90"/>
      <c r="K232" s="90"/>
      <c r="L232" s="90"/>
      <c r="M232" s="90"/>
      <c r="N232" s="90"/>
      <c r="O232" s="530"/>
      <c r="P232" s="530"/>
      <c r="Q232" s="530"/>
      <c r="R232" s="530"/>
      <c r="S232" s="530"/>
      <c r="T232" s="530"/>
      <c r="U232" s="530"/>
    </row>
    <row r="233" spans="1:21" ht="9.75" customHeight="1">
      <c r="A233" s="90"/>
      <c r="B233" s="90"/>
      <c r="C233" s="90"/>
      <c r="D233" s="90"/>
      <c r="E233" s="90"/>
      <c r="F233" s="90"/>
      <c r="G233" s="90"/>
      <c r="H233" s="90"/>
      <c r="I233" s="90"/>
      <c r="J233" s="90"/>
      <c r="K233" s="90"/>
      <c r="L233" s="90"/>
      <c r="M233" s="90"/>
      <c r="N233" s="90"/>
      <c r="O233" s="530"/>
      <c r="P233" s="530"/>
      <c r="Q233" s="530"/>
      <c r="R233" s="530"/>
      <c r="S233" s="530"/>
      <c r="T233" s="530"/>
      <c r="U233" s="530"/>
    </row>
    <row r="234" spans="1:21" ht="9.75" customHeight="1">
      <c r="A234" s="90"/>
      <c r="B234" s="90"/>
      <c r="C234" s="90"/>
      <c r="D234" s="90"/>
      <c r="E234" s="90"/>
      <c r="F234" s="90"/>
      <c r="G234" s="90"/>
      <c r="H234" s="90"/>
      <c r="I234" s="90"/>
      <c r="J234" s="90"/>
      <c r="K234" s="90"/>
      <c r="L234" s="90"/>
      <c r="M234" s="90"/>
      <c r="N234" s="90"/>
      <c r="O234" s="530"/>
      <c r="P234" s="530"/>
      <c r="Q234" s="530"/>
      <c r="R234" s="530"/>
      <c r="S234" s="530"/>
      <c r="T234" s="530"/>
      <c r="U234" s="530"/>
    </row>
    <row r="235" spans="1:21" ht="9.75" customHeight="1">
      <c r="A235" s="90"/>
      <c r="B235" s="90"/>
      <c r="C235" s="90"/>
      <c r="D235" s="90"/>
      <c r="E235" s="90"/>
      <c r="F235" s="90"/>
      <c r="G235" s="90"/>
      <c r="H235" s="90"/>
      <c r="I235" s="90"/>
      <c r="J235" s="90"/>
      <c r="K235" s="90"/>
      <c r="L235" s="90"/>
      <c r="M235" s="90"/>
      <c r="N235" s="90"/>
      <c r="O235" s="530"/>
      <c r="P235" s="530"/>
      <c r="Q235" s="530"/>
      <c r="R235" s="530"/>
      <c r="S235" s="530"/>
      <c r="T235" s="530"/>
      <c r="U235" s="530"/>
    </row>
    <row r="236" spans="1:21" ht="9.75" customHeight="1">
      <c r="A236" s="90"/>
      <c r="B236" s="90"/>
      <c r="C236" s="90"/>
      <c r="D236" s="90"/>
      <c r="E236" s="90"/>
      <c r="F236" s="90"/>
      <c r="G236" s="90"/>
      <c r="H236" s="90"/>
      <c r="I236" s="90"/>
      <c r="J236" s="90"/>
      <c r="K236" s="90"/>
      <c r="L236" s="90"/>
      <c r="M236" s="90"/>
      <c r="N236" s="90"/>
      <c r="O236" s="530"/>
      <c r="P236" s="530"/>
      <c r="Q236" s="530"/>
      <c r="R236" s="530"/>
      <c r="S236" s="530"/>
      <c r="T236" s="530"/>
      <c r="U236" s="530"/>
    </row>
    <row r="237" spans="1:21" ht="9.75" customHeight="1">
      <c r="A237" s="90"/>
      <c r="B237" s="90"/>
      <c r="C237" s="90"/>
      <c r="D237" s="90"/>
      <c r="E237" s="90"/>
      <c r="F237" s="90"/>
      <c r="G237" s="90"/>
      <c r="H237" s="90"/>
      <c r="I237" s="90"/>
      <c r="J237" s="90"/>
      <c r="K237" s="90"/>
      <c r="L237" s="90"/>
      <c r="M237" s="90"/>
      <c r="N237" s="90"/>
      <c r="O237" s="530"/>
      <c r="P237" s="530"/>
      <c r="Q237" s="530"/>
      <c r="R237" s="530"/>
      <c r="S237" s="530"/>
      <c r="T237" s="530"/>
      <c r="U237" s="530"/>
    </row>
    <row r="238" spans="1:21" ht="9.75" customHeight="1">
      <c r="A238" s="90"/>
      <c r="B238" s="90"/>
      <c r="C238" s="90"/>
      <c r="D238" s="90"/>
      <c r="E238" s="90"/>
      <c r="F238" s="90"/>
      <c r="G238" s="90"/>
      <c r="H238" s="90"/>
      <c r="I238" s="90"/>
      <c r="J238" s="90"/>
      <c r="K238" s="90"/>
      <c r="L238" s="90"/>
      <c r="M238" s="90"/>
      <c r="N238" s="90"/>
      <c r="O238" s="530"/>
      <c r="P238" s="530"/>
      <c r="Q238" s="530"/>
      <c r="R238" s="530"/>
      <c r="S238" s="530"/>
      <c r="T238" s="530"/>
      <c r="U238" s="530"/>
    </row>
    <row r="239" spans="1:21" ht="9.75" customHeight="1">
      <c r="A239" s="90"/>
      <c r="B239" s="90"/>
      <c r="C239" s="90"/>
      <c r="D239" s="90"/>
      <c r="E239" s="90"/>
      <c r="F239" s="90"/>
      <c r="G239" s="90"/>
      <c r="H239" s="90"/>
      <c r="I239" s="90"/>
      <c r="J239" s="90"/>
      <c r="K239" s="90"/>
      <c r="L239" s="90"/>
      <c r="M239" s="90"/>
      <c r="N239" s="90"/>
      <c r="O239" s="530"/>
      <c r="P239" s="530"/>
      <c r="Q239" s="530"/>
      <c r="R239" s="530"/>
      <c r="S239" s="530"/>
      <c r="T239" s="530"/>
      <c r="U239" s="530"/>
    </row>
    <row r="240" spans="1:21" ht="9.75" customHeight="1">
      <c r="A240" s="90"/>
      <c r="B240" s="90"/>
      <c r="C240" s="90"/>
      <c r="D240" s="90"/>
      <c r="E240" s="90"/>
      <c r="F240" s="90"/>
      <c r="G240" s="90"/>
      <c r="H240" s="90"/>
      <c r="I240" s="90"/>
      <c r="J240" s="90"/>
      <c r="K240" s="90"/>
      <c r="L240" s="90"/>
      <c r="M240" s="90"/>
      <c r="N240" s="90"/>
      <c r="O240" s="530"/>
      <c r="P240" s="530"/>
      <c r="Q240" s="530"/>
      <c r="R240" s="530"/>
      <c r="S240" s="530"/>
      <c r="T240" s="530"/>
      <c r="U240" s="530"/>
    </row>
    <row r="241" spans="1:21" ht="9.75" customHeight="1">
      <c r="A241" s="90"/>
      <c r="B241" s="90"/>
      <c r="C241" s="90"/>
      <c r="D241" s="90"/>
      <c r="E241" s="90"/>
      <c r="F241" s="90"/>
      <c r="G241" s="90"/>
      <c r="H241" s="90"/>
      <c r="I241" s="90"/>
      <c r="J241" s="90"/>
      <c r="K241" s="90"/>
      <c r="L241" s="90"/>
      <c r="M241" s="90"/>
      <c r="N241" s="90"/>
      <c r="O241" s="530"/>
      <c r="P241" s="530"/>
      <c r="Q241" s="530"/>
      <c r="R241" s="530"/>
      <c r="S241" s="530"/>
      <c r="T241" s="530"/>
      <c r="U241" s="530"/>
    </row>
    <row r="242" spans="1:21" ht="9.75" customHeight="1">
      <c r="A242" s="90"/>
      <c r="B242" s="90"/>
      <c r="C242" s="90"/>
      <c r="D242" s="90"/>
      <c r="E242" s="90"/>
      <c r="F242" s="90"/>
      <c r="G242" s="90"/>
      <c r="H242" s="90"/>
      <c r="I242" s="90"/>
      <c r="J242" s="90"/>
      <c r="K242" s="90"/>
      <c r="L242" s="90"/>
      <c r="M242" s="90"/>
      <c r="N242" s="90"/>
      <c r="O242" s="530"/>
      <c r="P242" s="530"/>
      <c r="Q242" s="530"/>
      <c r="R242" s="530"/>
      <c r="S242" s="530"/>
      <c r="T242" s="530"/>
      <c r="U242" s="530"/>
    </row>
    <row r="243" spans="1:21" ht="9.75" customHeight="1">
      <c r="A243" s="90"/>
      <c r="B243" s="90"/>
      <c r="C243" s="90"/>
      <c r="D243" s="90"/>
      <c r="E243" s="90"/>
      <c r="F243" s="90"/>
      <c r="G243" s="90"/>
      <c r="H243" s="90"/>
      <c r="I243" s="90"/>
      <c r="J243" s="90"/>
      <c r="K243" s="90"/>
      <c r="L243" s="90"/>
      <c r="M243" s="90"/>
      <c r="N243" s="90"/>
      <c r="O243" s="530"/>
      <c r="P243" s="530"/>
      <c r="Q243" s="530"/>
      <c r="R243" s="530"/>
      <c r="S243" s="530"/>
      <c r="T243" s="530"/>
      <c r="U243" s="530"/>
    </row>
    <row r="244" spans="1:21" ht="9.75" customHeight="1">
      <c r="A244" s="90"/>
      <c r="B244" s="90"/>
      <c r="C244" s="90"/>
      <c r="D244" s="90"/>
      <c r="E244" s="90"/>
      <c r="F244" s="90"/>
      <c r="G244" s="90"/>
      <c r="H244" s="90"/>
      <c r="I244" s="90"/>
      <c r="J244" s="90"/>
      <c r="K244" s="90"/>
      <c r="L244" s="90"/>
      <c r="M244" s="90"/>
      <c r="N244" s="90"/>
      <c r="O244" s="530"/>
      <c r="P244" s="530"/>
      <c r="Q244" s="530"/>
      <c r="R244" s="530"/>
      <c r="S244" s="530"/>
      <c r="T244" s="530"/>
      <c r="U244" s="530"/>
    </row>
    <row r="245" spans="1:21" ht="9.75" customHeight="1">
      <c r="A245" s="90"/>
      <c r="B245" s="90"/>
      <c r="C245" s="90"/>
      <c r="D245" s="90"/>
      <c r="E245" s="90"/>
      <c r="F245" s="90"/>
      <c r="G245" s="90"/>
      <c r="H245" s="90"/>
      <c r="I245" s="90"/>
      <c r="J245" s="90"/>
      <c r="K245" s="90"/>
      <c r="L245" s="90"/>
      <c r="M245" s="90"/>
      <c r="N245" s="90"/>
      <c r="O245" s="530"/>
      <c r="P245" s="530"/>
      <c r="Q245" s="530"/>
      <c r="R245" s="530"/>
      <c r="S245" s="530"/>
      <c r="T245" s="530"/>
      <c r="U245" s="530"/>
    </row>
    <row r="246" spans="1:21" ht="9.75" customHeight="1">
      <c r="A246" s="90"/>
      <c r="B246" s="90"/>
      <c r="C246" s="90"/>
      <c r="D246" s="90"/>
      <c r="E246" s="90"/>
      <c r="F246" s="90"/>
      <c r="G246" s="90"/>
      <c r="H246" s="90"/>
      <c r="I246" s="90"/>
      <c r="J246" s="90"/>
      <c r="K246" s="90"/>
      <c r="L246" s="90"/>
      <c r="M246" s="90"/>
      <c r="N246" s="90"/>
      <c r="O246" s="530"/>
      <c r="P246" s="530"/>
      <c r="Q246" s="530"/>
      <c r="R246" s="530"/>
      <c r="S246" s="530"/>
      <c r="T246" s="530"/>
      <c r="U246" s="530"/>
    </row>
    <row r="247" spans="1:21" ht="9.75" customHeight="1">
      <c r="A247" s="90"/>
      <c r="B247" s="90"/>
      <c r="C247" s="90"/>
      <c r="D247" s="90"/>
      <c r="E247" s="90"/>
      <c r="F247" s="90"/>
      <c r="G247" s="90"/>
      <c r="H247" s="90"/>
      <c r="I247" s="90"/>
      <c r="J247" s="90"/>
      <c r="K247" s="90"/>
      <c r="L247" s="90"/>
      <c r="M247" s="90"/>
      <c r="N247" s="90"/>
      <c r="O247" s="530"/>
      <c r="P247" s="530"/>
      <c r="Q247" s="530"/>
      <c r="R247" s="530"/>
      <c r="S247" s="530"/>
      <c r="T247" s="530"/>
      <c r="U247" s="530"/>
    </row>
    <row r="248" spans="1:21" ht="9.75" customHeight="1">
      <c r="A248" s="90"/>
      <c r="B248" s="90"/>
      <c r="C248" s="90"/>
      <c r="D248" s="90"/>
      <c r="E248" s="90"/>
      <c r="F248" s="90"/>
      <c r="G248" s="90"/>
      <c r="H248" s="90"/>
      <c r="I248" s="90"/>
      <c r="J248" s="90"/>
      <c r="K248" s="90"/>
      <c r="L248" s="90"/>
      <c r="M248" s="90"/>
      <c r="N248" s="90"/>
      <c r="O248" s="530"/>
      <c r="P248" s="530"/>
      <c r="Q248" s="530"/>
      <c r="R248" s="530"/>
      <c r="S248" s="530"/>
      <c r="T248" s="530"/>
      <c r="U248" s="530"/>
    </row>
    <row r="249" spans="1:21" ht="9.75" customHeight="1">
      <c r="A249" s="90"/>
      <c r="B249" s="90"/>
      <c r="C249" s="90"/>
      <c r="D249" s="90"/>
      <c r="E249" s="90"/>
      <c r="F249" s="90"/>
      <c r="G249" s="90"/>
      <c r="H249" s="90"/>
      <c r="I249" s="90"/>
      <c r="J249" s="90"/>
      <c r="K249" s="90"/>
      <c r="L249" s="90"/>
      <c r="M249" s="90"/>
      <c r="N249" s="90"/>
      <c r="O249" s="530"/>
      <c r="P249" s="530"/>
      <c r="Q249" s="530"/>
      <c r="R249" s="530"/>
      <c r="S249" s="530"/>
      <c r="T249" s="530"/>
      <c r="U249" s="530"/>
    </row>
    <row r="250" spans="1:21" ht="9.75" customHeight="1">
      <c r="A250" s="90"/>
      <c r="B250" s="90"/>
      <c r="C250" s="90"/>
      <c r="D250" s="90"/>
      <c r="E250" s="90"/>
      <c r="F250" s="90"/>
      <c r="G250" s="90"/>
      <c r="H250" s="90"/>
      <c r="I250" s="90"/>
      <c r="J250" s="90"/>
      <c r="K250" s="90"/>
      <c r="L250" s="90"/>
      <c r="M250" s="90"/>
      <c r="N250" s="90"/>
      <c r="O250" s="530"/>
      <c r="P250" s="530"/>
      <c r="Q250" s="530"/>
      <c r="R250" s="530"/>
      <c r="S250" s="530"/>
      <c r="T250" s="530"/>
      <c r="U250" s="530"/>
    </row>
    <row r="251" spans="1:21" ht="9.75" customHeight="1">
      <c r="A251" s="90"/>
      <c r="B251" s="90"/>
      <c r="C251" s="90"/>
      <c r="D251" s="90"/>
      <c r="E251" s="90"/>
      <c r="F251" s="90"/>
      <c r="G251" s="90"/>
      <c r="H251" s="90"/>
      <c r="I251" s="90"/>
      <c r="J251" s="90"/>
      <c r="K251" s="90"/>
      <c r="L251" s="90"/>
      <c r="M251" s="90"/>
      <c r="N251" s="90"/>
      <c r="O251" s="530"/>
      <c r="P251" s="530"/>
      <c r="Q251" s="530"/>
      <c r="R251" s="530"/>
      <c r="S251" s="530"/>
      <c r="T251" s="530"/>
      <c r="U251" s="530"/>
    </row>
    <row r="252" spans="1:21" ht="9.75" customHeight="1">
      <c r="A252" s="90"/>
      <c r="B252" s="90"/>
      <c r="C252" s="90"/>
      <c r="D252" s="90"/>
      <c r="E252" s="90"/>
      <c r="F252" s="90"/>
      <c r="G252" s="90"/>
      <c r="H252" s="90"/>
      <c r="I252" s="90"/>
      <c r="J252" s="90"/>
      <c r="K252" s="90"/>
      <c r="L252" s="90"/>
      <c r="M252" s="90"/>
      <c r="N252" s="90"/>
      <c r="O252" s="530"/>
      <c r="P252" s="530"/>
      <c r="Q252" s="530"/>
      <c r="R252" s="530"/>
      <c r="S252" s="530"/>
      <c r="T252" s="530"/>
      <c r="U252" s="530"/>
    </row>
    <row r="253" spans="1:21" ht="9.75" customHeight="1">
      <c r="A253" s="90"/>
      <c r="B253" s="90"/>
      <c r="C253" s="90"/>
      <c r="D253" s="90"/>
      <c r="E253" s="90"/>
      <c r="F253" s="90"/>
      <c r="G253" s="90"/>
      <c r="H253" s="90"/>
      <c r="I253" s="90"/>
      <c r="J253" s="90"/>
      <c r="K253" s="90"/>
      <c r="L253" s="90"/>
      <c r="M253" s="90"/>
      <c r="N253" s="90"/>
      <c r="O253" s="530"/>
      <c r="P253" s="530"/>
      <c r="Q253" s="530"/>
      <c r="R253" s="530"/>
      <c r="S253" s="530"/>
      <c r="T253" s="530"/>
      <c r="U253" s="530"/>
    </row>
    <row r="254" spans="1:21" ht="9.75" customHeight="1">
      <c r="A254" s="90"/>
      <c r="B254" s="90"/>
      <c r="C254" s="90"/>
      <c r="D254" s="90"/>
      <c r="E254" s="90"/>
      <c r="F254" s="90"/>
      <c r="G254" s="90"/>
      <c r="H254" s="90"/>
      <c r="I254" s="90"/>
      <c r="J254" s="90"/>
      <c r="K254" s="90"/>
      <c r="L254" s="90"/>
      <c r="M254" s="90"/>
      <c r="N254" s="90"/>
      <c r="O254" s="530"/>
      <c r="P254" s="530"/>
      <c r="Q254" s="530"/>
      <c r="R254" s="530"/>
      <c r="S254" s="530"/>
      <c r="T254" s="530"/>
      <c r="U254" s="530"/>
    </row>
    <row r="255" spans="1:21" ht="9.75" customHeight="1">
      <c r="A255" s="90"/>
      <c r="B255" s="90"/>
      <c r="C255" s="90"/>
      <c r="D255" s="90"/>
      <c r="E255" s="90"/>
      <c r="F255" s="90"/>
      <c r="G255" s="90"/>
      <c r="H255" s="90"/>
      <c r="I255" s="90"/>
      <c r="J255" s="90"/>
      <c r="K255" s="90"/>
      <c r="L255" s="90"/>
      <c r="M255" s="90"/>
      <c r="N255" s="90"/>
      <c r="O255" s="530"/>
      <c r="P255" s="530"/>
      <c r="Q255" s="530"/>
      <c r="R255" s="530"/>
      <c r="S255" s="530"/>
      <c r="T255" s="530"/>
      <c r="U255" s="530"/>
    </row>
    <row r="256" spans="1:21" ht="9.75" customHeight="1">
      <c r="A256" s="90"/>
      <c r="B256" s="90"/>
      <c r="C256" s="90"/>
      <c r="D256" s="90"/>
      <c r="E256" s="90"/>
      <c r="F256" s="90"/>
      <c r="G256" s="90"/>
      <c r="H256" s="90"/>
      <c r="I256" s="90"/>
      <c r="J256" s="90"/>
      <c r="K256" s="90"/>
      <c r="L256" s="90"/>
      <c r="M256" s="90"/>
      <c r="N256" s="90"/>
      <c r="O256" s="530"/>
      <c r="P256" s="530"/>
      <c r="Q256" s="530"/>
      <c r="R256" s="530"/>
      <c r="S256" s="530"/>
      <c r="T256" s="530"/>
      <c r="U256" s="530"/>
    </row>
    <row r="257" spans="1:21" ht="9.75" customHeight="1">
      <c r="A257" s="90"/>
      <c r="B257" s="90"/>
      <c r="C257" s="90"/>
      <c r="D257" s="90"/>
      <c r="E257" s="90"/>
      <c r="F257" s="90"/>
      <c r="G257" s="90"/>
      <c r="H257" s="90"/>
      <c r="I257" s="90"/>
      <c r="J257" s="90"/>
      <c r="K257" s="90"/>
      <c r="L257" s="90"/>
      <c r="M257" s="90"/>
      <c r="N257" s="90"/>
      <c r="O257" s="530"/>
      <c r="P257" s="530"/>
      <c r="Q257" s="530"/>
      <c r="R257" s="530"/>
      <c r="S257" s="530"/>
      <c r="T257" s="530"/>
      <c r="U257" s="530"/>
    </row>
    <row r="258" spans="1:21" ht="9.75" customHeight="1">
      <c r="A258" s="90"/>
      <c r="B258" s="90"/>
      <c r="C258" s="90"/>
      <c r="D258" s="90"/>
      <c r="E258" s="90"/>
      <c r="F258" s="90"/>
      <c r="G258" s="90"/>
      <c r="H258" s="90"/>
      <c r="I258" s="90"/>
      <c r="J258" s="90"/>
      <c r="K258" s="90"/>
      <c r="L258" s="90"/>
      <c r="M258" s="90"/>
      <c r="N258" s="90"/>
      <c r="O258" s="530"/>
      <c r="P258" s="530"/>
      <c r="Q258" s="530"/>
      <c r="R258" s="530"/>
      <c r="S258" s="530"/>
      <c r="T258" s="530"/>
      <c r="U258" s="530"/>
    </row>
    <row r="259" spans="1:21" ht="9.75" customHeight="1">
      <c r="A259" s="90"/>
      <c r="B259" s="90"/>
      <c r="C259" s="90"/>
      <c r="D259" s="90"/>
      <c r="E259" s="90"/>
      <c r="F259" s="90"/>
      <c r="G259" s="90"/>
      <c r="H259" s="90"/>
      <c r="I259" s="90"/>
      <c r="J259" s="90"/>
      <c r="K259" s="90"/>
      <c r="L259" s="90"/>
      <c r="M259" s="90"/>
      <c r="N259" s="90"/>
      <c r="O259" s="530"/>
      <c r="P259" s="530"/>
      <c r="Q259" s="530"/>
      <c r="R259" s="530"/>
      <c r="S259" s="530"/>
      <c r="T259" s="530"/>
      <c r="U259" s="530"/>
    </row>
    <row r="260" spans="1:21" ht="9.75" customHeight="1">
      <c r="A260" s="90"/>
      <c r="B260" s="90"/>
      <c r="C260" s="90"/>
      <c r="D260" s="90"/>
      <c r="E260" s="90"/>
      <c r="F260" s="90"/>
      <c r="G260" s="90"/>
      <c r="H260" s="90"/>
      <c r="I260" s="90"/>
      <c r="J260" s="90"/>
      <c r="K260" s="90"/>
      <c r="L260" s="90"/>
      <c r="M260" s="90"/>
      <c r="N260" s="90"/>
      <c r="O260" s="530"/>
      <c r="P260" s="530"/>
      <c r="Q260" s="530"/>
      <c r="R260" s="530"/>
      <c r="S260" s="530"/>
      <c r="T260" s="530"/>
      <c r="U260" s="530"/>
    </row>
    <row r="261" spans="1:21" ht="9.75" customHeight="1">
      <c r="A261" s="90"/>
      <c r="B261" s="90"/>
      <c r="C261" s="90"/>
      <c r="D261" s="90"/>
      <c r="E261" s="90"/>
      <c r="F261" s="90"/>
      <c r="G261" s="90"/>
      <c r="H261" s="90"/>
      <c r="I261" s="90"/>
      <c r="J261" s="90"/>
      <c r="K261" s="90"/>
      <c r="L261" s="90"/>
      <c r="M261" s="90"/>
      <c r="N261" s="90"/>
      <c r="O261" s="530"/>
      <c r="P261" s="530"/>
      <c r="Q261" s="530"/>
      <c r="R261" s="530"/>
      <c r="S261" s="530"/>
      <c r="T261" s="530"/>
      <c r="U261" s="530"/>
    </row>
    <row r="262" spans="1:21" ht="9.75" customHeight="1">
      <c r="A262" s="90"/>
      <c r="B262" s="90"/>
      <c r="C262" s="90"/>
      <c r="D262" s="90"/>
      <c r="E262" s="90"/>
      <c r="F262" s="90"/>
      <c r="G262" s="90"/>
      <c r="H262" s="90"/>
      <c r="I262" s="90"/>
      <c r="J262" s="90"/>
      <c r="K262" s="90"/>
      <c r="L262" s="90"/>
      <c r="M262" s="90"/>
      <c r="N262" s="90"/>
      <c r="O262" s="530"/>
      <c r="P262" s="530"/>
      <c r="Q262" s="530"/>
      <c r="R262" s="530"/>
      <c r="S262" s="530"/>
      <c r="T262" s="530"/>
      <c r="U262" s="530"/>
    </row>
    <row r="263" spans="1:21" ht="9.75" customHeight="1">
      <c r="A263" s="90"/>
      <c r="B263" s="90"/>
      <c r="C263" s="90"/>
      <c r="D263" s="90"/>
      <c r="E263" s="90"/>
      <c r="F263" s="90"/>
      <c r="G263" s="90"/>
      <c r="H263" s="90"/>
      <c r="I263" s="90"/>
      <c r="J263" s="90"/>
      <c r="K263" s="90"/>
      <c r="L263" s="90"/>
      <c r="M263" s="90"/>
      <c r="N263" s="90"/>
      <c r="O263" s="530"/>
      <c r="P263" s="530"/>
      <c r="Q263" s="530"/>
      <c r="R263" s="530"/>
      <c r="S263" s="530"/>
      <c r="T263" s="530"/>
      <c r="U263" s="530"/>
    </row>
    <row r="264" spans="1:21" ht="9.75" customHeight="1">
      <c r="A264" s="90"/>
      <c r="B264" s="90"/>
      <c r="C264" s="90"/>
      <c r="D264" s="90"/>
      <c r="E264" s="90"/>
      <c r="F264" s="90"/>
      <c r="G264" s="90"/>
      <c r="H264" s="90"/>
      <c r="I264" s="90"/>
      <c r="J264" s="90"/>
      <c r="K264" s="90"/>
      <c r="L264" s="90"/>
      <c r="M264" s="90"/>
      <c r="N264" s="90"/>
      <c r="O264" s="530"/>
      <c r="P264" s="530"/>
      <c r="Q264" s="530"/>
      <c r="R264" s="530"/>
      <c r="S264" s="530"/>
      <c r="T264" s="530"/>
      <c r="U264" s="530"/>
    </row>
    <row r="265" spans="1:21" ht="9.75" customHeight="1">
      <c r="A265" s="90"/>
      <c r="B265" s="90"/>
      <c r="C265" s="90"/>
      <c r="D265" s="90"/>
      <c r="E265" s="90"/>
      <c r="F265" s="90"/>
      <c r="G265" s="90"/>
      <c r="H265" s="90"/>
      <c r="I265" s="90"/>
      <c r="J265" s="90"/>
      <c r="K265" s="90"/>
      <c r="L265" s="90"/>
      <c r="M265" s="90"/>
      <c r="N265" s="90"/>
      <c r="O265" s="530"/>
      <c r="P265" s="530"/>
      <c r="Q265" s="530"/>
      <c r="R265" s="530"/>
      <c r="S265" s="530"/>
      <c r="T265" s="530"/>
      <c r="U265" s="530"/>
    </row>
    <row r="266" spans="1:21" ht="9.75" customHeight="1">
      <c r="A266" s="90"/>
      <c r="B266" s="90"/>
      <c r="C266" s="90"/>
      <c r="D266" s="90"/>
      <c r="E266" s="90"/>
      <c r="F266" s="90"/>
      <c r="G266" s="90"/>
      <c r="H266" s="90"/>
      <c r="I266" s="90"/>
      <c r="J266" s="90"/>
      <c r="K266" s="90"/>
      <c r="L266" s="90"/>
      <c r="M266" s="90"/>
      <c r="N266" s="90"/>
      <c r="O266" s="530"/>
      <c r="P266" s="530"/>
      <c r="Q266" s="530"/>
      <c r="R266" s="530"/>
      <c r="S266" s="530"/>
      <c r="T266" s="530"/>
      <c r="U266" s="530"/>
    </row>
    <row r="267" spans="1:21" ht="9.75" customHeight="1">
      <c r="A267" s="90"/>
      <c r="B267" s="90"/>
      <c r="C267" s="90"/>
      <c r="D267" s="90"/>
      <c r="E267" s="90"/>
      <c r="F267" s="90"/>
      <c r="G267" s="90"/>
      <c r="H267" s="90"/>
      <c r="I267" s="90"/>
      <c r="J267" s="90"/>
      <c r="K267" s="90"/>
      <c r="L267" s="90"/>
      <c r="M267" s="90"/>
      <c r="N267" s="90"/>
      <c r="O267" s="530"/>
      <c r="P267" s="530"/>
      <c r="Q267" s="530"/>
      <c r="R267" s="530"/>
      <c r="S267" s="530"/>
      <c r="T267" s="530"/>
      <c r="U267" s="530"/>
    </row>
    <row r="268" spans="1:21" ht="9.75" customHeight="1">
      <c r="A268" s="90"/>
      <c r="B268" s="90"/>
      <c r="C268" s="90"/>
      <c r="D268" s="90"/>
      <c r="E268" s="90"/>
      <c r="F268" s="90"/>
      <c r="G268" s="90"/>
      <c r="H268" s="90"/>
      <c r="I268" s="90"/>
      <c r="J268" s="90"/>
      <c r="K268" s="90"/>
      <c r="L268" s="90"/>
      <c r="M268" s="90"/>
      <c r="N268" s="90"/>
      <c r="O268" s="530"/>
      <c r="P268" s="530"/>
      <c r="Q268" s="530"/>
      <c r="R268" s="530"/>
      <c r="S268" s="530"/>
      <c r="T268" s="530"/>
      <c r="U268" s="530"/>
    </row>
    <row r="269" spans="1:21" ht="9.75" customHeight="1">
      <c r="A269" s="90"/>
      <c r="B269" s="90"/>
      <c r="C269" s="90"/>
      <c r="D269" s="90"/>
      <c r="E269" s="90"/>
      <c r="F269" s="90"/>
      <c r="G269" s="90"/>
      <c r="H269" s="90"/>
      <c r="I269" s="90"/>
      <c r="J269" s="90"/>
      <c r="K269" s="90"/>
      <c r="L269" s="90"/>
      <c r="M269" s="90"/>
      <c r="N269" s="90"/>
      <c r="O269" s="530"/>
      <c r="P269" s="530"/>
      <c r="Q269" s="530"/>
      <c r="R269" s="530"/>
      <c r="S269" s="530"/>
      <c r="T269" s="530"/>
      <c r="U269" s="530"/>
    </row>
    <row r="270" spans="1:21" ht="9.75" customHeight="1">
      <c r="A270" s="90"/>
      <c r="B270" s="90"/>
      <c r="C270" s="90"/>
      <c r="D270" s="90"/>
      <c r="E270" s="90"/>
      <c r="F270" s="90"/>
      <c r="G270" s="90"/>
      <c r="H270" s="90"/>
      <c r="I270" s="90"/>
      <c r="J270" s="90"/>
      <c r="K270" s="90"/>
      <c r="L270" s="90"/>
      <c r="M270" s="90"/>
      <c r="N270" s="90"/>
      <c r="O270" s="530"/>
      <c r="P270" s="530"/>
      <c r="Q270" s="530"/>
      <c r="R270" s="530"/>
      <c r="S270" s="530"/>
      <c r="T270" s="530"/>
      <c r="U270" s="530"/>
    </row>
    <row r="271" spans="1:21" ht="9.75" customHeight="1">
      <c r="A271" s="90"/>
      <c r="B271" s="90"/>
      <c r="C271" s="90"/>
      <c r="D271" s="90"/>
      <c r="E271" s="90"/>
      <c r="F271" s="90"/>
      <c r="G271" s="90"/>
      <c r="H271" s="90"/>
      <c r="I271" s="90"/>
      <c r="J271" s="90"/>
      <c r="K271" s="90"/>
      <c r="L271" s="90"/>
      <c r="M271" s="90"/>
      <c r="N271" s="90"/>
      <c r="O271" s="530"/>
      <c r="P271" s="530"/>
      <c r="Q271" s="530"/>
      <c r="R271" s="530"/>
      <c r="S271" s="530"/>
      <c r="T271" s="530"/>
      <c r="U271" s="530"/>
    </row>
    <row r="272" spans="1:21" ht="9.75" customHeight="1">
      <c r="A272" s="90"/>
      <c r="B272" s="90"/>
      <c r="C272" s="90"/>
      <c r="D272" s="90"/>
      <c r="E272" s="90"/>
      <c r="F272" s="90"/>
      <c r="G272" s="90"/>
      <c r="H272" s="90"/>
      <c r="I272" s="90"/>
      <c r="J272" s="90"/>
      <c r="K272" s="90"/>
      <c r="L272" s="90"/>
      <c r="M272" s="90"/>
      <c r="N272" s="90"/>
      <c r="O272" s="530"/>
      <c r="P272" s="530"/>
      <c r="Q272" s="530"/>
      <c r="R272" s="530"/>
      <c r="S272" s="530"/>
      <c r="T272" s="530"/>
      <c r="U272" s="530"/>
    </row>
    <row r="273" spans="1:21" ht="9.75" customHeight="1">
      <c r="A273" s="90"/>
      <c r="B273" s="90"/>
      <c r="C273" s="90"/>
      <c r="D273" s="90"/>
      <c r="E273" s="90"/>
      <c r="F273" s="90"/>
      <c r="G273" s="90"/>
      <c r="H273" s="90"/>
      <c r="I273" s="90"/>
      <c r="J273" s="90"/>
      <c r="K273" s="90"/>
      <c r="L273" s="90"/>
      <c r="M273" s="90"/>
      <c r="N273" s="90"/>
      <c r="O273" s="530"/>
      <c r="P273" s="530"/>
      <c r="Q273" s="530"/>
      <c r="R273" s="530"/>
      <c r="S273" s="530"/>
      <c r="T273" s="530"/>
      <c r="U273" s="530"/>
    </row>
    <row r="274" spans="1:21" ht="9.75" customHeight="1">
      <c r="A274" s="90"/>
      <c r="B274" s="90"/>
      <c r="C274" s="90"/>
      <c r="D274" s="90"/>
      <c r="E274" s="90"/>
      <c r="F274" s="90"/>
      <c r="G274" s="90"/>
      <c r="H274" s="90"/>
      <c r="I274" s="90"/>
      <c r="J274" s="90"/>
      <c r="K274" s="90"/>
      <c r="L274" s="90"/>
      <c r="M274" s="90"/>
      <c r="N274" s="90"/>
      <c r="O274" s="530"/>
      <c r="P274" s="530"/>
      <c r="Q274" s="530"/>
      <c r="R274" s="530"/>
      <c r="S274" s="530"/>
      <c r="T274" s="530"/>
      <c r="U274" s="530"/>
    </row>
    <row r="275" spans="1:21" ht="9.75" customHeight="1">
      <c r="A275" s="90"/>
      <c r="B275" s="90"/>
      <c r="C275" s="90"/>
      <c r="D275" s="90"/>
      <c r="E275" s="90"/>
      <c r="F275" s="90"/>
      <c r="G275" s="90"/>
      <c r="H275" s="90"/>
      <c r="I275" s="90"/>
      <c r="J275" s="90"/>
      <c r="K275" s="90"/>
      <c r="L275" s="90"/>
      <c r="M275" s="90"/>
      <c r="N275" s="90"/>
      <c r="O275" s="530"/>
      <c r="P275" s="530"/>
      <c r="Q275" s="530"/>
      <c r="R275" s="530"/>
      <c r="S275" s="530"/>
      <c r="T275" s="530"/>
      <c r="U275" s="530"/>
    </row>
    <row r="276" spans="1:21" ht="9.75" customHeight="1">
      <c r="A276" s="90"/>
      <c r="B276" s="90"/>
      <c r="C276" s="90"/>
      <c r="D276" s="90"/>
      <c r="E276" s="90"/>
      <c r="F276" s="90"/>
      <c r="G276" s="90"/>
      <c r="H276" s="90"/>
      <c r="I276" s="90"/>
      <c r="J276" s="90"/>
      <c r="K276" s="90"/>
      <c r="L276" s="90"/>
      <c r="M276" s="90"/>
      <c r="N276" s="90"/>
      <c r="O276" s="530"/>
      <c r="P276" s="530"/>
      <c r="Q276" s="530"/>
      <c r="R276" s="530"/>
      <c r="S276" s="530"/>
      <c r="T276" s="530"/>
      <c r="U276" s="530"/>
    </row>
    <row r="277" spans="1:21" ht="9.75" customHeight="1">
      <c r="A277" s="90"/>
      <c r="B277" s="90"/>
      <c r="C277" s="90"/>
      <c r="D277" s="90"/>
      <c r="E277" s="90"/>
      <c r="F277" s="90"/>
      <c r="G277" s="90"/>
      <c r="H277" s="90"/>
      <c r="I277" s="90"/>
      <c r="J277" s="90"/>
      <c r="K277" s="90"/>
      <c r="L277" s="90"/>
      <c r="M277" s="90"/>
      <c r="N277" s="90"/>
      <c r="O277" s="530"/>
      <c r="P277" s="530"/>
      <c r="Q277" s="530"/>
      <c r="R277" s="530"/>
      <c r="S277" s="530"/>
      <c r="T277" s="530"/>
      <c r="U277" s="530"/>
    </row>
    <row r="278" spans="1:21" ht="9.75" customHeight="1">
      <c r="A278" s="90"/>
      <c r="B278" s="90"/>
      <c r="C278" s="90"/>
      <c r="D278" s="90"/>
      <c r="E278" s="90"/>
      <c r="F278" s="90"/>
      <c r="G278" s="90"/>
      <c r="H278" s="90"/>
      <c r="I278" s="90"/>
      <c r="J278" s="90"/>
      <c r="K278" s="90"/>
      <c r="L278" s="90"/>
      <c r="M278" s="90"/>
      <c r="N278" s="90"/>
      <c r="O278" s="530"/>
      <c r="P278" s="530"/>
      <c r="Q278" s="530"/>
      <c r="R278" s="530"/>
      <c r="S278" s="530"/>
      <c r="T278" s="530"/>
      <c r="U278" s="530"/>
    </row>
    <row r="279" spans="1:21" ht="9.75" customHeight="1">
      <c r="A279" s="90"/>
      <c r="B279" s="90"/>
      <c r="C279" s="90"/>
      <c r="D279" s="90"/>
      <c r="E279" s="90"/>
      <c r="F279" s="90"/>
      <c r="G279" s="90"/>
      <c r="H279" s="90"/>
      <c r="I279" s="90"/>
      <c r="J279" s="90"/>
      <c r="K279" s="90"/>
      <c r="L279" s="90"/>
      <c r="M279" s="90"/>
      <c r="N279" s="90"/>
      <c r="O279" s="530"/>
      <c r="P279" s="530"/>
      <c r="Q279" s="530"/>
      <c r="R279" s="530"/>
      <c r="S279" s="530"/>
      <c r="T279" s="530"/>
      <c r="U279" s="530"/>
    </row>
    <row r="280" spans="1:21" ht="9.75" customHeight="1">
      <c r="A280" s="90"/>
      <c r="B280" s="90"/>
      <c r="C280" s="90"/>
      <c r="D280" s="90"/>
      <c r="E280" s="90"/>
      <c r="F280" s="90"/>
      <c r="G280" s="90"/>
      <c r="H280" s="90"/>
      <c r="I280" s="90"/>
      <c r="J280" s="90"/>
      <c r="K280" s="90"/>
      <c r="L280" s="90"/>
      <c r="M280" s="90"/>
      <c r="N280" s="90"/>
      <c r="O280" s="530"/>
      <c r="P280" s="530"/>
      <c r="Q280" s="530"/>
      <c r="R280" s="530"/>
      <c r="S280" s="530"/>
      <c r="T280" s="530"/>
      <c r="U280" s="530"/>
    </row>
    <row r="281" spans="1:21" ht="9.75" customHeight="1">
      <c r="A281" s="90"/>
      <c r="B281" s="90"/>
      <c r="C281" s="90"/>
      <c r="D281" s="90"/>
      <c r="E281" s="90"/>
      <c r="F281" s="90"/>
      <c r="G281" s="90"/>
      <c r="H281" s="90"/>
      <c r="I281" s="90"/>
      <c r="J281" s="90"/>
      <c r="K281" s="90"/>
      <c r="L281" s="90"/>
      <c r="M281" s="90"/>
      <c r="N281" s="90"/>
      <c r="O281" s="530"/>
      <c r="P281" s="530"/>
      <c r="Q281" s="530"/>
      <c r="R281" s="530"/>
      <c r="S281" s="530"/>
      <c r="T281" s="530"/>
      <c r="U281" s="530"/>
    </row>
    <row r="282" spans="1:21" ht="9.75" customHeight="1">
      <c r="A282" s="90"/>
      <c r="B282" s="90"/>
      <c r="C282" s="90"/>
      <c r="D282" s="90"/>
      <c r="E282" s="90"/>
      <c r="F282" s="90"/>
      <c r="G282" s="90"/>
      <c r="H282" s="90"/>
      <c r="I282" s="90"/>
      <c r="J282" s="90"/>
      <c r="K282" s="90"/>
      <c r="L282" s="90"/>
      <c r="M282" s="90"/>
      <c r="N282" s="90"/>
      <c r="O282" s="530"/>
      <c r="P282" s="530"/>
      <c r="Q282" s="530"/>
      <c r="R282" s="530"/>
      <c r="S282" s="530"/>
      <c r="T282" s="530"/>
      <c r="U282" s="530"/>
    </row>
    <row r="283" spans="1:21" ht="9.75" customHeight="1">
      <c r="A283" s="90"/>
      <c r="B283" s="90"/>
      <c r="C283" s="90"/>
      <c r="D283" s="90"/>
      <c r="E283" s="90"/>
      <c r="F283" s="90"/>
      <c r="G283" s="90"/>
      <c r="H283" s="90"/>
      <c r="I283" s="90"/>
      <c r="J283" s="90"/>
      <c r="K283" s="90"/>
      <c r="L283" s="90"/>
      <c r="M283" s="90"/>
      <c r="N283" s="90"/>
      <c r="O283" s="530"/>
      <c r="P283" s="530"/>
      <c r="Q283" s="530"/>
      <c r="R283" s="530"/>
      <c r="S283" s="530"/>
      <c r="T283" s="530"/>
      <c r="U283" s="530"/>
    </row>
    <row r="284" spans="1:21" ht="9.75" customHeight="1">
      <c r="A284" s="90"/>
      <c r="B284" s="90"/>
      <c r="C284" s="90"/>
      <c r="D284" s="90"/>
      <c r="E284" s="90"/>
      <c r="F284" s="90"/>
      <c r="G284" s="90"/>
      <c r="H284" s="90"/>
      <c r="I284" s="90"/>
      <c r="J284" s="90"/>
      <c r="K284" s="90"/>
      <c r="L284" s="90"/>
      <c r="M284" s="90"/>
      <c r="N284" s="90"/>
      <c r="O284" s="530"/>
      <c r="P284" s="530"/>
      <c r="Q284" s="530"/>
      <c r="R284" s="530"/>
      <c r="S284" s="530"/>
      <c r="T284" s="530"/>
      <c r="U284" s="530"/>
    </row>
    <row r="285" spans="1:21" ht="9.75" customHeight="1">
      <c r="A285" s="90"/>
      <c r="B285" s="90"/>
      <c r="C285" s="90"/>
      <c r="D285" s="90"/>
      <c r="E285" s="90"/>
      <c r="F285" s="90"/>
      <c r="G285" s="90"/>
      <c r="H285" s="90"/>
      <c r="I285" s="90"/>
      <c r="J285" s="90"/>
      <c r="K285" s="90"/>
      <c r="L285" s="90"/>
      <c r="M285" s="90"/>
      <c r="N285" s="90"/>
      <c r="O285" s="530"/>
      <c r="P285" s="530"/>
      <c r="Q285" s="530"/>
      <c r="R285" s="530"/>
      <c r="S285" s="530"/>
      <c r="T285" s="530"/>
      <c r="U285" s="530"/>
    </row>
    <row r="286" spans="1:21" ht="9.75" customHeight="1">
      <c r="A286" s="90"/>
      <c r="B286" s="90"/>
      <c r="C286" s="90"/>
      <c r="D286" s="90"/>
      <c r="E286" s="90"/>
      <c r="F286" s="90"/>
      <c r="G286" s="90"/>
      <c r="H286" s="90"/>
      <c r="I286" s="90"/>
      <c r="J286" s="90"/>
      <c r="K286" s="90"/>
      <c r="L286" s="90"/>
      <c r="M286" s="90"/>
      <c r="N286" s="90"/>
      <c r="O286" s="530"/>
      <c r="P286" s="530"/>
      <c r="Q286" s="530"/>
      <c r="R286" s="530"/>
      <c r="S286" s="530"/>
      <c r="T286" s="530"/>
      <c r="U286" s="530"/>
    </row>
    <row r="287" spans="1:21" ht="9.75" customHeight="1">
      <c r="A287" s="90"/>
      <c r="B287" s="90"/>
      <c r="C287" s="90"/>
      <c r="D287" s="90"/>
      <c r="E287" s="90"/>
      <c r="F287" s="90"/>
      <c r="G287" s="90"/>
      <c r="H287" s="90"/>
      <c r="I287" s="90"/>
      <c r="J287" s="90"/>
      <c r="K287" s="90"/>
      <c r="L287" s="90"/>
      <c r="M287" s="90"/>
      <c r="N287" s="90"/>
      <c r="O287" s="530"/>
      <c r="P287" s="530"/>
      <c r="Q287" s="530"/>
      <c r="R287" s="530"/>
      <c r="S287" s="530"/>
      <c r="T287" s="530"/>
      <c r="U287" s="530"/>
    </row>
    <row r="288" spans="1:21" ht="9.75" customHeight="1">
      <c r="A288" s="90"/>
      <c r="B288" s="90"/>
      <c r="C288" s="90"/>
      <c r="D288" s="90"/>
      <c r="E288" s="90"/>
      <c r="F288" s="90"/>
      <c r="G288" s="90"/>
      <c r="H288" s="90"/>
      <c r="I288" s="90"/>
      <c r="J288" s="90"/>
      <c r="K288" s="90"/>
      <c r="L288" s="90"/>
      <c r="M288" s="90"/>
      <c r="N288" s="90"/>
      <c r="O288" s="530"/>
      <c r="P288" s="530"/>
      <c r="Q288" s="530"/>
      <c r="R288" s="530"/>
      <c r="S288" s="530"/>
      <c r="T288" s="530"/>
      <c r="U288" s="530"/>
    </row>
    <row r="289" spans="1:21" ht="9.75" customHeight="1">
      <c r="A289" s="90"/>
      <c r="B289" s="90"/>
      <c r="C289" s="90"/>
      <c r="D289" s="90"/>
      <c r="E289" s="90"/>
      <c r="F289" s="90"/>
      <c r="G289" s="90"/>
      <c r="H289" s="90"/>
      <c r="I289" s="90"/>
      <c r="J289" s="90"/>
      <c r="K289" s="90"/>
      <c r="L289" s="90"/>
      <c r="M289" s="90"/>
      <c r="N289" s="90"/>
      <c r="O289" s="530"/>
      <c r="P289" s="530"/>
      <c r="Q289" s="530"/>
      <c r="R289" s="530"/>
      <c r="S289" s="530"/>
      <c r="T289" s="530"/>
      <c r="U289" s="530"/>
    </row>
    <row r="290" spans="1:21" ht="9.75" customHeight="1">
      <c r="A290" s="90"/>
      <c r="B290" s="90"/>
      <c r="C290" s="90"/>
      <c r="D290" s="90"/>
      <c r="E290" s="90"/>
      <c r="F290" s="90"/>
      <c r="G290" s="90"/>
      <c r="H290" s="90"/>
      <c r="I290" s="90"/>
      <c r="J290" s="90"/>
      <c r="K290" s="90"/>
      <c r="L290" s="90"/>
      <c r="M290" s="90"/>
      <c r="N290" s="90"/>
      <c r="O290" s="530"/>
      <c r="P290" s="530"/>
      <c r="Q290" s="530"/>
      <c r="R290" s="530"/>
      <c r="S290" s="530"/>
      <c r="T290" s="530"/>
      <c r="U290" s="530"/>
    </row>
    <row r="291" spans="1:21" ht="9.75" customHeight="1">
      <c r="A291" s="90"/>
      <c r="B291" s="90"/>
      <c r="C291" s="90"/>
      <c r="D291" s="90"/>
      <c r="E291" s="90"/>
      <c r="F291" s="90"/>
      <c r="G291" s="90"/>
      <c r="H291" s="90"/>
      <c r="I291" s="90"/>
      <c r="J291" s="90"/>
      <c r="K291" s="90"/>
      <c r="L291" s="90"/>
      <c r="M291" s="90"/>
      <c r="N291" s="90"/>
      <c r="O291" s="530"/>
      <c r="P291" s="530"/>
      <c r="Q291" s="530"/>
      <c r="R291" s="530"/>
      <c r="S291" s="530"/>
      <c r="T291" s="530"/>
      <c r="U291" s="530"/>
    </row>
    <row r="292" spans="1:21" ht="9.75" customHeight="1">
      <c r="A292" s="90"/>
      <c r="B292" s="90"/>
      <c r="C292" s="90"/>
      <c r="D292" s="90"/>
      <c r="E292" s="90"/>
      <c r="F292" s="90"/>
      <c r="G292" s="90"/>
      <c r="H292" s="90"/>
      <c r="I292" s="90"/>
      <c r="J292" s="90"/>
      <c r="K292" s="90"/>
      <c r="L292" s="90"/>
      <c r="M292" s="90"/>
      <c r="N292" s="90"/>
      <c r="O292" s="530"/>
      <c r="P292" s="530"/>
      <c r="Q292" s="530"/>
      <c r="R292" s="530"/>
      <c r="S292" s="530"/>
      <c r="T292" s="530"/>
      <c r="U292" s="530"/>
    </row>
    <row r="293" spans="1:21" ht="9.75" customHeight="1">
      <c r="A293" s="90"/>
      <c r="B293" s="90"/>
      <c r="C293" s="90"/>
      <c r="D293" s="90"/>
      <c r="E293" s="90"/>
      <c r="F293" s="90"/>
      <c r="G293" s="90"/>
      <c r="H293" s="90"/>
      <c r="I293" s="90"/>
      <c r="J293" s="90"/>
      <c r="K293" s="90"/>
      <c r="L293" s="90"/>
      <c r="M293" s="90"/>
      <c r="N293" s="90"/>
      <c r="O293" s="530"/>
      <c r="P293" s="530"/>
      <c r="Q293" s="530"/>
      <c r="R293" s="530"/>
      <c r="S293" s="530"/>
      <c r="T293" s="530"/>
      <c r="U293" s="530"/>
    </row>
    <row r="294" spans="1:21" ht="9.75" customHeight="1">
      <c r="A294" s="90"/>
      <c r="B294" s="90"/>
      <c r="C294" s="90"/>
      <c r="D294" s="90"/>
      <c r="E294" s="90"/>
      <c r="F294" s="90"/>
      <c r="G294" s="90"/>
      <c r="H294" s="90"/>
      <c r="I294" s="90"/>
      <c r="J294" s="90"/>
      <c r="K294" s="90"/>
      <c r="L294" s="90"/>
      <c r="M294" s="90"/>
      <c r="N294" s="90"/>
      <c r="O294" s="530"/>
      <c r="P294" s="530"/>
      <c r="Q294" s="530"/>
      <c r="R294" s="530"/>
      <c r="S294" s="530"/>
      <c r="T294" s="530"/>
      <c r="U294" s="530"/>
    </row>
    <row r="295" spans="1:21" ht="9.75" customHeight="1">
      <c r="A295" s="90"/>
      <c r="B295" s="90"/>
      <c r="C295" s="90"/>
      <c r="D295" s="90"/>
      <c r="E295" s="90"/>
      <c r="F295" s="90"/>
      <c r="G295" s="90"/>
      <c r="H295" s="90"/>
      <c r="I295" s="90"/>
      <c r="J295" s="90"/>
      <c r="K295" s="90"/>
      <c r="L295" s="90"/>
      <c r="M295" s="90"/>
      <c r="N295" s="90"/>
      <c r="O295" s="530"/>
      <c r="P295" s="530"/>
      <c r="Q295" s="530"/>
      <c r="R295" s="530"/>
      <c r="S295" s="530"/>
      <c r="T295" s="530"/>
      <c r="U295" s="530"/>
    </row>
    <row r="296" spans="1:21" ht="9.75" customHeight="1">
      <c r="A296" s="90"/>
      <c r="B296" s="90"/>
      <c r="C296" s="90"/>
      <c r="D296" s="90"/>
      <c r="E296" s="90"/>
      <c r="F296" s="90"/>
      <c r="G296" s="90"/>
      <c r="H296" s="90"/>
      <c r="I296" s="90"/>
      <c r="J296" s="90"/>
      <c r="K296" s="90"/>
      <c r="L296" s="90"/>
      <c r="M296" s="90"/>
      <c r="N296" s="90"/>
      <c r="O296" s="530"/>
      <c r="P296" s="530"/>
      <c r="Q296" s="530"/>
      <c r="R296" s="530"/>
      <c r="S296" s="530"/>
      <c r="T296" s="530"/>
      <c r="U296" s="530"/>
    </row>
    <row r="297" spans="1:21" ht="9.75" customHeight="1">
      <c r="A297" s="90"/>
      <c r="B297" s="90"/>
      <c r="C297" s="90"/>
      <c r="D297" s="90"/>
      <c r="E297" s="90"/>
      <c r="F297" s="90"/>
      <c r="G297" s="90"/>
      <c r="H297" s="90"/>
      <c r="I297" s="90"/>
      <c r="J297" s="90"/>
      <c r="K297" s="90"/>
      <c r="L297" s="90"/>
      <c r="M297" s="90"/>
      <c r="N297" s="90"/>
      <c r="O297" s="530"/>
      <c r="P297" s="530"/>
      <c r="Q297" s="530"/>
      <c r="R297" s="530"/>
      <c r="S297" s="530"/>
      <c r="T297" s="530"/>
      <c r="U297" s="530"/>
    </row>
    <row r="298" spans="1:21" ht="9.75" customHeight="1">
      <c r="A298" s="90"/>
      <c r="B298" s="90"/>
      <c r="C298" s="90"/>
      <c r="D298" s="90"/>
      <c r="E298" s="90"/>
      <c r="F298" s="90"/>
      <c r="G298" s="90"/>
      <c r="H298" s="90"/>
      <c r="I298" s="90"/>
      <c r="J298" s="90"/>
      <c r="K298" s="90"/>
      <c r="L298" s="90"/>
      <c r="M298" s="90"/>
      <c r="N298" s="90"/>
      <c r="O298" s="530"/>
      <c r="P298" s="530"/>
      <c r="Q298" s="530"/>
      <c r="R298" s="530"/>
      <c r="S298" s="530"/>
      <c r="T298" s="530"/>
      <c r="U298" s="530"/>
    </row>
    <row r="299" spans="1:21" ht="9.75" customHeight="1">
      <c r="A299" s="90"/>
      <c r="B299" s="90"/>
      <c r="C299" s="90"/>
      <c r="D299" s="90"/>
      <c r="E299" s="90"/>
      <c r="F299" s="90"/>
      <c r="G299" s="90"/>
      <c r="H299" s="90"/>
      <c r="I299" s="90"/>
      <c r="J299" s="90"/>
      <c r="K299" s="90"/>
      <c r="L299" s="90"/>
      <c r="M299" s="90"/>
      <c r="N299" s="90"/>
      <c r="O299" s="530"/>
      <c r="P299" s="530"/>
      <c r="Q299" s="530"/>
      <c r="R299" s="530"/>
      <c r="S299" s="530"/>
      <c r="T299" s="530"/>
      <c r="U299" s="530"/>
    </row>
    <row r="300" spans="1:21" ht="9.75" customHeight="1">
      <c r="A300" s="90"/>
      <c r="B300" s="90"/>
      <c r="C300" s="90"/>
      <c r="D300" s="90"/>
      <c r="E300" s="90"/>
      <c r="F300" s="90"/>
      <c r="G300" s="90"/>
      <c r="H300" s="90"/>
      <c r="I300" s="90"/>
      <c r="J300" s="90"/>
      <c r="K300" s="90"/>
      <c r="L300" s="90"/>
      <c r="M300" s="90"/>
      <c r="N300" s="90"/>
      <c r="O300" s="530"/>
      <c r="P300" s="530"/>
      <c r="Q300" s="530"/>
      <c r="R300" s="530"/>
      <c r="S300" s="530"/>
      <c r="T300" s="530"/>
      <c r="U300" s="530"/>
    </row>
    <row r="301" spans="1:21" ht="9.75" customHeight="1">
      <c r="A301" s="90"/>
      <c r="B301" s="90"/>
      <c r="C301" s="90"/>
      <c r="D301" s="90"/>
      <c r="E301" s="90"/>
      <c r="F301" s="90"/>
      <c r="G301" s="90"/>
      <c r="H301" s="90"/>
      <c r="I301" s="90"/>
      <c r="J301" s="90"/>
      <c r="K301" s="90"/>
      <c r="L301" s="90"/>
      <c r="M301" s="90"/>
      <c r="N301" s="90"/>
      <c r="O301" s="530"/>
      <c r="P301" s="530"/>
      <c r="Q301" s="530"/>
      <c r="R301" s="530"/>
      <c r="S301" s="530"/>
      <c r="T301" s="530"/>
      <c r="U301" s="530"/>
    </row>
    <row r="302" spans="1:21" ht="9.75" customHeight="1">
      <c r="A302" s="90"/>
      <c r="B302" s="90"/>
      <c r="C302" s="90"/>
      <c r="D302" s="90"/>
      <c r="E302" s="90"/>
      <c r="F302" s="90"/>
      <c r="G302" s="90"/>
      <c r="H302" s="90"/>
      <c r="I302" s="90"/>
      <c r="J302" s="90"/>
      <c r="K302" s="90"/>
      <c r="L302" s="90"/>
      <c r="M302" s="90"/>
      <c r="N302" s="90"/>
      <c r="O302" s="530"/>
      <c r="P302" s="530"/>
      <c r="Q302" s="530"/>
      <c r="R302" s="530"/>
      <c r="S302" s="530"/>
      <c r="T302" s="530"/>
      <c r="U302" s="530"/>
    </row>
    <row r="303" spans="1:21" ht="9.75" customHeight="1">
      <c r="A303" s="90"/>
      <c r="B303" s="90"/>
      <c r="C303" s="90"/>
      <c r="D303" s="90"/>
      <c r="E303" s="90"/>
      <c r="F303" s="90"/>
      <c r="G303" s="90"/>
      <c r="H303" s="90"/>
      <c r="I303" s="90"/>
      <c r="J303" s="90"/>
      <c r="K303" s="90"/>
      <c r="L303" s="90"/>
      <c r="M303" s="90"/>
      <c r="N303" s="90"/>
      <c r="O303" s="530"/>
      <c r="P303" s="530"/>
      <c r="Q303" s="530"/>
      <c r="R303" s="530"/>
      <c r="S303" s="530"/>
      <c r="T303" s="530"/>
      <c r="U303" s="530"/>
    </row>
    <row r="304" spans="1:21" ht="9.75" customHeight="1">
      <c r="A304" s="90"/>
      <c r="B304" s="90"/>
      <c r="C304" s="90"/>
      <c r="D304" s="90"/>
      <c r="E304" s="90"/>
      <c r="F304" s="90"/>
      <c r="G304" s="90"/>
      <c r="H304" s="90"/>
      <c r="I304" s="90"/>
      <c r="J304" s="90"/>
      <c r="K304" s="90"/>
      <c r="L304" s="90"/>
      <c r="M304" s="90"/>
      <c r="N304" s="90"/>
      <c r="O304" s="530"/>
      <c r="P304" s="530"/>
      <c r="Q304" s="530"/>
      <c r="R304" s="530"/>
      <c r="S304" s="530"/>
      <c r="T304" s="530"/>
      <c r="U304" s="530"/>
    </row>
    <row r="305" spans="1:21" ht="9.75" customHeight="1">
      <c r="A305" s="90"/>
      <c r="B305" s="90"/>
      <c r="C305" s="90"/>
      <c r="D305" s="90"/>
      <c r="E305" s="90"/>
      <c r="F305" s="90"/>
      <c r="G305" s="90"/>
      <c r="H305" s="90"/>
      <c r="I305" s="90"/>
      <c r="J305" s="90"/>
      <c r="K305" s="90"/>
      <c r="L305" s="90"/>
      <c r="M305" s="90"/>
      <c r="N305" s="90"/>
      <c r="O305" s="530"/>
      <c r="P305" s="530"/>
      <c r="Q305" s="530"/>
      <c r="R305" s="530"/>
      <c r="S305" s="530"/>
      <c r="T305" s="530"/>
      <c r="U305" s="530"/>
    </row>
    <row r="306" spans="1:21" ht="9.75" customHeight="1">
      <c r="A306" s="90"/>
      <c r="B306" s="90"/>
      <c r="C306" s="90"/>
      <c r="D306" s="90"/>
      <c r="E306" s="90"/>
      <c r="F306" s="90"/>
      <c r="G306" s="90"/>
      <c r="H306" s="90"/>
      <c r="I306" s="90"/>
      <c r="J306" s="90"/>
      <c r="K306" s="90"/>
      <c r="L306" s="90"/>
      <c r="M306" s="90"/>
      <c r="N306" s="90"/>
      <c r="O306" s="530"/>
      <c r="P306" s="530"/>
      <c r="Q306" s="530"/>
      <c r="R306" s="530"/>
      <c r="S306" s="530"/>
      <c r="T306" s="530"/>
      <c r="U306" s="530"/>
    </row>
    <row r="307" spans="1:21" ht="9.75" customHeight="1">
      <c r="A307" s="90"/>
      <c r="B307" s="90"/>
      <c r="C307" s="90"/>
      <c r="D307" s="90"/>
      <c r="E307" s="90"/>
      <c r="F307" s="90"/>
      <c r="G307" s="90"/>
      <c r="H307" s="90"/>
      <c r="I307" s="90"/>
      <c r="J307" s="90"/>
      <c r="K307" s="90"/>
      <c r="L307" s="90"/>
      <c r="M307" s="90"/>
      <c r="N307" s="90"/>
      <c r="O307" s="530"/>
      <c r="P307" s="530"/>
      <c r="Q307" s="530"/>
      <c r="R307" s="530"/>
      <c r="S307" s="530"/>
      <c r="T307" s="530"/>
      <c r="U307" s="530"/>
    </row>
    <row r="308" spans="1:21" ht="9.75" customHeight="1">
      <c r="A308" s="90"/>
      <c r="B308" s="90"/>
      <c r="C308" s="90"/>
      <c r="D308" s="90"/>
      <c r="E308" s="90"/>
      <c r="F308" s="90"/>
      <c r="G308" s="90"/>
      <c r="H308" s="90"/>
      <c r="I308" s="90"/>
      <c r="J308" s="90"/>
      <c r="K308" s="90"/>
      <c r="L308" s="90"/>
      <c r="M308" s="90"/>
      <c r="N308" s="90"/>
      <c r="O308" s="530"/>
      <c r="P308" s="530"/>
      <c r="Q308" s="530"/>
      <c r="R308" s="530"/>
      <c r="S308" s="530"/>
      <c r="T308" s="530"/>
      <c r="U308" s="530"/>
    </row>
    <row r="309" spans="1:21" ht="9.75" customHeight="1">
      <c r="A309" s="90"/>
      <c r="B309" s="90"/>
      <c r="C309" s="90"/>
      <c r="D309" s="90"/>
      <c r="E309" s="90"/>
      <c r="F309" s="90"/>
      <c r="G309" s="90"/>
      <c r="H309" s="90"/>
      <c r="I309" s="90"/>
      <c r="J309" s="90"/>
      <c r="K309" s="90"/>
      <c r="L309" s="90"/>
      <c r="M309" s="90"/>
      <c r="N309" s="90"/>
      <c r="O309" s="530"/>
      <c r="P309" s="530"/>
      <c r="Q309" s="530"/>
      <c r="R309" s="530"/>
      <c r="S309" s="530"/>
      <c r="T309" s="530"/>
      <c r="U309" s="530"/>
    </row>
    <row r="310" spans="1:21" ht="9.75" customHeight="1">
      <c r="A310" s="90"/>
      <c r="B310" s="90"/>
      <c r="C310" s="90"/>
      <c r="D310" s="90"/>
      <c r="E310" s="90"/>
      <c r="F310" s="90"/>
      <c r="G310" s="90"/>
      <c r="H310" s="90"/>
      <c r="I310" s="90"/>
      <c r="J310" s="90"/>
      <c r="K310" s="90"/>
      <c r="L310" s="90"/>
      <c r="M310" s="90"/>
      <c r="N310" s="90"/>
      <c r="O310" s="530"/>
      <c r="P310" s="530"/>
      <c r="Q310" s="530"/>
      <c r="R310" s="530"/>
      <c r="S310" s="530"/>
      <c r="T310" s="530"/>
      <c r="U310" s="530"/>
    </row>
    <row r="311" spans="1:21" ht="9.75" customHeight="1">
      <c r="A311" s="90"/>
      <c r="B311" s="90"/>
      <c r="C311" s="90"/>
      <c r="D311" s="90"/>
      <c r="E311" s="90"/>
      <c r="F311" s="90"/>
      <c r="G311" s="90"/>
      <c r="H311" s="90"/>
      <c r="I311" s="90"/>
      <c r="J311" s="90"/>
      <c r="K311" s="90"/>
      <c r="L311" s="90"/>
      <c r="M311" s="90"/>
      <c r="N311" s="90"/>
      <c r="O311" s="530"/>
      <c r="P311" s="530"/>
      <c r="Q311" s="530"/>
      <c r="R311" s="530"/>
      <c r="S311" s="530"/>
      <c r="T311" s="530"/>
      <c r="U311" s="530"/>
    </row>
    <row r="312" spans="1:21" ht="9.75" customHeight="1">
      <c r="A312" s="90"/>
      <c r="B312" s="90"/>
      <c r="C312" s="90"/>
      <c r="D312" s="90"/>
      <c r="E312" s="90"/>
      <c r="F312" s="90"/>
      <c r="G312" s="90"/>
      <c r="H312" s="90"/>
      <c r="I312" s="90"/>
      <c r="J312" s="90"/>
      <c r="K312" s="90"/>
      <c r="L312" s="90"/>
      <c r="M312" s="90"/>
      <c r="N312" s="90"/>
      <c r="O312" s="530"/>
      <c r="P312" s="530"/>
      <c r="Q312" s="530"/>
      <c r="R312" s="530"/>
      <c r="S312" s="530"/>
      <c r="T312" s="530"/>
      <c r="U312" s="530"/>
    </row>
    <row r="313" spans="1:21" ht="9.75" customHeight="1">
      <c r="A313" s="90"/>
      <c r="B313" s="90"/>
      <c r="C313" s="90"/>
      <c r="D313" s="90"/>
      <c r="E313" s="90"/>
      <c r="F313" s="90"/>
      <c r="G313" s="90"/>
      <c r="H313" s="90"/>
      <c r="I313" s="90"/>
      <c r="J313" s="90"/>
      <c r="K313" s="90"/>
      <c r="L313" s="90"/>
      <c r="M313" s="90"/>
      <c r="N313" s="90"/>
      <c r="O313" s="530"/>
      <c r="P313" s="530"/>
      <c r="Q313" s="530"/>
      <c r="R313" s="530"/>
      <c r="S313" s="530"/>
      <c r="T313" s="530"/>
      <c r="U313" s="530"/>
    </row>
    <row r="314" spans="1:21" ht="9.75" customHeight="1">
      <c r="A314" s="90"/>
      <c r="B314" s="90"/>
      <c r="C314" s="90"/>
      <c r="D314" s="90"/>
      <c r="E314" s="90"/>
      <c r="F314" s="90"/>
      <c r="G314" s="90"/>
      <c r="H314" s="90"/>
      <c r="I314" s="90"/>
      <c r="J314" s="90"/>
      <c r="K314" s="90"/>
      <c r="L314" s="90"/>
      <c r="M314" s="90"/>
      <c r="N314" s="90"/>
      <c r="O314" s="530"/>
      <c r="P314" s="530"/>
      <c r="Q314" s="530"/>
      <c r="R314" s="530"/>
      <c r="S314" s="530"/>
      <c r="T314" s="530"/>
      <c r="U314" s="530"/>
    </row>
    <row r="315" spans="1:21" ht="9.75" customHeight="1">
      <c r="A315" s="90"/>
      <c r="B315" s="90"/>
      <c r="C315" s="90"/>
      <c r="D315" s="90"/>
      <c r="E315" s="90"/>
      <c r="F315" s="90"/>
      <c r="G315" s="90"/>
      <c r="H315" s="90"/>
      <c r="I315" s="90"/>
      <c r="J315" s="90"/>
      <c r="K315" s="90"/>
      <c r="L315" s="90"/>
      <c r="M315" s="90"/>
      <c r="N315" s="90"/>
      <c r="O315" s="530"/>
      <c r="P315" s="530"/>
      <c r="Q315" s="530"/>
      <c r="R315" s="530"/>
      <c r="S315" s="530"/>
      <c r="T315" s="530"/>
      <c r="U315" s="530"/>
    </row>
    <row r="316" spans="1:21" ht="9.75" customHeight="1">
      <c r="A316" s="90"/>
      <c r="B316" s="90"/>
      <c r="C316" s="90"/>
      <c r="D316" s="90"/>
      <c r="E316" s="90"/>
      <c r="F316" s="90"/>
      <c r="G316" s="90"/>
      <c r="H316" s="90"/>
      <c r="I316" s="90"/>
      <c r="J316" s="90"/>
      <c r="K316" s="90"/>
      <c r="L316" s="90"/>
      <c r="M316" s="90"/>
      <c r="N316" s="90"/>
      <c r="O316" s="530"/>
      <c r="P316" s="530"/>
      <c r="Q316" s="530"/>
      <c r="R316" s="530"/>
      <c r="S316" s="530"/>
      <c r="T316" s="530"/>
      <c r="U316" s="530"/>
    </row>
    <row r="317" spans="1:21" ht="9.75" customHeight="1">
      <c r="A317" s="90"/>
      <c r="B317" s="90"/>
      <c r="C317" s="90"/>
      <c r="D317" s="90"/>
      <c r="E317" s="90"/>
      <c r="F317" s="90"/>
      <c r="G317" s="90"/>
      <c r="H317" s="90"/>
      <c r="I317" s="90"/>
      <c r="J317" s="90"/>
      <c r="K317" s="90"/>
      <c r="L317" s="90"/>
      <c r="M317" s="90"/>
      <c r="N317" s="90"/>
      <c r="O317" s="530"/>
      <c r="P317" s="530"/>
      <c r="Q317" s="530"/>
      <c r="R317" s="530"/>
      <c r="S317" s="530"/>
      <c r="T317" s="530"/>
      <c r="U317" s="530"/>
    </row>
    <row r="318" spans="1:21" ht="9.75" customHeight="1">
      <c r="A318" s="90"/>
      <c r="B318" s="90"/>
      <c r="C318" s="90"/>
      <c r="D318" s="90"/>
      <c r="E318" s="90"/>
      <c r="F318" s="90"/>
      <c r="G318" s="90"/>
      <c r="H318" s="90"/>
      <c r="I318" s="90"/>
      <c r="J318" s="90"/>
      <c r="K318" s="90"/>
      <c r="L318" s="90"/>
      <c r="M318" s="90"/>
      <c r="N318" s="90"/>
      <c r="O318" s="530"/>
      <c r="P318" s="530"/>
      <c r="Q318" s="530"/>
      <c r="R318" s="530"/>
      <c r="S318" s="530"/>
      <c r="T318" s="530"/>
      <c r="U318" s="530"/>
    </row>
    <row r="319" spans="1:21" ht="9.75" customHeight="1">
      <c r="A319" s="90"/>
      <c r="B319" s="90"/>
      <c r="C319" s="90"/>
      <c r="D319" s="90"/>
      <c r="E319" s="90"/>
      <c r="F319" s="90"/>
      <c r="G319" s="90"/>
      <c r="H319" s="90"/>
      <c r="I319" s="90"/>
      <c r="J319" s="90"/>
      <c r="K319" s="90"/>
      <c r="L319" s="90"/>
      <c r="M319" s="90"/>
      <c r="N319" s="90"/>
      <c r="O319" s="530"/>
      <c r="P319" s="530"/>
      <c r="Q319" s="530"/>
      <c r="R319" s="530"/>
      <c r="S319" s="530"/>
      <c r="T319" s="530"/>
      <c r="U319" s="530"/>
    </row>
    <row r="320" spans="1:21" ht="9.75" customHeight="1">
      <c r="A320" s="90"/>
      <c r="B320" s="90"/>
      <c r="C320" s="90"/>
      <c r="D320" s="90"/>
      <c r="E320" s="90"/>
      <c r="F320" s="90"/>
      <c r="G320" s="90"/>
      <c r="H320" s="90"/>
      <c r="I320" s="90"/>
      <c r="J320" s="90"/>
      <c r="K320" s="90"/>
      <c r="L320" s="90"/>
      <c r="M320" s="90"/>
      <c r="N320" s="90"/>
      <c r="O320" s="530"/>
      <c r="P320" s="530"/>
      <c r="Q320" s="530"/>
      <c r="R320" s="530"/>
      <c r="S320" s="530"/>
      <c r="T320" s="530"/>
      <c r="U320" s="530"/>
    </row>
    <row r="321" spans="1:21" ht="9.75" customHeight="1">
      <c r="A321" s="90"/>
      <c r="B321" s="90"/>
      <c r="C321" s="90"/>
      <c r="D321" s="90"/>
      <c r="E321" s="90"/>
      <c r="F321" s="90"/>
      <c r="G321" s="90"/>
      <c r="H321" s="90"/>
      <c r="I321" s="90"/>
      <c r="J321" s="90"/>
      <c r="K321" s="90"/>
      <c r="L321" s="90"/>
      <c r="M321" s="90"/>
      <c r="N321" s="90"/>
      <c r="O321" s="530"/>
      <c r="P321" s="530"/>
      <c r="Q321" s="530"/>
      <c r="R321" s="530"/>
      <c r="S321" s="530"/>
      <c r="T321" s="530"/>
      <c r="U321" s="530"/>
    </row>
    <row r="322" spans="1:21" ht="9.75" customHeight="1">
      <c r="A322" s="90"/>
      <c r="B322" s="90"/>
      <c r="C322" s="90"/>
      <c r="D322" s="90"/>
      <c r="E322" s="90"/>
      <c r="F322" s="90"/>
      <c r="G322" s="90"/>
      <c r="H322" s="90"/>
      <c r="I322" s="90"/>
      <c r="J322" s="90"/>
      <c r="K322" s="90"/>
      <c r="L322" s="90"/>
      <c r="M322" s="90"/>
      <c r="N322" s="90"/>
      <c r="O322" s="530"/>
      <c r="P322" s="530"/>
      <c r="Q322" s="530"/>
      <c r="R322" s="530"/>
      <c r="S322" s="530"/>
      <c r="T322" s="530"/>
      <c r="U322" s="530"/>
    </row>
    <row r="323" spans="1:21" ht="9.75" customHeight="1">
      <c r="A323" s="90"/>
      <c r="B323" s="90"/>
      <c r="C323" s="90"/>
      <c r="D323" s="90"/>
      <c r="E323" s="90"/>
      <c r="F323" s="90"/>
      <c r="G323" s="90"/>
      <c r="H323" s="90"/>
      <c r="I323" s="90"/>
      <c r="J323" s="90"/>
      <c r="K323" s="90"/>
      <c r="L323" s="90"/>
      <c r="M323" s="90"/>
      <c r="N323" s="90"/>
      <c r="O323" s="530"/>
      <c r="P323" s="530"/>
      <c r="Q323" s="530"/>
      <c r="R323" s="530"/>
      <c r="S323" s="530"/>
      <c r="T323" s="530"/>
      <c r="U323" s="530"/>
    </row>
    <row r="324" spans="1:21" ht="9.75" customHeight="1">
      <c r="A324" s="90"/>
      <c r="B324" s="90"/>
      <c r="C324" s="90"/>
      <c r="D324" s="90"/>
      <c r="E324" s="90"/>
      <c r="F324" s="90"/>
      <c r="G324" s="90"/>
      <c r="H324" s="90"/>
      <c r="I324" s="90"/>
      <c r="J324" s="90"/>
      <c r="K324" s="90"/>
      <c r="L324" s="90"/>
      <c r="M324" s="90"/>
      <c r="N324" s="90"/>
      <c r="O324" s="530"/>
      <c r="P324" s="530"/>
      <c r="Q324" s="530"/>
      <c r="R324" s="530"/>
      <c r="S324" s="530"/>
      <c r="T324" s="530"/>
      <c r="U324" s="530"/>
    </row>
    <row r="325" spans="1:21" ht="9.75" customHeight="1">
      <c r="A325" s="90"/>
      <c r="B325" s="90"/>
      <c r="C325" s="90"/>
      <c r="D325" s="90"/>
      <c r="E325" s="90"/>
      <c r="F325" s="90"/>
      <c r="G325" s="90"/>
      <c r="H325" s="90"/>
      <c r="I325" s="90"/>
      <c r="J325" s="90"/>
      <c r="K325" s="90"/>
      <c r="L325" s="90"/>
      <c r="M325" s="90"/>
      <c r="N325" s="90"/>
      <c r="O325" s="530"/>
      <c r="P325" s="530"/>
      <c r="Q325" s="530"/>
      <c r="R325" s="530"/>
      <c r="S325" s="530"/>
      <c r="T325" s="530"/>
      <c r="U325" s="530"/>
    </row>
    <row r="326" spans="1:21" ht="9.75" customHeight="1">
      <c r="A326" s="90"/>
      <c r="B326" s="90"/>
      <c r="C326" s="90"/>
      <c r="D326" s="90"/>
      <c r="E326" s="90"/>
      <c r="F326" s="90"/>
      <c r="G326" s="90"/>
      <c r="H326" s="90"/>
      <c r="I326" s="90"/>
      <c r="J326" s="90"/>
      <c r="K326" s="90"/>
      <c r="L326" s="90"/>
      <c r="M326" s="90"/>
      <c r="N326" s="90"/>
      <c r="O326" s="530"/>
      <c r="P326" s="530"/>
      <c r="Q326" s="530"/>
      <c r="R326" s="530"/>
      <c r="S326" s="530"/>
      <c r="T326" s="530"/>
      <c r="U326" s="530"/>
    </row>
    <row r="327" spans="1:21" ht="9.75" customHeight="1">
      <c r="A327" s="90"/>
      <c r="B327" s="90"/>
      <c r="C327" s="90"/>
      <c r="D327" s="90"/>
      <c r="E327" s="90"/>
      <c r="F327" s="90"/>
      <c r="G327" s="90"/>
      <c r="H327" s="90"/>
      <c r="I327" s="90"/>
      <c r="J327" s="90"/>
      <c r="K327" s="90"/>
      <c r="L327" s="90"/>
      <c r="M327" s="90"/>
      <c r="N327" s="90"/>
      <c r="O327" s="530"/>
      <c r="P327" s="530"/>
      <c r="Q327" s="530"/>
      <c r="R327" s="530"/>
      <c r="S327" s="530"/>
      <c r="T327" s="530"/>
      <c r="U327" s="530"/>
    </row>
    <row r="328" spans="1:21" ht="9.75" customHeight="1">
      <c r="A328" s="90"/>
      <c r="B328" s="90"/>
      <c r="C328" s="90"/>
      <c r="D328" s="90"/>
      <c r="E328" s="90"/>
      <c r="F328" s="90"/>
      <c r="G328" s="90"/>
      <c r="H328" s="90"/>
      <c r="I328" s="90"/>
      <c r="J328" s="90"/>
      <c r="K328" s="90"/>
      <c r="L328" s="90"/>
      <c r="M328" s="90"/>
      <c r="N328" s="90"/>
      <c r="O328" s="530"/>
      <c r="P328" s="530"/>
      <c r="Q328" s="530"/>
      <c r="R328" s="530"/>
      <c r="S328" s="530"/>
      <c r="T328" s="530"/>
      <c r="U328" s="530"/>
    </row>
    <row r="329" spans="1:21" ht="9.75" customHeight="1">
      <c r="A329" s="90"/>
      <c r="B329" s="90"/>
      <c r="C329" s="90"/>
      <c r="D329" s="90"/>
      <c r="E329" s="90"/>
      <c r="F329" s="90"/>
      <c r="G329" s="90"/>
      <c r="H329" s="90"/>
      <c r="I329" s="90"/>
      <c r="J329" s="90"/>
      <c r="K329" s="90"/>
      <c r="L329" s="90"/>
      <c r="M329" s="90"/>
      <c r="N329" s="90"/>
      <c r="O329" s="530"/>
      <c r="P329" s="530"/>
      <c r="Q329" s="530"/>
      <c r="R329" s="530"/>
      <c r="S329" s="530"/>
      <c r="T329" s="530"/>
      <c r="U329" s="530"/>
    </row>
    <row r="330" spans="1:21" ht="9.75" customHeight="1">
      <c r="A330" s="90"/>
      <c r="B330" s="90"/>
      <c r="C330" s="90"/>
      <c r="D330" s="90"/>
      <c r="E330" s="90"/>
      <c r="F330" s="90"/>
      <c r="G330" s="90"/>
      <c r="H330" s="90"/>
      <c r="I330" s="90"/>
      <c r="J330" s="90"/>
      <c r="K330" s="90"/>
      <c r="L330" s="90"/>
      <c r="M330" s="90"/>
      <c r="N330" s="90"/>
      <c r="O330" s="530"/>
      <c r="P330" s="530"/>
      <c r="Q330" s="530"/>
      <c r="R330" s="530"/>
      <c r="S330" s="530"/>
      <c r="T330" s="530"/>
      <c r="U330" s="530"/>
    </row>
    <row r="331" spans="1:21" ht="9.75" customHeight="1">
      <c r="A331" s="90"/>
      <c r="B331" s="90"/>
      <c r="C331" s="90"/>
      <c r="D331" s="90"/>
      <c r="E331" s="90"/>
      <c r="F331" s="90"/>
      <c r="G331" s="90"/>
      <c r="H331" s="90"/>
      <c r="I331" s="90"/>
      <c r="J331" s="90"/>
      <c r="K331" s="90"/>
      <c r="L331" s="90"/>
      <c r="M331" s="90"/>
      <c r="N331" s="90"/>
      <c r="O331" s="530"/>
      <c r="P331" s="530"/>
      <c r="Q331" s="530"/>
      <c r="R331" s="530"/>
      <c r="S331" s="530"/>
      <c r="T331" s="530"/>
      <c r="U331" s="530"/>
    </row>
    <row r="332" spans="1:21" ht="9.75" customHeight="1">
      <c r="A332" s="90"/>
      <c r="B332" s="90"/>
      <c r="C332" s="90"/>
      <c r="D332" s="90"/>
      <c r="E332" s="90"/>
      <c r="F332" s="90"/>
      <c r="G332" s="90"/>
      <c r="H332" s="90"/>
      <c r="I332" s="90"/>
      <c r="J332" s="90"/>
      <c r="K332" s="90"/>
      <c r="L332" s="90"/>
      <c r="M332" s="90"/>
      <c r="N332" s="90"/>
      <c r="O332" s="530"/>
      <c r="P332" s="530"/>
      <c r="Q332" s="530"/>
      <c r="R332" s="530"/>
      <c r="S332" s="530"/>
      <c r="T332" s="530"/>
      <c r="U332" s="530"/>
    </row>
    <row r="333" spans="1:21" ht="9.75" customHeight="1">
      <c r="A333" s="90"/>
      <c r="B333" s="90"/>
      <c r="C333" s="90"/>
      <c r="D333" s="90"/>
      <c r="E333" s="90"/>
      <c r="F333" s="90"/>
      <c r="G333" s="90"/>
      <c r="H333" s="90"/>
      <c r="I333" s="90"/>
      <c r="J333" s="90"/>
      <c r="K333" s="90"/>
      <c r="L333" s="90"/>
      <c r="M333" s="90"/>
      <c r="N333" s="90"/>
      <c r="O333" s="530"/>
      <c r="P333" s="530"/>
      <c r="Q333" s="530"/>
      <c r="R333" s="530"/>
      <c r="S333" s="530"/>
      <c r="T333" s="530"/>
      <c r="U333" s="530"/>
    </row>
    <row r="334" spans="1:21" ht="9.75" customHeight="1">
      <c r="A334" s="90"/>
      <c r="B334" s="90"/>
      <c r="C334" s="90"/>
      <c r="D334" s="90"/>
      <c r="E334" s="90"/>
      <c r="F334" s="90"/>
      <c r="G334" s="90"/>
      <c r="H334" s="90"/>
      <c r="I334" s="90"/>
      <c r="J334" s="90"/>
      <c r="K334" s="90"/>
      <c r="L334" s="90"/>
      <c r="M334" s="90"/>
      <c r="N334" s="90"/>
      <c r="O334" s="530"/>
      <c r="P334" s="530"/>
      <c r="Q334" s="530"/>
      <c r="R334" s="530"/>
      <c r="S334" s="530"/>
      <c r="T334" s="530"/>
      <c r="U334" s="530"/>
    </row>
    <row r="335" spans="1:21" ht="9.75" customHeight="1">
      <c r="A335" s="90"/>
      <c r="B335" s="90"/>
      <c r="C335" s="90"/>
      <c r="D335" s="90"/>
      <c r="E335" s="90"/>
      <c r="F335" s="90"/>
      <c r="G335" s="90"/>
      <c r="H335" s="90"/>
      <c r="I335" s="90"/>
      <c r="J335" s="90"/>
      <c r="K335" s="90"/>
      <c r="L335" s="90"/>
      <c r="M335" s="90"/>
      <c r="N335" s="90"/>
      <c r="O335" s="530"/>
      <c r="P335" s="530"/>
      <c r="Q335" s="530"/>
      <c r="R335" s="530"/>
      <c r="S335" s="530"/>
      <c r="T335" s="530"/>
      <c r="U335" s="530"/>
    </row>
    <row r="336" spans="1:21" ht="9.75" customHeight="1">
      <c r="A336" s="90"/>
      <c r="B336" s="90"/>
      <c r="C336" s="90"/>
      <c r="D336" s="90"/>
      <c r="E336" s="90"/>
      <c r="F336" s="90"/>
      <c r="G336" s="90"/>
      <c r="H336" s="90"/>
      <c r="I336" s="90"/>
      <c r="J336" s="90"/>
      <c r="K336" s="90"/>
      <c r="L336" s="90"/>
      <c r="M336" s="90"/>
      <c r="N336" s="90"/>
      <c r="O336" s="530"/>
      <c r="P336" s="530"/>
      <c r="Q336" s="530"/>
      <c r="R336" s="530"/>
      <c r="S336" s="530"/>
      <c r="T336" s="530"/>
      <c r="U336" s="530"/>
    </row>
    <row r="337" spans="1:21" ht="9.75" customHeight="1">
      <c r="A337" s="90"/>
      <c r="B337" s="90"/>
      <c r="C337" s="90"/>
      <c r="D337" s="90"/>
      <c r="E337" s="90"/>
      <c r="F337" s="90"/>
      <c r="G337" s="90"/>
      <c r="H337" s="90"/>
      <c r="I337" s="90"/>
      <c r="J337" s="90"/>
      <c r="K337" s="90"/>
      <c r="L337" s="90"/>
      <c r="M337" s="90"/>
      <c r="N337" s="90"/>
      <c r="O337" s="530"/>
      <c r="P337" s="530"/>
      <c r="Q337" s="530"/>
      <c r="R337" s="530"/>
      <c r="S337" s="530"/>
      <c r="T337" s="530"/>
      <c r="U337" s="530"/>
    </row>
    <row r="338" spans="1:21" ht="9.75" customHeight="1">
      <c r="A338" s="90"/>
      <c r="B338" s="90"/>
      <c r="C338" s="90"/>
      <c r="D338" s="90"/>
      <c r="E338" s="90"/>
      <c r="F338" s="90"/>
      <c r="G338" s="90"/>
      <c r="H338" s="90"/>
      <c r="I338" s="90"/>
      <c r="J338" s="90"/>
      <c r="K338" s="90"/>
      <c r="L338" s="90"/>
      <c r="M338" s="90"/>
      <c r="N338" s="90"/>
      <c r="O338" s="530"/>
      <c r="P338" s="530"/>
      <c r="Q338" s="530"/>
      <c r="R338" s="530"/>
      <c r="S338" s="530"/>
      <c r="T338" s="530"/>
      <c r="U338" s="530"/>
    </row>
    <row r="339" spans="1:21" ht="9.75" customHeight="1">
      <c r="A339" s="90"/>
      <c r="B339" s="90"/>
      <c r="C339" s="90"/>
      <c r="D339" s="90"/>
      <c r="E339" s="90"/>
      <c r="F339" s="90"/>
      <c r="G339" s="90"/>
      <c r="H339" s="90"/>
      <c r="I339" s="90"/>
      <c r="J339" s="90"/>
      <c r="K339" s="90"/>
      <c r="L339" s="90"/>
      <c r="M339" s="90"/>
      <c r="N339" s="90"/>
      <c r="O339" s="530"/>
      <c r="P339" s="530"/>
      <c r="Q339" s="530"/>
      <c r="R339" s="530"/>
      <c r="S339" s="530"/>
      <c r="T339" s="530"/>
      <c r="U339" s="530"/>
    </row>
    <row r="340" spans="1:21" ht="9.75" customHeight="1">
      <c r="A340" s="90"/>
      <c r="B340" s="90"/>
      <c r="C340" s="90"/>
      <c r="D340" s="90"/>
      <c r="E340" s="90"/>
      <c r="F340" s="90"/>
      <c r="G340" s="90"/>
      <c r="H340" s="90"/>
      <c r="I340" s="90"/>
      <c r="J340" s="90"/>
      <c r="K340" s="90"/>
      <c r="L340" s="90"/>
      <c r="M340" s="90"/>
      <c r="N340" s="90"/>
      <c r="O340" s="530"/>
      <c r="P340" s="530"/>
      <c r="Q340" s="530"/>
      <c r="R340" s="530"/>
      <c r="S340" s="530"/>
      <c r="T340" s="530"/>
      <c r="U340" s="530"/>
    </row>
    <row r="341" spans="1:21" ht="9.75" customHeight="1">
      <c r="A341" s="90"/>
      <c r="B341" s="90"/>
      <c r="C341" s="90"/>
      <c r="D341" s="90"/>
      <c r="E341" s="90"/>
      <c r="F341" s="90"/>
      <c r="G341" s="90"/>
      <c r="H341" s="90"/>
      <c r="I341" s="90"/>
      <c r="J341" s="90"/>
      <c r="K341" s="90"/>
      <c r="L341" s="90"/>
      <c r="M341" s="90"/>
      <c r="N341" s="90"/>
      <c r="O341" s="530"/>
      <c r="P341" s="530"/>
      <c r="Q341" s="530"/>
      <c r="R341" s="530"/>
      <c r="S341" s="530"/>
      <c r="T341" s="530"/>
      <c r="U341" s="530"/>
    </row>
    <row r="342" spans="1:21" ht="9.75" customHeight="1">
      <c r="A342" s="90"/>
      <c r="B342" s="90"/>
      <c r="C342" s="90"/>
      <c r="D342" s="90"/>
      <c r="E342" s="90"/>
      <c r="F342" s="90"/>
      <c r="G342" s="90"/>
      <c r="H342" s="90"/>
      <c r="I342" s="90"/>
      <c r="J342" s="90"/>
      <c r="K342" s="90"/>
      <c r="L342" s="90"/>
      <c r="M342" s="90"/>
      <c r="N342" s="90"/>
      <c r="O342" s="530"/>
      <c r="P342" s="530"/>
      <c r="Q342" s="530"/>
      <c r="R342" s="530"/>
      <c r="S342" s="530"/>
      <c r="T342" s="530"/>
      <c r="U342" s="530"/>
    </row>
    <row r="343" spans="1:21" ht="9.75" customHeight="1">
      <c r="A343" s="90"/>
      <c r="B343" s="90"/>
      <c r="C343" s="90"/>
      <c r="D343" s="90"/>
      <c r="E343" s="90"/>
      <c r="F343" s="90"/>
      <c r="G343" s="90"/>
      <c r="H343" s="90"/>
      <c r="I343" s="90"/>
      <c r="J343" s="90"/>
      <c r="K343" s="90"/>
      <c r="L343" s="90"/>
      <c r="M343" s="90"/>
      <c r="N343" s="90"/>
      <c r="O343" s="530"/>
      <c r="P343" s="530"/>
      <c r="Q343" s="530"/>
      <c r="R343" s="530"/>
      <c r="S343" s="530"/>
      <c r="T343" s="530"/>
      <c r="U343" s="530"/>
    </row>
    <row r="344" spans="1:21" ht="9.75" customHeight="1">
      <c r="A344" s="90"/>
      <c r="B344" s="90"/>
      <c r="C344" s="90"/>
      <c r="D344" s="90"/>
      <c r="E344" s="90"/>
      <c r="F344" s="90"/>
      <c r="G344" s="90"/>
      <c r="H344" s="90"/>
      <c r="I344" s="90"/>
      <c r="J344" s="90"/>
      <c r="K344" s="90"/>
      <c r="L344" s="90"/>
      <c r="M344" s="90"/>
      <c r="N344" s="90"/>
      <c r="O344" s="530"/>
      <c r="P344" s="530"/>
      <c r="Q344" s="530"/>
      <c r="R344" s="530"/>
      <c r="S344" s="530"/>
      <c r="T344" s="530"/>
      <c r="U344" s="530"/>
    </row>
    <row r="345" spans="1:21" ht="9.75" customHeight="1">
      <c r="A345" s="90"/>
      <c r="B345" s="90"/>
      <c r="C345" s="90"/>
      <c r="D345" s="90"/>
      <c r="E345" s="90"/>
      <c r="F345" s="90"/>
      <c r="G345" s="90"/>
      <c r="H345" s="90"/>
      <c r="I345" s="90"/>
      <c r="J345" s="90"/>
      <c r="K345" s="90"/>
      <c r="L345" s="90"/>
      <c r="M345" s="90"/>
      <c r="N345" s="90"/>
      <c r="O345" s="530"/>
      <c r="P345" s="530"/>
      <c r="Q345" s="530"/>
      <c r="R345" s="530"/>
      <c r="S345" s="530"/>
      <c r="T345" s="530"/>
      <c r="U345" s="530"/>
    </row>
    <row r="346" spans="1:21" ht="9.75" customHeight="1">
      <c r="A346" s="90"/>
      <c r="B346" s="90"/>
      <c r="C346" s="90"/>
      <c r="D346" s="90"/>
      <c r="E346" s="90"/>
      <c r="F346" s="90"/>
      <c r="G346" s="90"/>
      <c r="H346" s="90"/>
      <c r="I346" s="90"/>
      <c r="J346" s="90"/>
      <c r="K346" s="90"/>
      <c r="L346" s="90"/>
      <c r="M346" s="90"/>
      <c r="N346" s="90"/>
      <c r="O346" s="530"/>
      <c r="P346" s="530"/>
      <c r="Q346" s="530"/>
      <c r="R346" s="530"/>
      <c r="S346" s="530"/>
      <c r="T346" s="530"/>
      <c r="U346" s="530"/>
    </row>
    <row r="347" spans="1:21" ht="9.75" customHeight="1">
      <c r="A347" s="90"/>
      <c r="B347" s="90"/>
      <c r="C347" s="90"/>
      <c r="D347" s="90"/>
      <c r="E347" s="90"/>
      <c r="F347" s="90"/>
      <c r="G347" s="90"/>
      <c r="H347" s="90"/>
      <c r="I347" s="90"/>
      <c r="J347" s="90"/>
      <c r="K347" s="90"/>
      <c r="L347" s="90"/>
      <c r="M347" s="90"/>
      <c r="N347" s="90"/>
      <c r="O347" s="530"/>
      <c r="P347" s="530"/>
      <c r="Q347" s="530"/>
      <c r="R347" s="530"/>
      <c r="S347" s="530"/>
      <c r="T347" s="530"/>
      <c r="U347" s="530"/>
    </row>
    <row r="348" spans="1:21" ht="9.75" customHeight="1">
      <c r="A348" s="90"/>
      <c r="B348" s="90"/>
      <c r="C348" s="90"/>
      <c r="D348" s="90"/>
      <c r="E348" s="90"/>
      <c r="F348" s="90"/>
      <c r="G348" s="90"/>
      <c r="H348" s="90"/>
      <c r="I348" s="90"/>
      <c r="J348" s="90"/>
      <c r="K348" s="90"/>
      <c r="L348" s="90"/>
      <c r="M348" s="90"/>
      <c r="N348" s="90"/>
      <c r="O348" s="530"/>
      <c r="P348" s="530"/>
      <c r="Q348" s="530"/>
      <c r="R348" s="530"/>
      <c r="S348" s="530"/>
      <c r="T348" s="530"/>
      <c r="U348" s="530"/>
    </row>
    <row r="349" spans="1:21" ht="9.75" customHeight="1">
      <c r="A349" s="90"/>
      <c r="B349" s="90"/>
      <c r="C349" s="90"/>
      <c r="D349" s="90"/>
      <c r="E349" s="90"/>
      <c r="F349" s="90"/>
      <c r="G349" s="90"/>
      <c r="H349" s="90"/>
      <c r="I349" s="90"/>
      <c r="J349" s="90"/>
      <c r="K349" s="90"/>
      <c r="L349" s="90"/>
      <c r="M349" s="90"/>
      <c r="N349" s="90"/>
      <c r="O349" s="530"/>
      <c r="P349" s="530"/>
      <c r="Q349" s="530"/>
      <c r="R349" s="530"/>
      <c r="S349" s="530"/>
      <c r="T349" s="530"/>
      <c r="U349" s="530"/>
    </row>
    <row r="350" spans="1:21" ht="9.75" customHeight="1">
      <c r="A350" s="90"/>
      <c r="B350" s="90"/>
      <c r="C350" s="90"/>
      <c r="D350" s="90"/>
      <c r="E350" s="90"/>
      <c r="F350" s="90"/>
      <c r="G350" s="90"/>
      <c r="H350" s="90"/>
      <c r="I350" s="90"/>
      <c r="J350" s="90"/>
      <c r="K350" s="90"/>
      <c r="L350" s="90"/>
      <c r="M350" s="90"/>
      <c r="N350" s="90"/>
      <c r="O350" s="530"/>
      <c r="P350" s="530"/>
      <c r="Q350" s="530"/>
      <c r="R350" s="530"/>
      <c r="S350" s="530"/>
      <c r="T350" s="530"/>
      <c r="U350" s="530"/>
    </row>
    <row r="351" spans="1:21" ht="9.75" customHeight="1">
      <c r="A351" s="90"/>
      <c r="B351" s="90"/>
      <c r="C351" s="90"/>
      <c r="D351" s="90"/>
      <c r="E351" s="90"/>
      <c r="F351" s="90"/>
      <c r="G351" s="90"/>
      <c r="H351" s="90"/>
      <c r="I351" s="90"/>
      <c r="J351" s="90"/>
      <c r="K351" s="90"/>
      <c r="L351" s="90"/>
      <c r="M351" s="90"/>
      <c r="N351" s="90"/>
      <c r="O351" s="530"/>
      <c r="P351" s="530"/>
      <c r="Q351" s="530"/>
      <c r="R351" s="530"/>
      <c r="S351" s="530"/>
      <c r="T351" s="530"/>
      <c r="U351" s="530"/>
    </row>
    <row r="352" spans="1:21" ht="9.75" customHeight="1">
      <c r="A352" s="90"/>
      <c r="B352" s="90"/>
      <c r="C352" s="90"/>
      <c r="D352" s="90"/>
      <c r="E352" s="90"/>
      <c r="F352" s="90"/>
      <c r="G352" s="90"/>
      <c r="H352" s="90"/>
      <c r="I352" s="90"/>
      <c r="J352" s="90"/>
      <c r="K352" s="90"/>
      <c r="L352" s="90"/>
      <c r="M352" s="90"/>
      <c r="N352" s="90"/>
      <c r="O352" s="530"/>
      <c r="P352" s="530"/>
      <c r="Q352" s="530"/>
      <c r="R352" s="530"/>
      <c r="S352" s="530"/>
      <c r="T352" s="530"/>
      <c r="U352" s="530"/>
    </row>
    <row r="353" spans="1:21" ht="9.75" customHeight="1">
      <c r="A353" s="90"/>
      <c r="B353" s="90"/>
      <c r="C353" s="90"/>
      <c r="D353" s="90"/>
      <c r="E353" s="90"/>
      <c r="F353" s="90"/>
      <c r="G353" s="90"/>
      <c r="H353" s="90"/>
      <c r="I353" s="90"/>
      <c r="J353" s="90"/>
      <c r="K353" s="90"/>
      <c r="L353" s="90"/>
      <c r="M353" s="90"/>
      <c r="N353" s="90"/>
      <c r="O353" s="530"/>
      <c r="P353" s="530"/>
      <c r="Q353" s="530"/>
      <c r="R353" s="530"/>
      <c r="S353" s="530"/>
      <c r="T353" s="530"/>
      <c r="U353" s="530"/>
    </row>
    <row r="354" spans="1:21" ht="9.75" customHeight="1">
      <c r="A354" s="90"/>
      <c r="B354" s="90"/>
      <c r="C354" s="90"/>
      <c r="D354" s="90"/>
      <c r="E354" s="90"/>
      <c r="F354" s="90"/>
      <c r="G354" s="90"/>
      <c r="H354" s="90"/>
      <c r="I354" s="90"/>
      <c r="J354" s="90"/>
      <c r="K354" s="90"/>
      <c r="L354" s="90"/>
      <c r="M354" s="90"/>
      <c r="N354" s="90"/>
      <c r="O354" s="530"/>
      <c r="P354" s="530"/>
      <c r="Q354" s="530"/>
      <c r="R354" s="530"/>
      <c r="S354" s="530"/>
      <c r="T354" s="530"/>
      <c r="U354" s="530"/>
    </row>
    <row r="355" spans="1:21" ht="9.75" customHeight="1">
      <c r="A355" s="90"/>
      <c r="B355" s="90"/>
      <c r="C355" s="90"/>
      <c r="D355" s="90"/>
      <c r="E355" s="90"/>
      <c r="F355" s="90"/>
      <c r="G355" s="90"/>
      <c r="H355" s="90"/>
      <c r="I355" s="90"/>
      <c r="J355" s="90"/>
      <c r="K355" s="90"/>
      <c r="L355" s="90"/>
      <c r="M355" s="90"/>
      <c r="N355" s="90"/>
      <c r="O355" s="530"/>
      <c r="P355" s="530"/>
      <c r="Q355" s="530"/>
      <c r="R355" s="530"/>
      <c r="S355" s="530"/>
      <c r="T355" s="530"/>
      <c r="U355" s="530"/>
    </row>
    <row r="356" spans="1:21" ht="9.75" customHeight="1">
      <c r="A356" s="90"/>
      <c r="B356" s="90"/>
      <c r="C356" s="90"/>
      <c r="D356" s="90"/>
      <c r="E356" s="90"/>
      <c r="F356" s="90"/>
      <c r="G356" s="90"/>
      <c r="H356" s="90"/>
      <c r="I356" s="90"/>
      <c r="J356" s="90"/>
      <c r="K356" s="90"/>
      <c r="L356" s="90"/>
      <c r="M356" s="90"/>
      <c r="N356" s="90"/>
      <c r="O356" s="530"/>
      <c r="P356" s="530"/>
      <c r="Q356" s="530"/>
      <c r="R356" s="530"/>
      <c r="S356" s="530"/>
      <c r="T356" s="530"/>
      <c r="U356" s="530"/>
    </row>
    <row r="357" spans="1:21" ht="9.75" customHeight="1">
      <c r="A357" s="90"/>
      <c r="B357" s="90"/>
      <c r="C357" s="90"/>
      <c r="D357" s="90"/>
      <c r="E357" s="90"/>
      <c r="F357" s="90"/>
      <c r="G357" s="90"/>
      <c r="H357" s="90"/>
      <c r="I357" s="90"/>
      <c r="J357" s="90"/>
      <c r="K357" s="90"/>
      <c r="L357" s="90"/>
      <c r="M357" s="90"/>
      <c r="N357" s="90"/>
      <c r="O357" s="530"/>
      <c r="P357" s="530"/>
      <c r="Q357" s="530"/>
      <c r="R357" s="530"/>
      <c r="S357" s="530"/>
      <c r="T357" s="530"/>
      <c r="U357" s="530"/>
    </row>
    <row r="358" spans="1:21" ht="9.75" customHeight="1">
      <c r="A358" s="90"/>
      <c r="B358" s="90"/>
      <c r="C358" s="90"/>
      <c r="D358" s="90"/>
      <c r="E358" s="90"/>
      <c r="F358" s="90"/>
      <c r="G358" s="90"/>
      <c r="H358" s="90"/>
      <c r="I358" s="90"/>
      <c r="J358" s="90"/>
      <c r="K358" s="90"/>
      <c r="L358" s="90"/>
      <c r="M358" s="90"/>
      <c r="N358" s="90"/>
      <c r="O358" s="530"/>
      <c r="P358" s="530"/>
      <c r="Q358" s="530"/>
      <c r="R358" s="530"/>
      <c r="S358" s="530"/>
      <c r="T358" s="530"/>
      <c r="U358" s="530"/>
    </row>
    <row r="359" spans="1:21" ht="9.75" customHeight="1">
      <c r="A359" s="90"/>
      <c r="B359" s="90"/>
      <c r="C359" s="90"/>
      <c r="D359" s="90"/>
      <c r="E359" s="90"/>
      <c r="F359" s="90"/>
      <c r="G359" s="90"/>
      <c r="H359" s="90"/>
      <c r="I359" s="90"/>
      <c r="J359" s="90"/>
      <c r="K359" s="90"/>
      <c r="L359" s="90"/>
      <c r="M359" s="90"/>
      <c r="N359" s="90"/>
      <c r="O359" s="530"/>
      <c r="P359" s="530"/>
      <c r="Q359" s="530"/>
      <c r="R359" s="530"/>
      <c r="S359" s="530"/>
      <c r="T359" s="530"/>
      <c r="U359" s="530"/>
    </row>
    <row r="360" spans="1:21" ht="9.75" customHeight="1">
      <c r="A360" s="90"/>
      <c r="B360" s="90"/>
      <c r="C360" s="90"/>
      <c r="D360" s="90"/>
      <c r="E360" s="90"/>
      <c r="F360" s="90"/>
      <c r="G360" s="90"/>
      <c r="H360" s="90"/>
      <c r="I360" s="90"/>
      <c r="J360" s="90"/>
      <c r="K360" s="90"/>
      <c r="L360" s="90"/>
      <c r="M360" s="90"/>
      <c r="N360" s="90"/>
      <c r="O360" s="530"/>
      <c r="P360" s="530"/>
      <c r="Q360" s="530"/>
      <c r="R360" s="530"/>
      <c r="S360" s="530"/>
      <c r="T360" s="530"/>
      <c r="U360" s="530"/>
    </row>
    <row r="361" spans="1:21" ht="9.75" customHeight="1">
      <c r="A361" s="90"/>
      <c r="B361" s="90"/>
      <c r="C361" s="90"/>
      <c r="D361" s="90"/>
      <c r="E361" s="90"/>
      <c r="F361" s="90"/>
      <c r="G361" s="90"/>
      <c r="H361" s="90"/>
      <c r="I361" s="90"/>
      <c r="J361" s="90"/>
      <c r="K361" s="90"/>
      <c r="L361" s="90"/>
      <c r="M361" s="90"/>
      <c r="N361" s="90"/>
      <c r="O361" s="530"/>
      <c r="P361" s="530"/>
      <c r="Q361" s="530"/>
      <c r="R361" s="530"/>
      <c r="S361" s="530"/>
      <c r="T361" s="530"/>
      <c r="U361" s="530"/>
    </row>
    <row r="362" spans="1:21" ht="9.75" customHeight="1">
      <c r="A362" s="90"/>
      <c r="B362" s="90"/>
      <c r="C362" s="90"/>
      <c r="D362" s="90"/>
      <c r="E362" s="90"/>
      <c r="F362" s="90"/>
      <c r="G362" s="90"/>
      <c r="H362" s="90"/>
      <c r="I362" s="90"/>
      <c r="J362" s="90"/>
      <c r="K362" s="90"/>
      <c r="L362" s="90"/>
      <c r="M362" s="90"/>
      <c r="N362" s="90"/>
      <c r="O362" s="530"/>
      <c r="P362" s="530"/>
      <c r="Q362" s="530"/>
      <c r="R362" s="530"/>
      <c r="S362" s="530"/>
      <c r="T362" s="530"/>
      <c r="U362" s="530"/>
    </row>
    <row r="363" spans="1:21" ht="9.75" customHeight="1">
      <c r="A363" s="90"/>
      <c r="B363" s="90"/>
      <c r="C363" s="90"/>
      <c r="D363" s="90"/>
      <c r="E363" s="90"/>
      <c r="F363" s="90"/>
      <c r="G363" s="90"/>
      <c r="H363" s="90"/>
      <c r="I363" s="90"/>
      <c r="J363" s="90"/>
      <c r="K363" s="90"/>
      <c r="L363" s="90"/>
      <c r="M363" s="90"/>
      <c r="N363" s="90"/>
      <c r="O363" s="530"/>
      <c r="P363" s="530"/>
      <c r="Q363" s="530"/>
      <c r="R363" s="530"/>
      <c r="S363" s="530"/>
      <c r="T363" s="530"/>
      <c r="U363" s="530"/>
    </row>
    <row r="364" spans="1:21" ht="9.75" customHeight="1">
      <c r="A364" s="90"/>
      <c r="B364" s="90"/>
      <c r="C364" s="90"/>
      <c r="D364" s="90"/>
      <c r="E364" s="90"/>
      <c r="F364" s="90"/>
      <c r="G364" s="90"/>
      <c r="H364" s="90"/>
      <c r="I364" s="90"/>
      <c r="J364" s="90"/>
      <c r="K364" s="90"/>
      <c r="L364" s="90"/>
      <c r="M364" s="90"/>
      <c r="N364" s="90"/>
      <c r="O364" s="530"/>
      <c r="P364" s="530"/>
      <c r="Q364" s="530"/>
      <c r="R364" s="530"/>
      <c r="S364" s="530"/>
      <c r="T364" s="530"/>
      <c r="U364" s="530"/>
    </row>
    <row r="365" spans="1:21" ht="9.75" customHeight="1">
      <c r="A365" s="90"/>
      <c r="B365" s="90"/>
      <c r="C365" s="90"/>
      <c r="D365" s="90"/>
      <c r="E365" s="90"/>
      <c r="F365" s="90"/>
      <c r="G365" s="90"/>
      <c r="H365" s="90"/>
      <c r="I365" s="90"/>
      <c r="J365" s="90"/>
      <c r="K365" s="90"/>
      <c r="L365" s="90"/>
      <c r="M365" s="90"/>
      <c r="N365" s="90"/>
      <c r="O365" s="530"/>
      <c r="P365" s="530"/>
      <c r="Q365" s="530"/>
      <c r="R365" s="530"/>
      <c r="S365" s="530"/>
      <c r="T365" s="530"/>
      <c r="U365" s="530"/>
    </row>
    <row r="366" spans="1:21" ht="9.75" customHeight="1">
      <c r="A366" s="90"/>
      <c r="B366" s="90"/>
      <c r="C366" s="90"/>
      <c r="D366" s="90"/>
      <c r="E366" s="90"/>
      <c r="F366" s="90"/>
      <c r="G366" s="90"/>
      <c r="H366" s="90"/>
      <c r="I366" s="90"/>
      <c r="J366" s="90"/>
      <c r="K366" s="90"/>
      <c r="L366" s="90"/>
      <c r="M366" s="90"/>
      <c r="N366" s="90"/>
      <c r="O366" s="530"/>
      <c r="P366" s="530"/>
      <c r="Q366" s="530"/>
      <c r="R366" s="530"/>
      <c r="S366" s="530"/>
      <c r="T366" s="530"/>
      <c r="U366" s="530"/>
    </row>
    <row r="367" spans="1:21" ht="9.75" customHeight="1">
      <c r="A367" s="90"/>
      <c r="B367" s="90"/>
      <c r="C367" s="90"/>
      <c r="D367" s="90"/>
      <c r="E367" s="90"/>
      <c r="F367" s="90"/>
      <c r="G367" s="90"/>
      <c r="H367" s="90"/>
      <c r="I367" s="90"/>
      <c r="J367" s="90"/>
      <c r="K367" s="90"/>
      <c r="L367" s="90"/>
      <c r="M367" s="90"/>
      <c r="N367" s="90"/>
      <c r="O367" s="530"/>
      <c r="P367" s="530"/>
      <c r="Q367" s="530"/>
      <c r="R367" s="530"/>
      <c r="S367" s="530"/>
      <c r="T367" s="530"/>
      <c r="U367" s="530"/>
    </row>
    <row r="368" spans="1:21" ht="9.75" customHeight="1">
      <c r="A368" s="90"/>
      <c r="B368" s="90"/>
      <c r="C368" s="90"/>
      <c r="D368" s="90"/>
      <c r="E368" s="90"/>
      <c r="F368" s="90"/>
      <c r="G368" s="90"/>
      <c r="H368" s="90"/>
      <c r="I368" s="90"/>
      <c r="J368" s="90"/>
      <c r="K368" s="90"/>
      <c r="L368" s="90"/>
      <c r="M368" s="90"/>
      <c r="N368" s="90"/>
      <c r="O368" s="530"/>
      <c r="P368" s="530"/>
      <c r="Q368" s="530"/>
      <c r="R368" s="530"/>
      <c r="S368" s="530"/>
      <c r="T368" s="530"/>
      <c r="U368" s="530"/>
    </row>
    <row r="369" spans="1:21" ht="9.75" customHeight="1">
      <c r="A369" s="90"/>
      <c r="B369" s="90"/>
      <c r="C369" s="90"/>
      <c r="D369" s="90"/>
      <c r="E369" s="90"/>
      <c r="F369" s="90"/>
      <c r="G369" s="90"/>
      <c r="H369" s="90"/>
      <c r="I369" s="90"/>
      <c r="J369" s="90"/>
      <c r="K369" s="90"/>
      <c r="L369" s="90"/>
      <c r="M369" s="90"/>
      <c r="N369" s="90"/>
      <c r="O369" s="530"/>
      <c r="P369" s="530"/>
      <c r="Q369" s="530"/>
      <c r="R369" s="530"/>
      <c r="S369" s="530"/>
      <c r="T369" s="530"/>
      <c r="U369" s="530"/>
    </row>
    <row r="370" spans="1:21" ht="9.75" customHeight="1">
      <c r="A370" s="90"/>
      <c r="B370" s="90"/>
      <c r="C370" s="90"/>
      <c r="D370" s="90"/>
      <c r="E370" s="90"/>
      <c r="F370" s="90"/>
      <c r="G370" s="90"/>
      <c r="H370" s="90"/>
      <c r="I370" s="90"/>
      <c r="J370" s="90"/>
      <c r="K370" s="90"/>
      <c r="L370" s="90"/>
      <c r="M370" s="90"/>
      <c r="N370" s="90"/>
      <c r="O370" s="530"/>
      <c r="P370" s="530"/>
      <c r="Q370" s="530"/>
      <c r="R370" s="530"/>
      <c r="S370" s="530"/>
      <c r="T370" s="530"/>
      <c r="U370" s="530"/>
    </row>
    <row r="371" spans="1:21" ht="9.75" customHeight="1">
      <c r="A371" s="90"/>
      <c r="B371" s="90"/>
      <c r="C371" s="90"/>
      <c r="D371" s="90"/>
      <c r="E371" s="90"/>
      <c r="F371" s="90"/>
      <c r="G371" s="90"/>
      <c r="H371" s="90"/>
      <c r="I371" s="90"/>
      <c r="J371" s="90"/>
      <c r="K371" s="90"/>
      <c r="L371" s="90"/>
      <c r="M371" s="90"/>
      <c r="N371" s="90"/>
      <c r="O371" s="530"/>
      <c r="P371" s="530"/>
      <c r="Q371" s="530"/>
      <c r="R371" s="530"/>
      <c r="S371" s="530"/>
      <c r="T371" s="530"/>
      <c r="U371" s="530"/>
    </row>
    <row r="372" spans="1:21" ht="9.75" customHeight="1">
      <c r="A372" s="90"/>
      <c r="B372" s="90"/>
      <c r="C372" s="90"/>
      <c r="D372" s="90"/>
      <c r="E372" s="90"/>
      <c r="F372" s="90"/>
      <c r="G372" s="90"/>
      <c r="H372" s="90"/>
      <c r="I372" s="90"/>
      <c r="J372" s="90"/>
      <c r="K372" s="90"/>
      <c r="L372" s="90"/>
      <c r="M372" s="90"/>
      <c r="N372" s="90"/>
      <c r="O372" s="530"/>
      <c r="P372" s="530"/>
      <c r="Q372" s="530"/>
      <c r="R372" s="530"/>
      <c r="S372" s="530"/>
      <c r="T372" s="530"/>
      <c r="U372" s="530"/>
    </row>
    <row r="373" spans="1:21" ht="9.75" customHeight="1">
      <c r="A373" s="90"/>
      <c r="B373" s="90"/>
      <c r="C373" s="90"/>
      <c r="D373" s="90"/>
      <c r="E373" s="90"/>
      <c r="F373" s="90"/>
      <c r="G373" s="90"/>
      <c r="H373" s="90"/>
      <c r="I373" s="90"/>
      <c r="J373" s="90"/>
      <c r="K373" s="90"/>
      <c r="L373" s="90"/>
      <c r="M373" s="90"/>
      <c r="N373" s="90"/>
      <c r="O373" s="530"/>
      <c r="P373" s="530"/>
      <c r="Q373" s="530"/>
      <c r="R373" s="530"/>
      <c r="S373" s="530"/>
      <c r="T373" s="530"/>
      <c r="U373" s="530"/>
    </row>
    <row r="374" spans="1:21" ht="9.75" customHeight="1">
      <c r="A374" s="90"/>
      <c r="B374" s="90"/>
      <c r="C374" s="90"/>
      <c r="D374" s="90"/>
      <c r="E374" s="90"/>
      <c r="F374" s="90"/>
      <c r="G374" s="90"/>
      <c r="H374" s="90"/>
      <c r="I374" s="90"/>
      <c r="J374" s="90"/>
      <c r="K374" s="90"/>
      <c r="L374" s="90"/>
      <c r="M374" s="90"/>
      <c r="N374" s="90"/>
      <c r="O374" s="530"/>
      <c r="P374" s="530"/>
      <c r="Q374" s="530"/>
      <c r="R374" s="530"/>
      <c r="S374" s="530"/>
      <c r="T374" s="530"/>
      <c r="U374" s="530"/>
    </row>
    <row r="375" spans="1:21" ht="9.75" customHeight="1">
      <c r="A375" s="90"/>
      <c r="B375" s="90"/>
      <c r="C375" s="90"/>
      <c r="D375" s="90"/>
      <c r="E375" s="90"/>
      <c r="F375" s="90"/>
      <c r="G375" s="90"/>
      <c r="H375" s="90"/>
      <c r="I375" s="90"/>
      <c r="J375" s="90"/>
      <c r="K375" s="90"/>
      <c r="L375" s="90"/>
      <c r="M375" s="90"/>
      <c r="N375" s="90"/>
      <c r="O375" s="530"/>
      <c r="P375" s="530"/>
      <c r="Q375" s="530"/>
      <c r="R375" s="530"/>
      <c r="S375" s="530"/>
      <c r="T375" s="530"/>
      <c r="U375" s="530"/>
    </row>
    <row r="376" spans="1:21" ht="9.75" customHeight="1">
      <c r="A376" s="90"/>
      <c r="B376" s="90"/>
      <c r="C376" s="90"/>
      <c r="D376" s="90"/>
      <c r="E376" s="90"/>
      <c r="F376" s="90"/>
      <c r="G376" s="90"/>
      <c r="H376" s="90"/>
      <c r="I376" s="90"/>
      <c r="J376" s="90"/>
      <c r="K376" s="90"/>
      <c r="L376" s="90"/>
      <c r="M376" s="90"/>
      <c r="N376" s="90"/>
      <c r="O376" s="530"/>
      <c r="P376" s="530"/>
      <c r="Q376" s="530"/>
      <c r="R376" s="530"/>
      <c r="S376" s="530"/>
      <c r="T376" s="530"/>
      <c r="U376" s="530"/>
    </row>
    <row r="377" spans="1:21" ht="9.75" customHeight="1">
      <c r="A377" s="90"/>
      <c r="B377" s="90"/>
      <c r="C377" s="90"/>
      <c r="D377" s="90"/>
      <c r="E377" s="90"/>
      <c r="F377" s="90"/>
      <c r="G377" s="90"/>
      <c r="H377" s="90"/>
      <c r="I377" s="90"/>
      <c r="J377" s="90"/>
      <c r="K377" s="90"/>
      <c r="L377" s="90"/>
      <c r="M377" s="90"/>
      <c r="N377" s="90"/>
      <c r="O377" s="530"/>
      <c r="P377" s="530"/>
      <c r="Q377" s="530"/>
      <c r="R377" s="530"/>
      <c r="S377" s="530"/>
      <c r="T377" s="530"/>
      <c r="U377" s="530"/>
    </row>
    <row r="378" spans="1:21" ht="9.75" customHeight="1">
      <c r="A378" s="90"/>
      <c r="B378" s="90"/>
      <c r="C378" s="90"/>
      <c r="D378" s="90"/>
      <c r="E378" s="90"/>
      <c r="F378" s="90"/>
      <c r="G378" s="90"/>
      <c r="H378" s="90"/>
      <c r="I378" s="90"/>
      <c r="J378" s="90"/>
      <c r="K378" s="90"/>
      <c r="L378" s="90"/>
      <c r="M378" s="90"/>
      <c r="N378" s="90"/>
      <c r="O378" s="530"/>
      <c r="P378" s="530"/>
      <c r="Q378" s="530"/>
      <c r="R378" s="530"/>
      <c r="S378" s="530"/>
      <c r="T378" s="530"/>
      <c r="U378" s="530"/>
    </row>
    <row r="379" spans="1:21" ht="9.75" customHeight="1">
      <c r="A379" s="90"/>
      <c r="B379" s="90"/>
      <c r="C379" s="90"/>
      <c r="D379" s="90"/>
      <c r="E379" s="90"/>
      <c r="F379" s="90"/>
      <c r="G379" s="90"/>
      <c r="H379" s="90"/>
      <c r="I379" s="90"/>
      <c r="J379" s="90"/>
      <c r="K379" s="90"/>
      <c r="L379" s="90"/>
      <c r="M379" s="90"/>
      <c r="N379" s="90"/>
      <c r="O379" s="530"/>
      <c r="P379" s="530"/>
      <c r="Q379" s="530"/>
      <c r="R379" s="530"/>
      <c r="S379" s="530"/>
      <c r="T379" s="530"/>
      <c r="U379" s="530"/>
    </row>
    <row r="380" spans="1:21" ht="9.75" customHeight="1">
      <c r="A380" s="90"/>
      <c r="B380" s="90"/>
      <c r="C380" s="90"/>
      <c r="D380" s="90"/>
      <c r="E380" s="90"/>
      <c r="F380" s="90"/>
      <c r="G380" s="90"/>
      <c r="H380" s="90"/>
      <c r="I380" s="90"/>
      <c r="J380" s="90"/>
      <c r="K380" s="90"/>
      <c r="L380" s="90"/>
      <c r="M380" s="90"/>
      <c r="N380" s="90"/>
      <c r="O380" s="530"/>
      <c r="P380" s="530"/>
      <c r="Q380" s="530"/>
      <c r="R380" s="530"/>
      <c r="S380" s="530"/>
      <c r="T380" s="530"/>
      <c r="U380" s="530"/>
    </row>
    <row r="381" spans="1:21" ht="9.75" customHeight="1">
      <c r="A381" s="90"/>
      <c r="B381" s="90"/>
      <c r="C381" s="90"/>
      <c r="D381" s="90"/>
      <c r="E381" s="90"/>
      <c r="F381" s="90"/>
      <c r="G381" s="90"/>
      <c r="H381" s="90"/>
      <c r="I381" s="90"/>
      <c r="J381" s="90"/>
      <c r="K381" s="90"/>
      <c r="L381" s="90"/>
      <c r="M381" s="90"/>
      <c r="N381" s="90"/>
      <c r="O381" s="530"/>
      <c r="P381" s="530"/>
      <c r="Q381" s="530"/>
      <c r="R381" s="530"/>
      <c r="S381" s="530"/>
      <c r="T381" s="530"/>
      <c r="U381" s="530"/>
    </row>
    <row r="382" spans="1:21" ht="9.75" customHeight="1">
      <c r="A382" s="90"/>
      <c r="B382" s="90"/>
      <c r="C382" s="90"/>
      <c r="D382" s="90"/>
      <c r="E382" s="90"/>
      <c r="F382" s="90"/>
      <c r="G382" s="90"/>
      <c r="H382" s="90"/>
      <c r="I382" s="90"/>
      <c r="J382" s="90"/>
      <c r="K382" s="90"/>
      <c r="L382" s="90"/>
      <c r="M382" s="90"/>
      <c r="N382" s="90"/>
      <c r="O382" s="530"/>
      <c r="P382" s="530"/>
      <c r="Q382" s="530"/>
      <c r="R382" s="530"/>
      <c r="S382" s="530"/>
      <c r="T382" s="530"/>
      <c r="U382" s="530"/>
    </row>
    <row r="383" spans="1:21" ht="9.75" customHeight="1">
      <c r="A383" s="90"/>
      <c r="B383" s="90"/>
      <c r="C383" s="90"/>
      <c r="D383" s="90"/>
      <c r="E383" s="90"/>
      <c r="F383" s="90"/>
      <c r="G383" s="90"/>
      <c r="H383" s="90"/>
      <c r="I383" s="90"/>
      <c r="J383" s="90"/>
      <c r="K383" s="90"/>
      <c r="L383" s="90"/>
      <c r="M383" s="90"/>
      <c r="N383" s="90"/>
      <c r="O383" s="530"/>
      <c r="P383" s="530"/>
      <c r="Q383" s="530"/>
      <c r="R383" s="530"/>
      <c r="S383" s="530"/>
      <c r="T383" s="530"/>
      <c r="U383" s="530"/>
    </row>
    <row r="384" spans="1:21" ht="9.75" customHeight="1">
      <c r="A384" s="90"/>
      <c r="B384" s="90"/>
      <c r="C384" s="90"/>
      <c r="D384" s="90"/>
      <c r="E384" s="90"/>
      <c r="F384" s="90"/>
      <c r="G384" s="90"/>
      <c r="H384" s="90"/>
      <c r="I384" s="90"/>
      <c r="J384" s="90"/>
      <c r="K384" s="90"/>
      <c r="L384" s="90"/>
      <c r="M384" s="90"/>
      <c r="N384" s="90"/>
      <c r="O384" s="530"/>
      <c r="P384" s="530"/>
      <c r="Q384" s="530"/>
      <c r="R384" s="530"/>
      <c r="S384" s="530"/>
      <c r="T384" s="530"/>
      <c r="U384" s="530"/>
    </row>
    <row r="385" spans="1:21" ht="9.75" customHeight="1">
      <c r="A385" s="90"/>
      <c r="B385" s="90"/>
      <c r="C385" s="90"/>
      <c r="D385" s="90"/>
      <c r="E385" s="90"/>
      <c r="F385" s="90"/>
      <c r="G385" s="90"/>
      <c r="H385" s="90"/>
      <c r="I385" s="90"/>
      <c r="J385" s="90"/>
      <c r="K385" s="90"/>
      <c r="L385" s="90"/>
      <c r="M385" s="90"/>
      <c r="N385" s="90"/>
      <c r="O385" s="530"/>
      <c r="P385" s="530"/>
      <c r="Q385" s="530"/>
      <c r="R385" s="530"/>
      <c r="S385" s="530"/>
      <c r="T385" s="530"/>
      <c r="U385" s="530"/>
    </row>
    <row r="386" spans="1:21" ht="9.75" customHeight="1">
      <c r="A386" s="90"/>
      <c r="B386" s="90"/>
      <c r="C386" s="90"/>
      <c r="D386" s="90"/>
      <c r="E386" s="90"/>
      <c r="F386" s="90"/>
      <c r="G386" s="90"/>
      <c r="H386" s="90"/>
      <c r="I386" s="90"/>
      <c r="J386" s="90"/>
      <c r="K386" s="90"/>
      <c r="L386" s="90"/>
      <c r="M386" s="90"/>
      <c r="N386" s="90"/>
      <c r="O386" s="530"/>
      <c r="P386" s="530"/>
      <c r="Q386" s="530"/>
      <c r="R386" s="530"/>
      <c r="S386" s="530"/>
      <c r="T386" s="530"/>
      <c r="U386" s="530"/>
    </row>
    <row r="387" spans="1:21" ht="9.75" customHeight="1">
      <c r="A387" s="90"/>
      <c r="B387" s="90"/>
      <c r="C387" s="90"/>
      <c r="D387" s="90"/>
      <c r="E387" s="90"/>
      <c r="F387" s="90"/>
      <c r="G387" s="90"/>
      <c r="H387" s="90"/>
      <c r="I387" s="90"/>
      <c r="J387" s="90"/>
      <c r="K387" s="90"/>
      <c r="L387" s="90"/>
      <c r="M387" s="90"/>
      <c r="N387" s="90"/>
      <c r="O387" s="530"/>
      <c r="P387" s="530"/>
      <c r="Q387" s="530"/>
      <c r="R387" s="530"/>
      <c r="S387" s="530"/>
      <c r="T387" s="530"/>
      <c r="U387" s="530"/>
    </row>
    <row r="388" spans="1:21" ht="9.75" customHeight="1">
      <c r="A388" s="90"/>
      <c r="B388" s="90"/>
      <c r="C388" s="90"/>
      <c r="D388" s="90"/>
      <c r="E388" s="90"/>
      <c r="F388" s="90"/>
      <c r="G388" s="90"/>
      <c r="H388" s="90"/>
      <c r="I388" s="90"/>
      <c r="J388" s="90"/>
      <c r="K388" s="90"/>
      <c r="L388" s="90"/>
      <c r="M388" s="90"/>
      <c r="N388" s="90"/>
      <c r="O388" s="530"/>
      <c r="P388" s="530"/>
      <c r="Q388" s="530"/>
      <c r="R388" s="530"/>
      <c r="S388" s="530"/>
      <c r="T388" s="530"/>
      <c r="U388" s="530"/>
    </row>
    <row r="389" spans="1:21" ht="9.75" customHeight="1">
      <c r="A389" s="90"/>
      <c r="B389" s="90"/>
      <c r="C389" s="90"/>
      <c r="D389" s="90"/>
      <c r="E389" s="90"/>
      <c r="F389" s="90"/>
      <c r="G389" s="90"/>
      <c r="H389" s="90"/>
      <c r="I389" s="90"/>
      <c r="J389" s="90"/>
      <c r="K389" s="90"/>
      <c r="L389" s="90"/>
      <c r="M389" s="90"/>
      <c r="N389" s="90"/>
      <c r="O389" s="530"/>
      <c r="P389" s="530"/>
      <c r="Q389" s="530"/>
      <c r="R389" s="530"/>
      <c r="S389" s="530"/>
      <c r="T389" s="530"/>
      <c r="U389" s="530"/>
    </row>
    <row r="390" spans="1:21" ht="9.75" customHeight="1">
      <c r="A390" s="90"/>
      <c r="B390" s="90"/>
      <c r="C390" s="90"/>
      <c r="D390" s="90"/>
      <c r="E390" s="90"/>
      <c r="F390" s="90"/>
      <c r="G390" s="90"/>
      <c r="H390" s="90"/>
      <c r="I390" s="90"/>
      <c r="J390" s="90"/>
      <c r="K390" s="90"/>
      <c r="L390" s="90"/>
      <c r="M390" s="90"/>
      <c r="N390" s="90"/>
      <c r="O390" s="530"/>
      <c r="P390" s="530"/>
      <c r="Q390" s="530"/>
      <c r="R390" s="530"/>
      <c r="S390" s="530"/>
      <c r="T390" s="530"/>
      <c r="U390" s="530"/>
    </row>
    <row r="391" spans="1:21" ht="9.75" customHeight="1">
      <c r="A391" s="90"/>
      <c r="B391" s="90"/>
      <c r="C391" s="90"/>
      <c r="D391" s="90"/>
      <c r="E391" s="90"/>
      <c r="F391" s="90"/>
      <c r="G391" s="90"/>
      <c r="H391" s="90"/>
      <c r="I391" s="90"/>
      <c r="J391" s="90"/>
      <c r="K391" s="90"/>
      <c r="L391" s="90"/>
      <c r="M391" s="90"/>
      <c r="N391" s="90"/>
      <c r="O391" s="530"/>
      <c r="P391" s="530"/>
      <c r="Q391" s="530"/>
      <c r="R391" s="530"/>
      <c r="S391" s="530"/>
      <c r="T391" s="530"/>
      <c r="U391" s="530"/>
    </row>
    <row r="392" spans="1:21" ht="9.75" customHeight="1">
      <c r="A392" s="90"/>
      <c r="B392" s="90"/>
      <c r="C392" s="90"/>
      <c r="D392" s="90"/>
      <c r="E392" s="90"/>
      <c r="F392" s="90"/>
      <c r="G392" s="90"/>
      <c r="H392" s="90"/>
      <c r="I392" s="90"/>
      <c r="J392" s="90"/>
      <c r="K392" s="90"/>
      <c r="L392" s="90"/>
      <c r="M392" s="90"/>
      <c r="N392" s="90"/>
      <c r="O392" s="530"/>
      <c r="P392" s="530"/>
      <c r="Q392" s="530"/>
      <c r="R392" s="530"/>
      <c r="S392" s="530"/>
      <c r="T392" s="530"/>
      <c r="U392" s="530"/>
    </row>
    <row r="393" spans="1:21" ht="9.75" customHeight="1">
      <c r="A393" s="90"/>
      <c r="B393" s="90"/>
      <c r="C393" s="90"/>
      <c r="D393" s="90"/>
      <c r="E393" s="90"/>
      <c r="F393" s="90"/>
      <c r="G393" s="90"/>
      <c r="H393" s="90"/>
      <c r="I393" s="90"/>
      <c r="J393" s="90"/>
      <c r="K393" s="90"/>
      <c r="L393" s="90"/>
      <c r="M393" s="90"/>
      <c r="N393" s="90"/>
      <c r="O393" s="530"/>
      <c r="P393" s="530"/>
      <c r="Q393" s="530"/>
      <c r="R393" s="530"/>
      <c r="S393" s="530"/>
      <c r="T393" s="530"/>
      <c r="U393" s="530"/>
    </row>
    <row r="394" spans="1:21" ht="9.75" customHeight="1">
      <c r="A394" s="90"/>
      <c r="B394" s="90"/>
      <c r="C394" s="90"/>
      <c r="D394" s="90"/>
      <c r="E394" s="90"/>
      <c r="F394" s="90"/>
      <c r="G394" s="90"/>
      <c r="H394" s="90"/>
      <c r="I394" s="90"/>
      <c r="J394" s="90"/>
      <c r="K394" s="90"/>
      <c r="L394" s="90"/>
      <c r="M394" s="90"/>
      <c r="N394" s="90"/>
      <c r="O394" s="530"/>
      <c r="P394" s="530"/>
      <c r="Q394" s="530"/>
      <c r="R394" s="530"/>
      <c r="S394" s="530"/>
      <c r="T394" s="530"/>
      <c r="U394" s="530"/>
    </row>
    <row r="395" spans="1:21" ht="9.75" customHeight="1">
      <c r="A395" s="90"/>
      <c r="B395" s="90"/>
      <c r="C395" s="90"/>
      <c r="D395" s="90"/>
      <c r="E395" s="90"/>
      <c r="F395" s="90"/>
      <c r="G395" s="90"/>
      <c r="H395" s="90"/>
      <c r="I395" s="90"/>
      <c r="J395" s="90"/>
      <c r="K395" s="90"/>
      <c r="L395" s="90"/>
      <c r="M395" s="90"/>
      <c r="N395" s="90"/>
      <c r="O395" s="530"/>
      <c r="P395" s="530"/>
      <c r="Q395" s="530"/>
      <c r="R395" s="530"/>
      <c r="S395" s="530"/>
      <c r="T395" s="530"/>
      <c r="U395" s="530"/>
    </row>
    <row r="396" spans="1:21" ht="9.75" customHeight="1">
      <c r="A396" s="90"/>
      <c r="B396" s="90"/>
      <c r="C396" s="90"/>
      <c r="D396" s="90"/>
      <c r="E396" s="90"/>
      <c r="F396" s="90"/>
      <c r="G396" s="90"/>
      <c r="H396" s="90"/>
      <c r="I396" s="90"/>
      <c r="J396" s="90"/>
      <c r="K396" s="90"/>
      <c r="L396" s="90"/>
      <c r="M396" s="90"/>
      <c r="N396" s="90"/>
      <c r="O396" s="530"/>
      <c r="P396" s="530"/>
      <c r="Q396" s="530"/>
      <c r="R396" s="530"/>
      <c r="S396" s="530"/>
      <c r="T396" s="530"/>
      <c r="U396" s="530"/>
    </row>
    <row r="397" spans="1:21" ht="9.75" customHeight="1">
      <c r="A397" s="90"/>
      <c r="B397" s="90"/>
      <c r="C397" s="90"/>
      <c r="D397" s="90"/>
      <c r="E397" s="90"/>
      <c r="F397" s="90"/>
      <c r="G397" s="90"/>
      <c r="H397" s="90"/>
      <c r="I397" s="90"/>
      <c r="J397" s="90"/>
      <c r="K397" s="90"/>
      <c r="L397" s="90"/>
      <c r="M397" s="90"/>
      <c r="N397" s="90"/>
      <c r="O397" s="530"/>
      <c r="P397" s="530"/>
      <c r="Q397" s="530"/>
      <c r="R397" s="530"/>
      <c r="S397" s="530"/>
      <c r="T397" s="530"/>
      <c r="U397" s="530"/>
    </row>
    <row r="398" spans="1:21" ht="9.75" customHeight="1">
      <c r="A398" s="90"/>
      <c r="B398" s="90"/>
      <c r="C398" s="90"/>
      <c r="D398" s="90"/>
      <c r="E398" s="90"/>
      <c r="F398" s="90"/>
      <c r="G398" s="90"/>
      <c r="H398" s="90"/>
      <c r="I398" s="90"/>
      <c r="J398" s="90"/>
      <c r="K398" s="90"/>
      <c r="L398" s="90"/>
      <c r="M398" s="90"/>
      <c r="N398" s="90"/>
      <c r="O398" s="530"/>
      <c r="P398" s="530"/>
      <c r="Q398" s="530"/>
      <c r="R398" s="530"/>
      <c r="S398" s="530"/>
      <c r="T398" s="530"/>
      <c r="U398" s="530"/>
    </row>
    <row r="399" spans="1:21" ht="9.75" customHeight="1">
      <c r="A399" s="90"/>
      <c r="B399" s="90"/>
      <c r="C399" s="90"/>
      <c r="D399" s="90"/>
      <c r="E399" s="90"/>
      <c r="F399" s="90"/>
      <c r="G399" s="90"/>
      <c r="H399" s="90"/>
      <c r="I399" s="90"/>
      <c r="J399" s="90"/>
      <c r="K399" s="90"/>
      <c r="L399" s="90"/>
      <c r="M399" s="90"/>
      <c r="N399" s="90"/>
      <c r="O399" s="530"/>
      <c r="P399" s="530"/>
      <c r="Q399" s="530"/>
      <c r="R399" s="530"/>
      <c r="S399" s="530"/>
      <c r="T399" s="530"/>
      <c r="U399" s="530"/>
    </row>
    <row r="400" spans="1:21" ht="9.75" customHeight="1">
      <c r="A400" s="90"/>
      <c r="B400" s="90"/>
      <c r="C400" s="90"/>
      <c r="D400" s="90"/>
      <c r="E400" s="90"/>
      <c r="F400" s="90"/>
      <c r="G400" s="90"/>
      <c r="H400" s="90"/>
      <c r="I400" s="90"/>
      <c r="J400" s="90"/>
      <c r="K400" s="90"/>
      <c r="L400" s="90"/>
      <c r="M400" s="90"/>
      <c r="N400" s="90"/>
      <c r="O400" s="530"/>
      <c r="P400" s="530"/>
      <c r="Q400" s="530"/>
      <c r="R400" s="530"/>
      <c r="S400" s="530"/>
      <c r="T400" s="530"/>
      <c r="U400" s="530"/>
    </row>
    <row r="401" spans="1:21" ht="9.75" customHeight="1">
      <c r="A401" s="90"/>
      <c r="B401" s="90"/>
      <c r="C401" s="90"/>
      <c r="D401" s="90"/>
      <c r="E401" s="90"/>
      <c r="F401" s="90"/>
      <c r="G401" s="90"/>
      <c r="H401" s="90"/>
      <c r="I401" s="90"/>
      <c r="J401" s="90"/>
      <c r="K401" s="90"/>
      <c r="L401" s="90"/>
      <c r="M401" s="90"/>
      <c r="N401" s="90"/>
      <c r="O401" s="530"/>
      <c r="P401" s="530"/>
      <c r="Q401" s="530"/>
      <c r="R401" s="530"/>
      <c r="S401" s="530"/>
      <c r="T401" s="530"/>
      <c r="U401" s="530"/>
    </row>
    <row r="402" spans="1:21" ht="9.75" customHeight="1">
      <c r="A402" s="90"/>
      <c r="B402" s="90"/>
      <c r="C402" s="90"/>
      <c r="D402" s="90"/>
      <c r="E402" s="90"/>
      <c r="F402" s="90"/>
      <c r="G402" s="90"/>
      <c r="H402" s="90"/>
      <c r="I402" s="90"/>
      <c r="J402" s="90"/>
      <c r="K402" s="90"/>
      <c r="L402" s="90"/>
      <c r="M402" s="90"/>
      <c r="N402" s="90"/>
      <c r="O402" s="530"/>
      <c r="P402" s="530"/>
      <c r="Q402" s="530"/>
      <c r="R402" s="530"/>
      <c r="S402" s="530"/>
      <c r="T402" s="530"/>
      <c r="U402" s="530"/>
    </row>
    <row r="403" spans="1:21" ht="9.75" customHeight="1">
      <c r="A403" s="90"/>
      <c r="B403" s="90"/>
      <c r="C403" s="90"/>
      <c r="D403" s="90"/>
      <c r="E403" s="90"/>
      <c r="F403" s="90"/>
      <c r="G403" s="90"/>
      <c r="H403" s="90"/>
      <c r="I403" s="90"/>
      <c r="J403" s="90"/>
      <c r="K403" s="90"/>
      <c r="L403" s="90"/>
      <c r="M403" s="90"/>
      <c r="N403" s="90"/>
      <c r="O403" s="530"/>
      <c r="P403" s="530"/>
      <c r="Q403" s="530"/>
      <c r="R403" s="530"/>
      <c r="S403" s="530"/>
      <c r="T403" s="530"/>
      <c r="U403" s="530"/>
    </row>
    <row r="404" spans="1:21" ht="9.75" customHeight="1">
      <c r="A404" s="90"/>
      <c r="B404" s="90"/>
      <c r="C404" s="90"/>
      <c r="D404" s="90"/>
      <c r="E404" s="90"/>
      <c r="F404" s="90"/>
      <c r="G404" s="90"/>
      <c r="H404" s="90"/>
      <c r="I404" s="90"/>
      <c r="J404" s="90"/>
      <c r="K404" s="90"/>
      <c r="L404" s="90"/>
      <c r="M404" s="90"/>
      <c r="N404" s="90"/>
      <c r="O404" s="530"/>
      <c r="P404" s="530"/>
      <c r="Q404" s="530"/>
      <c r="R404" s="530"/>
      <c r="S404" s="530"/>
      <c r="T404" s="530"/>
      <c r="U404" s="530"/>
    </row>
    <row r="405" spans="1:21" ht="9.75" customHeight="1">
      <c r="A405" s="90"/>
      <c r="B405" s="90"/>
      <c r="C405" s="90"/>
      <c r="D405" s="90"/>
      <c r="E405" s="90"/>
      <c r="F405" s="90"/>
      <c r="G405" s="90"/>
      <c r="H405" s="90"/>
      <c r="I405" s="90"/>
      <c r="J405" s="90"/>
      <c r="K405" s="90"/>
      <c r="L405" s="90"/>
      <c r="M405" s="90"/>
      <c r="N405" s="90"/>
      <c r="O405" s="530"/>
      <c r="P405" s="530"/>
      <c r="Q405" s="530"/>
      <c r="R405" s="530"/>
      <c r="S405" s="530"/>
      <c r="T405" s="530"/>
      <c r="U405" s="530"/>
    </row>
    <row r="406" spans="1:21" ht="9.75" customHeight="1">
      <c r="A406" s="90"/>
      <c r="B406" s="90"/>
      <c r="C406" s="90"/>
      <c r="D406" s="90"/>
      <c r="E406" s="90"/>
      <c r="F406" s="90"/>
      <c r="G406" s="90"/>
      <c r="H406" s="90"/>
      <c r="I406" s="90"/>
      <c r="J406" s="90"/>
      <c r="K406" s="90"/>
      <c r="L406" s="90"/>
      <c r="M406" s="90"/>
      <c r="N406" s="90"/>
      <c r="O406" s="530"/>
      <c r="P406" s="530"/>
      <c r="Q406" s="530"/>
      <c r="R406" s="530"/>
      <c r="S406" s="530"/>
      <c r="T406" s="530"/>
      <c r="U406" s="530"/>
    </row>
    <row r="407" spans="1:21" ht="9.75" customHeight="1">
      <c r="A407" s="90"/>
      <c r="B407" s="90"/>
      <c r="C407" s="90"/>
      <c r="D407" s="90"/>
      <c r="E407" s="90"/>
      <c r="F407" s="90"/>
      <c r="G407" s="90"/>
      <c r="H407" s="90"/>
      <c r="I407" s="90"/>
      <c r="J407" s="90"/>
      <c r="K407" s="90"/>
      <c r="L407" s="90"/>
      <c r="M407" s="90"/>
      <c r="N407" s="90"/>
      <c r="O407" s="530"/>
      <c r="P407" s="530"/>
      <c r="Q407" s="530"/>
      <c r="R407" s="530"/>
      <c r="S407" s="530"/>
      <c r="T407" s="530"/>
      <c r="U407" s="530"/>
    </row>
    <row r="408" spans="1:21" ht="9.75" customHeight="1">
      <c r="A408" s="90"/>
      <c r="B408" s="90"/>
      <c r="C408" s="90"/>
      <c r="D408" s="90"/>
      <c r="E408" s="90"/>
      <c r="F408" s="90"/>
      <c r="G408" s="90"/>
      <c r="H408" s="90"/>
      <c r="I408" s="90"/>
      <c r="J408" s="90"/>
      <c r="K408" s="90"/>
      <c r="L408" s="90"/>
      <c r="M408" s="90"/>
      <c r="N408" s="90"/>
      <c r="O408" s="530"/>
      <c r="P408" s="530"/>
      <c r="Q408" s="530"/>
      <c r="R408" s="530"/>
      <c r="S408" s="530"/>
      <c r="T408" s="530"/>
      <c r="U408" s="530"/>
    </row>
    <row r="409" spans="1:21" ht="9.75" customHeight="1">
      <c r="A409" s="90"/>
      <c r="B409" s="90"/>
      <c r="C409" s="90"/>
      <c r="D409" s="90"/>
      <c r="E409" s="90"/>
      <c r="F409" s="90"/>
      <c r="G409" s="90"/>
      <c r="H409" s="90"/>
      <c r="I409" s="90"/>
      <c r="J409" s="90"/>
      <c r="K409" s="90"/>
      <c r="L409" s="90"/>
      <c r="M409" s="90"/>
      <c r="N409" s="90"/>
      <c r="O409" s="530"/>
      <c r="P409" s="530"/>
      <c r="Q409" s="530"/>
      <c r="R409" s="530"/>
      <c r="S409" s="530"/>
      <c r="T409" s="530"/>
      <c r="U409" s="530"/>
    </row>
    <row r="410" spans="1:21" ht="9.75" customHeight="1">
      <c r="A410" s="90"/>
      <c r="B410" s="90"/>
      <c r="C410" s="90"/>
      <c r="D410" s="90"/>
      <c r="E410" s="90"/>
      <c r="F410" s="90"/>
      <c r="G410" s="90"/>
      <c r="H410" s="90"/>
      <c r="I410" s="90"/>
      <c r="J410" s="90"/>
      <c r="K410" s="90"/>
      <c r="L410" s="90"/>
      <c r="M410" s="90"/>
      <c r="N410" s="90"/>
      <c r="O410" s="530"/>
      <c r="P410" s="530"/>
      <c r="Q410" s="530"/>
      <c r="R410" s="530"/>
      <c r="S410" s="530"/>
      <c r="T410" s="530"/>
      <c r="U410" s="530"/>
    </row>
    <row r="411" spans="1:21" ht="9.75" customHeight="1">
      <c r="A411" s="90"/>
      <c r="B411" s="90"/>
      <c r="C411" s="90"/>
      <c r="D411" s="90"/>
      <c r="E411" s="90"/>
      <c r="F411" s="90"/>
      <c r="G411" s="90"/>
      <c r="H411" s="90"/>
      <c r="I411" s="90"/>
      <c r="J411" s="90"/>
      <c r="K411" s="90"/>
      <c r="L411" s="90"/>
      <c r="M411" s="90"/>
      <c r="N411" s="90"/>
      <c r="O411" s="530"/>
      <c r="P411" s="530"/>
      <c r="Q411" s="530"/>
      <c r="R411" s="530"/>
      <c r="S411" s="530"/>
      <c r="T411" s="530"/>
      <c r="U411" s="530"/>
    </row>
    <row r="412" spans="1:21" ht="9.75" customHeight="1">
      <c r="A412" s="90"/>
      <c r="B412" s="90"/>
      <c r="C412" s="90"/>
      <c r="D412" s="90"/>
      <c r="E412" s="90"/>
      <c r="F412" s="90"/>
      <c r="G412" s="90"/>
      <c r="H412" s="90"/>
      <c r="I412" s="90"/>
      <c r="J412" s="90"/>
      <c r="K412" s="90"/>
      <c r="L412" s="90"/>
      <c r="M412" s="90"/>
      <c r="N412" s="90"/>
      <c r="O412" s="530"/>
      <c r="P412" s="530"/>
      <c r="Q412" s="530"/>
      <c r="R412" s="530"/>
      <c r="S412" s="530"/>
      <c r="T412" s="530"/>
      <c r="U412" s="530"/>
    </row>
    <row r="413" spans="1:21" ht="9.75" customHeight="1">
      <c r="A413" s="90"/>
      <c r="B413" s="90"/>
      <c r="C413" s="90"/>
      <c r="D413" s="90"/>
      <c r="E413" s="90"/>
      <c r="F413" s="90"/>
      <c r="G413" s="90"/>
      <c r="H413" s="90"/>
      <c r="I413" s="90"/>
      <c r="J413" s="90"/>
      <c r="K413" s="90"/>
      <c r="L413" s="90"/>
      <c r="M413" s="90"/>
      <c r="N413" s="90"/>
      <c r="O413" s="530"/>
      <c r="P413" s="530"/>
      <c r="Q413" s="530"/>
      <c r="R413" s="530"/>
      <c r="S413" s="530"/>
      <c r="T413" s="530"/>
      <c r="U413" s="530"/>
    </row>
    <row r="414" spans="1:21" ht="9.75" customHeight="1">
      <c r="A414" s="90"/>
      <c r="B414" s="90"/>
      <c r="C414" s="90"/>
      <c r="D414" s="90"/>
      <c r="E414" s="90"/>
      <c r="F414" s="90"/>
      <c r="G414" s="90"/>
      <c r="H414" s="90"/>
      <c r="I414" s="90"/>
      <c r="J414" s="90"/>
      <c r="K414" s="90"/>
      <c r="L414" s="90"/>
      <c r="M414" s="90"/>
      <c r="N414" s="90"/>
      <c r="O414" s="530"/>
      <c r="P414" s="530"/>
      <c r="Q414" s="530"/>
      <c r="R414" s="530"/>
      <c r="S414" s="530"/>
      <c r="T414" s="530"/>
      <c r="U414" s="530"/>
    </row>
    <row r="415" spans="1:21" ht="9.75" customHeight="1">
      <c r="A415" s="90"/>
      <c r="B415" s="90"/>
      <c r="C415" s="90"/>
      <c r="D415" s="90"/>
      <c r="E415" s="90"/>
      <c r="F415" s="90"/>
      <c r="G415" s="90"/>
      <c r="H415" s="90"/>
      <c r="I415" s="90"/>
      <c r="J415" s="90"/>
      <c r="K415" s="90"/>
      <c r="L415" s="90"/>
      <c r="M415" s="90"/>
      <c r="N415" s="90"/>
      <c r="O415" s="530"/>
      <c r="P415" s="530"/>
      <c r="Q415" s="530"/>
      <c r="R415" s="530"/>
      <c r="S415" s="530"/>
      <c r="T415" s="530"/>
      <c r="U415" s="530"/>
    </row>
    <row r="416" spans="1:21" ht="9.75" customHeight="1">
      <c r="A416" s="90"/>
      <c r="B416" s="90"/>
      <c r="C416" s="90"/>
      <c r="D416" s="90"/>
      <c r="E416" s="90"/>
      <c r="F416" s="90"/>
      <c r="G416" s="90"/>
      <c r="H416" s="90"/>
      <c r="I416" s="90"/>
      <c r="J416" s="90"/>
      <c r="K416" s="90"/>
      <c r="L416" s="90"/>
      <c r="M416" s="90"/>
      <c r="N416" s="90"/>
      <c r="O416" s="530"/>
      <c r="P416" s="530"/>
      <c r="Q416" s="530"/>
      <c r="R416" s="530"/>
      <c r="S416" s="530"/>
      <c r="T416" s="530"/>
      <c r="U416" s="530"/>
    </row>
    <row r="417" spans="1:21" ht="9.75" customHeight="1">
      <c r="A417" s="90"/>
      <c r="B417" s="90"/>
      <c r="C417" s="90"/>
      <c r="D417" s="90"/>
      <c r="E417" s="90"/>
      <c r="F417" s="90"/>
      <c r="G417" s="90"/>
      <c r="H417" s="90"/>
      <c r="I417" s="90"/>
      <c r="J417" s="90"/>
      <c r="K417" s="90"/>
      <c r="L417" s="90"/>
      <c r="M417" s="90"/>
      <c r="N417" s="90"/>
      <c r="O417" s="530"/>
      <c r="P417" s="530"/>
      <c r="Q417" s="530"/>
      <c r="R417" s="530"/>
      <c r="S417" s="530"/>
      <c r="T417" s="530"/>
      <c r="U417" s="530"/>
    </row>
    <row r="418" spans="1:21" ht="9.75" customHeight="1">
      <c r="A418" s="90"/>
      <c r="B418" s="90"/>
      <c r="C418" s="90"/>
      <c r="D418" s="90"/>
      <c r="E418" s="90"/>
      <c r="F418" s="90"/>
      <c r="G418" s="90"/>
      <c r="H418" s="90"/>
      <c r="I418" s="90"/>
      <c r="J418" s="90"/>
      <c r="K418" s="90"/>
      <c r="L418" s="90"/>
      <c r="M418" s="90"/>
      <c r="N418" s="90"/>
      <c r="O418" s="530"/>
      <c r="P418" s="530"/>
      <c r="Q418" s="530"/>
      <c r="R418" s="530"/>
      <c r="S418" s="530"/>
      <c r="T418" s="530"/>
      <c r="U418" s="530"/>
    </row>
    <row r="419" spans="1:21" ht="9.75" customHeight="1">
      <c r="A419" s="90"/>
      <c r="B419" s="90"/>
      <c r="C419" s="90"/>
      <c r="D419" s="90"/>
      <c r="E419" s="90"/>
      <c r="F419" s="90"/>
      <c r="G419" s="90"/>
      <c r="H419" s="90"/>
      <c r="I419" s="90"/>
      <c r="J419" s="90"/>
      <c r="K419" s="90"/>
      <c r="L419" s="90"/>
      <c r="M419" s="90"/>
      <c r="N419" s="90"/>
      <c r="O419" s="530"/>
      <c r="P419" s="530"/>
      <c r="Q419" s="530"/>
      <c r="R419" s="530"/>
      <c r="S419" s="530"/>
      <c r="T419" s="530"/>
      <c r="U419" s="530"/>
    </row>
    <row r="420" spans="1:21" ht="9.75" customHeight="1">
      <c r="A420" s="90"/>
      <c r="B420" s="90"/>
      <c r="C420" s="90"/>
      <c r="D420" s="90"/>
      <c r="E420" s="90"/>
      <c r="F420" s="90"/>
      <c r="G420" s="90"/>
      <c r="H420" s="90"/>
      <c r="I420" s="90"/>
      <c r="J420" s="90"/>
      <c r="K420" s="90"/>
      <c r="L420" s="90"/>
      <c r="M420" s="90"/>
      <c r="N420" s="90"/>
      <c r="O420" s="530"/>
      <c r="P420" s="530"/>
      <c r="Q420" s="530"/>
      <c r="R420" s="530"/>
      <c r="S420" s="530"/>
      <c r="T420" s="530"/>
      <c r="U420" s="530"/>
    </row>
    <row r="421" spans="1:21" ht="9.75" customHeight="1">
      <c r="A421" s="90"/>
      <c r="B421" s="90"/>
      <c r="C421" s="90"/>
      <c r="D421" s="90"/>
      <c r="E421" s="90"/>
      <c r="F421" s="90"/>
      <c r="G421" s="90"/>
      <c r="H421" s="90"/>
      <c r="I421" s="90"/>
      <c r="J421" s="90"/>
      <c r="K421" s="90"/>
      <c r="L421" s="90"/>
      <c r="M421" s="90"/>
      <c r="N421" s="90"/>
      <c r="O421" s="530"/>
      <c r="P421" s="530"/>
      <c r="Q421" s="530"/>
      <c r="R421" s="530"/>
      <c r="S421" s="530"/>
      <c r="T421" s="530"/>
      <c r="U421" s="530"/>
    </row>
    <row r="422" spans="1:21" ht="9.75" customHeight="1">
      <c r="A422" s="90"/>
      <c r="B422" s="90"/>
      <c r="C422" s="90"/>
      <c r="D422" s="90"/>
      <c r="E422" s="90"/>
      <c r="F422" s="90"/>
      <c r="G422" s="90"/>
      <c r="H422" s="90"/>
      <c r="I422" s="90"/>
      <c r="J422" s="90"/>
      <c r="K422" s="90"/>
      <c r="L422" s="90"/>
      <c r="M422" s="90"/>
      <c r="N422" s="90"/>
      <c r="O422" s="530"/>
      <c r="P422" s="530"/>
      <c r="Q422" s="530"/>
      <c r="R422" s="530"/>
      <c r="S422" s="530"/>
      <c r="T422" s="530"/>
      <c r="U422" s="530"/>
    </row>
    <row r="423" spans="1:21" ht="9.75" customHeight="1">
      <c r="A423" s="90"/>
      <c r="B423" s="90"/>
      <c r="C423" s="90"/>
      <c r="D423" s="90"/>
      <c r="E423" s="90"/>
      <c r="F423" s="90"/>
      <c r="G423" s="90"/>
      <c r="H423" s="90"/>
      <c r="I423" s="90"/>
      <c r="J423" s="90"/>
      <c r="K423" s="90"/>
      <c r="L423" s="90"/>
      <c r="M423" s="90"/>
      <c r="N423" s="90"/>
      <c r="O423" s="530"/>
      <c r="P423" s="530"/>
      <c r="Q423" s="530"/>
      <c r="R423" s="530"/>
      <c r="S423" s="530"/>
      <c r="T423" s="530"/>
      <c r="U423" s="530"/>
    </row>
    <row r="424" spans="1:21" ht="9.75" customHeight="1">
      <c r="A424" s="90"/>
      <c r="B424" s="90"/>
      <c r="C424" s="90"/>
      <c r="D424" s="90"/>
      <c r="E424" s="90"/>
      <c r="F424" s="90"/>
      <c r="G424" s="90"/>
      <c r="H424" s="90"/>
      <c r="I424" s="90"/>
      <c r="J424" s="90"/>
      <c r="K424" s="90"/>
      <c r="L424" s="90"/>
      <c r="M424" s="90"/>
      <c r="N424" s="90"/>
      <c r="O424" s="530"/>
      <c r="P424" s="530"/>
      <c r="Q424" s="530"/>
      <c r="R424" s="530"/>
      <c r="S424" s="530"/>
      <c r="T424" s="530"/>
      <c r="U424" s="530"/>
    </row>
    <row r="425" spans="1:21" ht="9.75" customHeight="1">
      <c r="A425" s="90"/>
      <c r="B425" s="90"/>
      <c r="C425" s="90"/>
      <c r="D425" s="90"/>
      <c r="E425" s="90"/>
      <c r="F425" s="90"/>
      <c r="G425" s="90"/>
      <c r="H425" s="90"/>
      <c r="I425" s="90"/>
      <c r="J425" s="90"/>
      <c r="K425" s="90"/>
      <c r="L425" s="90"/>
      <c r="M425" s="90"/>
      <c r="N425" s="90"/>
      <c r="O425" s="530"/>
      <c r="P425" s="530"/>
      <c r="Q425" s="530"/>
      <c r="R425" s="530"/>
      <c r="S425" s="530"/>
      <c r="T425" s="530"/>
      <c r="U425" s="530"/>
    </row>
    <row r="426" spans="1:21" ht="9.75" customHeight="1">
      <c r="A426" s="90"/>
      <c r="B426" s="90"/>
      <c r="C426" s="90"/>
      <c r="D426" s="90"/>
      <c r="E426" s="90"/>
      <c r="F426" s="90"/>
      <c r="G426" s="90"/>
      <c r="H426" s="90"/>
      <c r="I426" s="90"/>
      <c r="J426" s="90"/>
      <c r="K426" s="90"/>
      <c r="L426" s="90"/>
      <c r="M426" s="90"/>
      <c r="N426" s="90"/>
      <c r="O426" s="530"/>
      <c r="P426" s="530"/>
      <c r="Q426" s="530"/>
      <c r="R426" s="530"/>
      <c r="S426" s="530"/>
      <c r="T426" s="530"/>
      <c r="U426" s="530"/>
    </row>
    <row r="427" spans="1:21" ht="9.75" customHeight="1">
      <c r="A427" s="90"/>
      <c r="B427" s="90"/>
      <c r="C427" s="90"/>
      <c r="D427" s="90"/>
      <c r="E427" s="90"/>
      <c r="F427" s="90"/>
      <c r="G427" s="90"/>
      <c r="H427" s="90"/>
      <c r="I427" s="90"/>
      <c r="J427" s="90"/>
      <c r="K427" s="90"/>
      <c r="L427" s="90"/>
      <c r="M427" s="90"/>
      <c r="N427" s="90"/>
      <c r="O427" s="530"/>
      <c r="P427" s="530"/>
      <c r="Q427" s="530"/>
      <c r="R427" s="530"/>
      <c r="S427" s="530"/>
      <c r="T427" s="530"/>
      <c r="U427" s="530"/>
    </row>
    <row r="428" spans="1:21" ht="9.75" customHeight="1">
      <c r="A428" s="90"/>
      <c r="B428" s="90"/>
      <c r="C428" s="90"/>
      <c r="D428" s="90"/>
      <c r="E428" s="90"/>
      <c r="F428" s="90"/>
      <c r="G428" s="90"/>
      <c r="H428" s="90"/>
      <c r="I428" s="90"/>
      <c r="J428" s="90"/>
      <c r="K428" s="90"/>
      <c r="L428" s="90"/>
      <c r="M428" s="90"/>
      <c r="N428" s="90"/>
      <c r="O428" s="530"/>
      <c r="P428" s="530"/>
      <c r="Q428" s="530"/>
      <c r="R428" s="530"/>
      <c r="S428" s="530"/>
      <c r="T428" s="530"/>
      <c r="U428" s="530"/>
    </row>
    <row r="429" spans="1:21" ht="9.75" customHeight="1">
      <c r="A429" s="90"/>
      <c r="B429" s="90"/>
      <c r="C429" s="90"/>
      <c r="D429" s="90"/>
      <c r="E429" s="90"/>
      <c r="F429" s="90"/>
      <c r="G429" s="90"/>
      <c r="H429" s="90"/>
      <c r="I429" s="90"/>
      <c r="J429" s="90"/>
      <c r="K429" s="90"/>
      <c r="L429" s="90"/>
      <c r="M429" s="90"/>
      <c r="N429" s="90"/>
      <c r="O429" s="530"/>
      <c r="P429" s="530"/>
      <c r="Q429" s="530"/>
      <c r="R429" s="530"/>
      <c r="S429" s="530"/>
      <c r="T429" s="530"/>
      <c r="U429" s="530"/>
    </row>
    <row r="430" spans="1:21" ht="9.75" customHeight="1">
      <c r="A430" s="90"/>
      <c r="B430" s="90"/>
      <c r="C430" s="90"/>
      <c r="D430" s="90"/>
      <c r="E430" s="90"/>
      <c r="F430" s="90"/>
      <c r="G430" s="90"/>
      <c r="H430" s="90"/>
      <c r="I430" s="90"/>
      <c r="J430" s="90"/>
      <c r="K430" s="90"/>
      <c r="L430" s="90"/>
      <c r="M430" s="90"/>
      <c r="N430" s="90"/>
      <c r="O430" s="530"/>
      <c r="P430" s="530"/>
      <c r="Q430" s="530"/>
      <c r="R430" s="530"/>
      <c r="S430" s="530"/>
      <c r="T430" s="530"/>
      <c r="U430" s="530"/>
    </row>
    <row r="431" spans="1:21" ht="9.75" customHeight="1">
      <c r="A431" s="90"/>
      <c r="B431" s="90"/>
      <c r="C431" s="90"/>
      <c r="D431" s="90"/>
      <c r="E431" s="90"/>
      <c r="F431" s="90"/>
      <c r="G431" s="90"/>
      <c r="H431" s="90"/>
      <c r="I431" s="90"/>
      <c r="J431" s="90"/>
      <c r="K431" s="90"/>
      <c r="L431" s="90"/>
      <c r="M431" s="90"/>
      <c r="N431" s="90"/>
      <c r="O431" s="530"/>
      <c r="P431" s="530"/>
      <c r="Q431" s="530"/>
      <c r="R431" s="530"/>
      <c r="S431" s="530"/>
      <c r="T431" s="530"/>
      <c r="U431" s="530"/>
    </row>
    <row r="432" spans="1:21" ht="9.75" customHeight="1">
      <c r="A432" s="90"/>
      <c r="B432" s="90"/>
      <c r="C432" s="90"/>
      <c r="D432" s="90"/>
      <c r="E432" s="90"/>
      <c r="F432" s="90"/>
      <c r="G432" s="90"/>
      <c r="H432" s="90"/>
      <c r="I432" s="90"/>
      <c r="J432" s="90"/>
      <c r="K432" s="90"/>
      <c r="L432" s="90"/>
      <c r="M432" s="90"/>
      <c r="N432" s="90"/>
      <c r="O432" s="530"/>
      <c r="P432" s="530"/>
      <c r="Q432" s="530"/>
      <c r="R432" s="530"/>
      <c r="S432" s="530"/>
      <c r="T432" s="530"/>
      <c r="U432" s="530"/>
    </row>
    <row r="433" spans="1:21" ht="9.75" customHeight="1">
      <c r="A433" s="90"/>
      <c r="B433" s="90"/>
      <c r="C433" s="90"/>
      <c r="D433" s="90"/>
      <c r="E433" s="90"/>
      <c r="F433" s="90"/>
      <c r="G433" s="90"/>
      <c r="H433" s="90"/>
      <c r="I433" s="90"/>
      <c r="J433" s="90"/>
      <c r="K433" s="90"/>
      <c r="L433" s="90"/>
      <c r="M433" s="90"/>
      <c r="N433" s="90"/>
      <c r="O433" s="530"/>
      <c r="P433" s="530"/>
      <c r="Q433" s="530"/>
      <c r="R433" s="530"/>
      <c r="S433" s="530"/>
      <c r="T433" s="530"/>
      <c r="U433" s="530"/>
    </row>
    <row r="434" spans="1:21" ht="9.75" customHeight="1">
      <c r="A434" s="90"/>
      <c r="B434" s="90"/>
      <c r="C434" s="90"/>
      <c r="D434" s="90"/>
      <c r="E434" s="90"/>
      <c r="F434" s="90"/>
      <c r="G434" s="90"/>
      <c r="H434" s="90"/>
      <c r="I434" s="90"/>
      <c r="J434" s="90"/>
      <c r="K434" s="90"/>
      <c r="L434" s="90"/>
      <c r="M434" s="90"/>
      <c r="N434" s="90"/>
      <c r="O434" s="530"/>
      <c r="P434" s="530"/>
      <c r="Q434" s="530"/>
      <c r="R434" s="530"/>
      <c r="S434" s="530"/>
      <c r="T434" s="530"/>
      <c r="U434" s="530"/>
    </row>
    <row r="435" spans="1:21" ht="9.75" customHeight="1">
      <c r="A435" s="90"/>
      <c r="B435" s="90"/>
      <c r="C435" s="90"/>
      <c r="D435" s="90"/>
      <c r="E435" s="90"/>
      <c r="F435" s="90"/>
      <c r="G435" s="90"/>
      <c r="H435" s="90"/>
      <c r="I435" s="90"/>
      <c r="J435" s="90"/>
      <c r="K435" s="90"/>
      <c r="L435" s="90"/>
      <c r="M435" s="90"/>
      <c r="N435" s="90"/>
      <c r="O435" s="530"/>
      <c r="P435" s="530"/>
      <c r="Q435" s="530"/>
      <c r="R435" s="530"/>
      <c r="S435" s="530"/>
      <c r="T435" s="530"/>
      <c r="U435" s="530"/>
    </row>
    <row r="436" spans="1:21" ht="9.75" customHeight="1">
      <c r="A436" s="90"/>
      <c r="B436" s="90"/>
      <c r="C436" s="90"/>
      <c r="D436" s="90"/>
      <c r="E436" s="90"/>
      <c r="F436" s="90"/>
      <c r="G436" s="90"/>
      <c r="H436" s="90"/>
      <c r="I436" s="90"/>
      <c r="J436" s="90"/>
      <c r="K436" s="90"/>
      <c r="L436" s="90"/>
      <c r="M436" s="90"/>
      <c r="N436" s="90"/>
      <c r="O436" s="530"/>
      <c r="P436" s="530"/>
      <c r="Q436" s="530"/>
      <c r="R436" s="530"/>
      <c r="S436" s="530"/>
      <c r="T436" s="530"/>
      <c r="U436" s="530"/>
    </row>
    <row r="437" spans="1:21" ht="9.75" customHeight="1">
      <c r="A437" s="90"/>
      <c r="B437" s="90"/>
      <c r="C437" s="90"/>
      <c r="D437" s="90"/>
      <c r="E437" s="90"/>
      <c r="F437" s="90"/>
      <c r="G437" s="90"/>
      <c r="H437" s="90"/>
      <c r="I437" s="90"/>
      <c r="J437" s="90"/>
      <c r="K437" s="90"/>
      <c r="L437" s="90"/>
      <c r="M437" s="90"/>
      <c r="N437" s="90"/>
      <c r="O437" s="530"/>
      <c r="P437" s="530"/>
      <c r="Q437" s="530"/>
      <c r="R437" s="530"/>
      <c r="S437" s="530"/>
      <c r="T437" s="530"/>
      <c r="U437" s="530"/>
    </row>
    <row r="438" spans="1:21" ht="9.75" customHeight="1">
      <c r="A438" s="90"/>
      <c r="B438" s="90"/>
      <c r="C438" s="90"/>
      <c r="D438" s="90"/>
      <c r="E438" s="90"/>
      <c r="F438" s="90"/>
      <c r="G438" s="90"/>
      <c r="H438" s="90"/>
      <c r="I438" s="90"/>
      <c r="J438" s="90"/>
      <c r="K438" s="90"/>
      <c r="L438" s="90"/>
      <c r="M438" s="90"/>
      <c r="N438" s="90"/>
      <c r="O438" s="530"/>
      <c r="P438" s="530"/>
      <c r="Q438" s="530"/>
      <c r="R438" s="530"/>
      <c r="S438" s="530"/>
      <c r="T438" s="530"/>
      <c r="U438" s="530"/>
    </row>
    <row r="439" spans="1:21" ht="9.75" customHeight="1">
      <c r="A439" s="90"/>
      <c r="B439" s="90"/>
      <c r="C439" s="90"/>
      <c r="D439" s="90"/>
      <c r="E439" s="90"/>
      <c r="F439" s="90"/>
      <c r="G439" s="90"/>
      <c r="H439" s="90"/>
      <c r="I439" s="90"/>
      <c r="J439" s="90"/>
      <c r="K439" s="90"/>
      <c r="L439" s="90"/>
      <c r="M439" s="90"/>
      <c r="N439" s="90"/>
      <c r="O439" s="530"/>
      <c r="P439" s="530"/>
      <c r="Q439" s="530"/>
      <c r="R439" s="530"/>
      <c r="S439" s="530"/>
      <c r="T439" s="530"/>
      <c r="U439" s="530"/>
    </row>
    <row r="440" spans="1:21" ht="9.75" customHeight="1">
      <c r="A440" s="90"/>
      <c r="B440" s="90"/>
      <c r="C440" s="90"/>
      <c r="D440" s="90"/>
      <c r="E440" s="90"/>
      <c r="F440" s="90"/>
      <c r="G440" s="90"/>
      <c r="H440" s="90"/>
      <c r="I440" s="90"/>
      <c r="J440" s="90"/>
      <c r="K440" s="90"/>
      <c r="L440" s="90"/>
      <c r="M440" s="90"/>
      <c r="N440" s="90"/>
      <c r="O440" s="530"/>
      <c r="P440" s="530"/>
      <c r="Q440" s="530"/>
      <c r="R440" s="530"/>
      <c r="S440" s="530"/>
      <c r="T440" s="530"/>
      <c r="U440" s="530"/>
    </row>
    <row r="441" spans="1:21" ht="9.75" customHeight="1">
      <c r="A441" s="90"/>
      <c r="B441" s="90"/>
      <c r="C441" s="90"/>
      <c r="D441" s="90"/>
      <c r="E441" s="90"/>
      <c r="F441" s="90"/>
      <c r="G441" s="90"/>
      <c r="H441" s="90"/>
      <c r="I441" s="90"/>
      <c r="J441" s="90"/>
      <c r="K441" s="90"/>
      <c r="L441" s="90"/>
      <c r="M441" s="90"/>
      <c r="N441" s="90"/>
      <c r="O441" s="530"/>
      <c r="P441" s="530"/>
      <c r="Q441" s="530"/>
      <c r="R441" s="530"/>
      <c r="S441" s="530"/>
      <c r="T441" s="530"/>
      <c r="U441" s="530"/>
    </row>
    <row r="442" spans="1:21" ht="9.75" customHeight="1">
      <c r="A442" s="90"/>
      <c r="B442" s="90"/>
      <c r="C442" s="90"/>
      <c r="D442" s="90"/>
      <c r="E442" s="90"/>
      <c r="F442" s="90"/>
      <c r="G442" s="90"/>
      <c r="H442" s="90"/>
      <c r="I442" s="90"/>
      <c r="J442" s="90"/>
      <c r="K442" s="90"/>
      <c r="L442" s="90"/>
      <c r="M442" s="90"/>
      <c r="N442" s="90"/>
      <c r="O442" s="530"/>
      <c r="P442" s="530"/>
      <c r="Q442" s="530"/>
      <c r="R442" s="530"/>
      <c r="S442" s="530"/>
      <c r="T442" s="530"/>
      <c r="U442" s="530"/>
    </row>
    <row r="443" spans="1:21" ht="9.75" customHeight="1">
      <c r="A443" s="90"/>
      <c r="B443" s="90"/>
      <c r="C443" s="90"/>
      <c r="D443" s="90"/>
      <c r="E443" s="90"/>
      <c r="F443" s="90"/>
      <c r="G443" s="90"/>
      <c r="H443" s="90"/>
      <c r="I443" s="90"/>
      <c r="J443" s="90"/>
      <c r="K443" s="90"/>
      <c r="L443" s="90"/>
      <c r="M443" s="90"/>
      <c r="N443" s="90"/>
      <c r="O443" s="530"/>
      <c r="P443" s="530"/>
      <c r="Q443" s="530"/>
      <c r="R443" s="530"/>
      <c r="S443" s="530"/>
      <c r="T443" s="530"/>
      <c r="U443" s="530"/>
    </row>
    <row r="444" spans="1:21" ht="9.75" customHeight="1">
      <c r="A444" s="90"/>
      <c r="B444" s="90"/>
      <c r="C444" s="90"/>
      <c r="D444" s="90"/>
      <c r="E444" s="90"/>
      <c r="F444" s="90"/>
      <c r="G444" s="90"/>
      <c r="H444" s="90"/>
      <c r="I444" s="90"/>
      <c r="J444" s="90"/>
      <c r="K444" s="90"/>
      <c r="L444" s="90"/>
      <c r="M444" s="90"/>
      <c r="N444" s="90"/>
      <c r="O444" s="530"/>
      <c r="P444" s="530"/>
      <c r="Q444" s="530"/>
      <c r="R444" s="530"/>
      <c r="S444" s="530"/>
      <c r="T444" s="530"/>
      <c r="U444" s="530"/>
    </row>
    <row r="445" spans="1:21" ht="9.75" customHeight="1">
      <c r="A445" s="90"/>
      <c r="B445" s="90"/>
      <c r="C445" s="90"/>
      <c r="D445" s="90"/>
      <c r="E445" s="90"/>
      <c r="F445" s="90"/>
      <c r="G445" s="90"/>
      <c r="H445" s="90"/>
      <c r="I445" s="90"/>
      <c r="J445" s="90"/>
      <c r="K445" s="90"/>
      <c r="L445" s="90"/>
      <c r="M445" s="90"/>
      <c r="N445" s="90"/>
      <c r="O445" s="530"/>
      <c r="P445" s="530"/>
      <c r="Q445" s="530"/>
      <c r="R445" s="530"/>
      <c r="S445" s="530"/>
      <c r="T445" s="530"/>
      <c r="U445" s="530"/>
    </row>
    <row r="446" spans="1:21" ht="9.75" customHeight="1">
      <c r="A446" s="90"/>
      <c r="B446" s="90"/>
      <c r="C446" s="90"/>
      <c r="D446" s="90"/>
      <c r="E446" s="90"/>
      <c r="F446" s="90"/>
      <c r="G446" s="90"/>
      <c r="H446" s="90"/>
      <c r="I446" s="90"/>
      <c r="J446" s="90"/>
      <c r="K446" s="90"/>
      <c r="L446" s="90"/>
      <c r="M446" s="90"/>
      <c r="N446" s="90"/>
      <c r="O446" s="530"/>
      <c r="P446" s="530"/>
      <c r="Q446" s="530"/>
      <c r="R446" s="530"/>
      <c r="S446" s="530"/>
      <c r="T446" s="530"/>
      <c r="U446" s="530"/>
    </row>
    <row r="447" spans="1:21" ht="9.75" customHeight="1">
      <c r="A447" s="90"/>
      <c r="B447" s="90"/>
      <c r="C447" s="90"/>
      <c r="D447" s="90"/>
      <c r="E447" s="90"/>
      <c r="F447" s="90"/>
      <c r="G447" s="90"/>
      <c r="H447" s="90"/>
      <c r="I447" s="90"/>
      <c r="J447" s="90"/>
      <c r="K447" s="90"/>
      <c r="L447" s="90"/>
      <c r="M447" s="90"/>
      <c r="N447" s="90"/>
      <c r="O447" s="530"/>
      <c r="P447" s="530"/>
      <c r="Q447" s="530"/>
      <c r="R447" s="530"/>
      <c r="S447" s="530"/>
      <c r="T447" s="530"/>
      <c r="U447" s="530"/>
    </row>
    <row r="448" spans="1:21" ht="9.75" customHeight="1">
      <c r="A448" s="90"/>
      <c r="B448" s="90"/>
      <c r="C448" s="90"/>
      <c r="D448" s="90"/>
      <c r="E448" s="90"/>
      <c r="F448" s="90"/>
      <c r="G448" s="90"/>
      <c r="H448" s="90"/>
      <c r="I448" s="90"/>
      <c r="J448" s="90"/>
      <c r="K448" s="90"/>
      <c r="L448" s="90"/>
      <c r="M448" s="90"/>
      <c r="N448" s="90"/>
      <c r="O448" s="530"/>
      <c r="P448" s="530"/>
      <c r="Q448" s="530"/>
      <c r="R448" s="530"/>
      <c r="S448" s="530"/>
      <c r="T448" s="530"/>
      <c r="U448" s="530"/>
    </row>
    <row r="449" spans="1:21" ht="9.75" customHeight="1">
      <c r="A449" s="90"/>
      <c r="B449" s="90"/>
      <c r="C449" s="90"/>
      <c r="D449" s="90"/>
      <c r="E449" s="90"/>
      <c r="F449" s="90"/>
      <c r="G449" s="90"/>
      <c r="H449" s="90"/>
      <c r="I449" s="90"/>
      <c r="J449" s="90"/>
      <c r="K449" s="90"/>
      <c r="L449" s="90"/>
      <c r="M449" s="90"/>
      <c r="N449" s="90"/>
      <c r="O449" s="530"/>
      <c r="P449" s="530"/>
      <c r="Q449" s="530"/>
      <c r="R449" s="530"/>
      <c r="S449" s="530"/>
      <c r="T449" s="530"/>
      <c r="U449" s="530"/>
    </row>
    <row r="450" spans="1:21" ht="9.75" customHeight="1">
      <c r="A450" s="90"/>
      <c r="B450" s="90"/>
      <c r="C450" s="90"/>
      <c r="D450" s="90"/>
      <c r="E450" s="90"/>
      <c r="F450" s="90"/>
      <c r="G450" s="90"/>
      <c r="H450" s="90"/>
      <c r="I450" s="90"/>
      <c r="J450" s="90"/>
      <c r="K450" s="90"/>
      <c r="L450" s="90"/>
      <c r="M450" s="90"/>
      <c r="N450" s="90"/>
      <c r="O450" s="530"/>
      <c r="P450" s="530"/>
      <c r="Q450" s="530"/>
      <c r="R450" s="530"/>
      <c r="S450" s="530"/>
      <c r="T450" s="530"/>
      <c r="U450" s="530"/>
    </row>
    <row r="451" spans="1:21" ht="9.75" customHeight="1">
      <c r="A451" s="90"/>
      <c r="B451" s="90"/>
      <c r="C451" s="90"/>
      <c r="D451" s="90"/>
      <c r="E451" s="90"/>
      <c r="F451" s="90"/>
      <c r="G451" s="90"/>
      <c r="H451" s="90"/>
      <c r="I451" s="90"/>
      <c r="J451" s="90"/>
      <c r="K451" s="90"/>
      <c r="L451" s="90"/>
      <c r="M451" s="90"/>
      <c r="N451" s="90"/>
      <c r="O451" s="530"/>
      <c r="P451" s="530"/>
      <c r="Q451" s="530"/>
      <c r="R451" s="530"/>
      <c r="S451" s="530"/>
      <c r="T451" s="530"/>
      <c r="U451" s="530"/>
    </row>
    <row r="452" spans="1:21" ht="9.75" customHeight="1">
      <c r="A452" s="90"/>
      <c r="B452" s="90"/>
      <c r="C452" s="90"/>
      <c r="D452" s="90"/>
      <c r="E452" s="90"/>
      <c r="F452" s="90"/>
      <c r="G452" s="90"/>
      <c r="H452" s="90"/>
      <c r="I452" s="90"/>
      <c r="J452" s="90"/>
      <c r="K452" s="90"/>
      <c r="L452" s="90"/>
      <c r="M452" s="90"/>
      <c r="N452" s="90"/>
      <c r="O452" s="530"/>
      <c r="P452" s="530"/>
      <c r="Q452" s="530"/>
      <c r="R452" s="530"/>
      <c r="S452" s="530"/>
      <c r="T452" s="530"/>
      <c r="U452" s="530"/>
    </row>
    <row r="453" spans="1:21" ht="9.75" customHeight="1">
      <c r="A453" s="90"/>
      <c r="B453" s="90"/>
      <c r="C453" s="90"/>
      <c r="D453" s="90"/>
      <c r="E453" s="90"/>
      <c r="F453" s="90"/>
      <c r="G453" s="90"/>
      <c r="H453" s="90"/>
      <c r="I453" s="90"/>
      <c r="J453" s="90"/>
      <c r="K453" s="90"/>
      <c r="L453" s="90"/>
      <c r="M453" s="90"/>
      <c r="N453" s="90"/>
      <c r="O453" s="530"/>
      <c r="P453" s="530"/>
      <c r="Q453" s="530"/>
      <c r="R453" s="530"/>
      <c r="S453" s="530"/>
      <c r="T453" s="530"/>
      <c r="U453" s="530"/>
    </row>
    <row r="454" spans="1:21" ht="9.75" customHeight="1">
      <c r="A454" s="90"/>
      <c r="B454" s="90"/>
      <c r="C454" s="90"/>
      <c r="D454" s="90"/>
      <c r="E454" s="90"/>
      <c r="F454" s="90"/>
      <c r="G454" s="90"/>
      <c r="H454" s="90"/>
      <c r="I454" s="90"/>
      <c r="J454" s="90"/>
      <c r="K454" s="90"/>
      <c r="L454" s="90"/>
      <c r="M454" s="90"/>
      <c r="N454" s="90"/>
      <c r="O454" s="530"/>
      <c r="P454" s="530"/>
      <c r="Q454" s="530"/>
      <c r="R454" s="530"/>
      <c r="S454" s="530"/>
      <c r="T454" s="530"/>
      <c r="U454" s="530"/>
    </row>
    <row r="455" spans="1:21" ht="9.75" customHeight="1">
      <c r="A455" s="90"/>
      <c r="B455" s="90"/>
      <c r="C455" s="90"/>
      <c r="D455" s="90"/>
      <c r="E455" s="90"/>
      <c r="F455" s="90"/>
      <c r="G455" s="90"/>
      <c r="H455" s="90"/>
      <c r="I455" s="90"/>
      <c r="J455" s="90"/>
      <c r="K455" s="90"/>
      <c r="L455" s="90"/>
      <c r="M455" s="90"/>
      <c r="N455" s="90"/>
      <c r="O455" s="530"/>
      <c r="P455" s="530"/>
      <c r="Q455" s="530"/>
      <c r="R455" s="530"/>
      <c r="S455" s="530"/>
      <c r="T455" s="530"/>
      <c r="U455" s="530"/>
    </row>
    <row r="456" spans="1:21" ht="9.75" customHeight="1">
      <c r="A456" s="90"/>
      <c r="B456" s="90"/>
      <c r="C456" s="90"/>
      <c r="D456" s="90"/>
      <c r="E456" s="90"/>
      <c r="F456" s="90"/>
      <c r="G456" s="90"/>
      <c r="H456" s="90"/>
      <c r="I456" s="90"/>
      <c r="J456" s="90"/>
      <c r="K456" s="90"/>
      <c r="L456" s="90"/>
      <c r="M456" s="90"/>
      <c r="N456" s="90"/>
      <c r="O456" s="530"/>
      <c r="P456" s="530"/>
      <c r="Q456" s="530"/>
      <c r="R456" s="530"/>
      <c r="S456" s="530"/>
      <c r="T456" s="530"/>
      <c r="U456" s="530"/>
    </row>
    <row r="457" spans="1:21" ht="9.75" customHeight="1">
      <c r="A457" s="90"/>
      <c r="B457" s="90"/>
      <c r="C457" s="90"/>
      <c r="D457" s="90"/>
      <c r="E457" s="90"/>
      <c r="F457" s="90"/>
      <c r="G457" s="90"/>
      <c r="H457" s="90"/>
      <c r="I457" s="90"/>
      <c r="J457" s="90"/>
      <c r="K457" s="90"/>
      <c r="L457" s="90"/>
      <c r="M457" s="90"/>
      <c r="N457" s="90"/>
      <c r="O457" s="530"/>
      <c r="P457" s="530"/>
      <c r="Q457" s="530"/>
      <c r="R457" s="530"/>
      <c r="S457" s="530"/>
      <c r="T457" s="530"/>
      <c r="U457" s="530"/>
    </row>
    <row r="458" spans="1:21" ht="9.75" customHeight="1">
      <c r="A458" s="90"/>
      <c r="B458" s="90"/>
      <c r="C458" s="90"/>
      <c r="D458" s="90"/>
      <c r="E458" s="90"/>
      <c r="F458" s="90"/>
      <c r="G458" s="90"/>
      <c r="H458" s="90"/>
      <c r="I458" s="90"/>
      <c r="J458" s="90"/>
      <c r="K458" s="90"/>
      <c r="L458" s="90"/>
      <c r="M458" s="90"/>
      <c r="N458" s="90"/>
      <c r="O458" s="530"/>
      <c r="P458" s="530"/>
      <c r="Q458" s="530"/>
      <c r="R458" s="530"/>
      <c r="S458" s="530"/>
      <c r="T458" s="530"/>
      <c r="U458" s="530"/>
    </row>
    <row r="459" spans="1:21" ht="9.75" customHeight="1">
      <c r="A459" s="90"/>
      <c r="B459" s="90"/>
      <c r="C459" s="90"/>
      <c r="D459" s="90"/>
      <c r="E459" s="90"/>
      <c r="F459" s="90"/>
      <c r="G459" s="90"/>
      <c r="H459" s="90"/>
      <c r="I459" s="90"/>
      <c r="J459" s="90"/>
      <c r="K459" s="90"/>
      <c r="L459" s="90"/>
      <c r="M459" s="90"/>
      <c r="N459" s="90"/>
      <c r="O459" s="530"/>
      <c r="P459" s="530"/>
      <c r="Q459" s="530"/>
      <c r="R459" s="530"/>
      <c r="S459" s="530"/>
      <c r="T459" s="530"/>
      <c r="U459" s="530"/>
    </row>
    <row r="460" spans="1:21" ht="9.75" customHeight="1">
      <c r="A460" s="90"/>
      <c r="B460" s="90"/>
      <c r="C460" s="90"/>
      <c r="D460" s="90"/>
      <c r="E460" s="90"/>
      <c r="F460" s="90"/>
      <c r="G460" s="90"/>
      <c r="H460" s="90"/>
      <c r="I460" s="90"/>
      <c r="J460" s="90"/>
      <c r="K460" s="90"/>
      <c r="L460" s="90"/>
      <c r="M460" s="90"/>
      <c r="N460" s="90"/>
      <c r="O460" s="530"/>
      <c r="P460" s="530"/>
      <c r="Q460" s="530"/>
      <c r="R460" s="530"/>
      <c r="S460" s="530"/>
      <c r="T460" s="530"/>
      <c r="U460" s="530"/>
    </row>
    <row r="461" spans="1:21" ht="9.75" customHeight="1">
      <c r="A461" s="90"/>
      <c r="B461" s="90"/>
      <c r="C461" s="90"/>
      <c r="D461" s="90"/>
      <c r="E461" s="90"/>
      <c r="F461" s="90"/>
      <c r="G461" s="90"/>
      <c r="H461" s="90"/>
      <c r="I461" s="90"/>
      <c r="J461" s="90"/>
      <c r="K461" s="90"/>
      <c r="L461" s="90"/>
      <c r="M461" s="90"/>
      <c r="N461" s="90"/>
      <c r="O461" s="530"/>
      <c r="P461" s="530"/>
      <c r="Q461" s="530"/>
      <c r="R461" s="530"/>
      <c r="S461" s="530"/>
      <c r="T461" s="530"/>
      <c r="U461" s="530"/>
    </row>
    <row r="462" spans="1:21" ht="9.75" customHeight="1">
      <c r="A462" s="90"/>
      <c r="B462" s="90"/>
      <c r="C462" s="90"/>
      <c r="D462" s="90"/>
      <c r="E462" s="90"/>
      <c r="F462" s="90"/>
      <c r="G462" s="90"/>
      <c r="H462" s="90"/>
      <c r="I462" s="90"/>
      <c r="J462" s="90"/>
      <c r="K462" s="90"/>
      <c r="L462" s="90"/>
      <c r="M462" s="90"/>
      <c r="N462" s="90"/>
      <c r="O462" s="530"/>
      <c r="P462" s="530"/>
      <c r="Q462" s="530"/>
      <c r="R462" s="530"/>
      <c r="S462" s="530"/>
      <c r="T462" s="530"/>
      <c r="U462" s="530"/>
    </row>
    <row r="463" spans="1:21" ht="9.75" customHeight="1">
      <c r="A463" s="90"/>
      <c r="B463" s="90"/>
      <c r="C463" s="90"/>
      <c r="D463" s="90"/>
      <c r="E463" s="90"/>
      <c r="F463" s="90"/>
      <c r="G463" s="90"/>
      <c r="H463" s="90"/>
      <c r="I463" s="90"/>
      <c r="J463" s="90"/>
      <c r="K463" s="90"/>
      <c r="L463" s="90"/>
      <c r="M463" s="90"/>
      <c r="N463" s="90"/>
      <c r="O463" s="530"/>
      <c r="P463" s="530"/>
      <c r="Q463" s="530"/>
      <c r="R463" s="530"/>
      <c r="S463" s="530"/>
      <c r="T463" s="530"/>
      <c r="U463" s="530"/>
    </row>
    <row r="464" spans="1:21" ht="9.75" customHeight="1">
      <c r="A464" s="90"/>
      <c r="B464" s="90"/>
      <c r="C464" s="90"/>
      <c r="D464" s="90"/>
      <c r="E464" s="90"/>
      <c r="F464" s="90"/>
      <c r="G464" s="90"/>
      <c r="H464" s="90"/>
      <c r="I464" s="90"/>
      <c r="J464" s="90"/>
      <c r="K464" s="90"/>
      <c r="L464" s="90"/>
      <c r="M464" s="90"/>
      <c r="N464" s="90"/>
      <c r="O464" s="530"/>
      <c r="P464" s="530"/>
      <c r="Q464" s="530"/>
      <c r="R464" s="530"/>
      <c r="S464" s="530"/>
      <c r="T464" s="530"/>
      <c r="U464" s="530"/>
    </row>
    <row r="465" spans="1:21" ht="9.75" customHeight="1">
      <c r="A465" s="90"/>
      <c r="B465" s="90"/>
      <c r="C465" s="90"/>
      <c r="D465" s="90"/>
      <c r="E465" s="90"/>
      <c r="F465" s="90"/>
      <c r="G465" s="90"/>
      <c r="H465" s="90"/>
      <c r="I465" s="90"/>
      <c r="J465" s="90"/>
      <c r="K465" s="90"/>
      <c r="L465" s="90"/>
      <c r="M465" s="90"/>
      <c r="N465" s="90"/>
      <c r="O465" s="530"/>
      <c r="P465" s="530"/>
      <c r="Q465" s="530"/>
      <c r="R465" s="530"/>
      <c r="S465" s="530"/>
      <c r="T465" s="530"/>
      <c r="U465" s="530"/>
    </row>
    <row r="466" spans="1:21" ht="9.75" customHeight="1">
      <c r="A466" s="90"/>
      <c r="B466" s="90"/>
      <c r="C466" s="90"/>
      <c r="D466" s="90"/>
      <c r="E466" s="90"/>
      <c r="F466" s="90"/>
      <c r="G466" s="90"/>
      <c r="H466" s="90"/>
      <c r="I466" s="90"/>
      <c r="J466" s="90"/>
      <c r="K466" s="90"/>
      <c r="L466" s="90"/>
      <c r="M466" s="90"/>
      <c r="N466" s="90"/>
      <c r="O466" s="530"/>
      <c r="P466" s="530"/>
      <c r="Q466" s="530"/>
      <c r="R466" s="530"/>
      <c r="S466" s="530"/>
      <c r="T466" s="530"/>
      <c r="U466" s="530"/>
    </row>
    <row r="467" spans="1:21" ht="9.75" customHeight="1">
      <c r="A467" s="90"/>
      <c r="B467" s="90"/>
      <c r="C467" s="90"/>
      <c r="D467" s="90"/>
      <c r="E467" s="90"/>
      <c r="F467" s="90"/>
      <c r="G467" s="90"/>
      <c r="H467" s="90"/>
      <c r="I467" s="90"/>
      <c r="J467" s="90"/>
      <c r="K467" s="90"/>
      <c r="L467" s="90"/>
      <c r="M467" s="90"/>
      <c r="N467" s="90"/>
      <c r="O467" s="530"/>
      <c r="P467" s="530"/>
      <c r="Q467" s="530"/>
      <c r="R467" s="530"/>
      <c r="S467" s="530"/>
      <c r="T467" s="530"/>
      <c r="U467" s="530"/>
    </row>
    <row r="468" spans="1:21" ht="9.75" customHeight="1">
      <c r="A468" s="90"/>
      <c r="B468" s="90"/>
      <c r="C468" s="90"/>
      <c r="D468" s="90"/>
      <c r="E468" s="90"/>
      <c r="F468" s="90"/>
      <c r="G468" s="90"/>
      <c r="H468" s="90"/>
      <c r="I468" s="90"/>
      <c r="J468" s="90"/>
      <c r="K468" s="90"/>
      <c r="L468" s="90"/>
      <c r="M468" s="90"/>
      <c r="N468" s="90"/>
      <c r="O468" s="530"/>
      <c r="P468" s="530"/>
      <c r="Q468" s="530"/>
      <c r="R468" s="530"/>
      <c r="S468" s="530"/>
      <c r="T468" s="530"/>
      <c r="U468" s="530"/>
    </row>
    <row r="469" spans="1:21" ht="9.75" customHeight="1">
      <c r="A469" s="90"/>
      <c r="B469" s="90"/>
      <c r="C469" s="90"/>
      <c r="D469" s="90"/>
      <c r="E469" s="90"/>
      <c r="F469" s="90"/>
      <c r="G469" s="90"/>
      <c r="H469" s="90"/>
      <c r="I469" s="90"/>
      <c r="J469" s="90"/>
      <c r="K469" s="90"/>
      <c r="L469" s="90"/>
      <c r="M469" s="90"/>
      <c r="N469" s="90"/>
      <c r="O469" s="530"/>
      <c r="P469" s="530"/>
      <c r="Q469" s="530"/>
      <c r="R469" s="530"/>
      <c r="S469" s="530"/>
      <c r="T469" s="530"/>
      <c r="U469" s="530"/>
    </row>
    <row r="470" spans="1:21" ht="9.75" customHeight="1">
      <c r="A470" s="90"/>
      <c r="B470" s="90"/>
      <c r="C470" s="90"/>
      <c r="D470" s="90"/>
      <c r="E470" s="90"/>
      <c r="F470" s="90"/>
      <c r="G470" s="90"/>
      <c r="H470" s="90"/>
      <c r="I470" s="90"/>
      <c r="J470" s="90"/>
      <c r="K470" s="90"/>
      <c r="L470" s="90"/>
      <c r="M470" s="90"/>
      <c r="N470" s="90"/>
      <c r="O470" s="530"/>
      <c r="P470" s="530"/>
      <c r="Q470" s="530"/>
      <c r="R470" s="530"/>
      <c r="S470" s="530"/>
      <c r="T470" s="530"/>
      <c r="U470" s="530"/>
    </row>
    <row r="471" spans="1:21" ht="9.75" customHeight="1">
      <c r="A471" s="90"/>
      <c r="B471" s="90"/>
      <c r="C471" s="90"/>
      <c r="D471" s="90"/>
      <c r="E471" s="90"/>
      <c r="F471" s="90"/>
      <c r="G471" s="90"/>
      <c r="H471" s="90"/>
      <c r="I471" s="90"/>
      <c r="J471" s="90"/>
      <c r="K471" s="90"/>
      <c r="L471" s="90"/>
      <c r="M471" s="90"/>
      <c r="N471" s="90"/>
      <c r="O471" s="530"/>
      <c r="P471" s="530"/>
      <c r="Q471" s="530"/>
      <c r="R471" s="530"/>
      <c r="S471" s="530"/>
      <c r="T471" s="530"/>
      <c r="U471" s="530"/>
    </row>
    <row r="472" spans="1:21" ht="9.75" customHeight="1">
      <c r="A472" s="90"/>
      <c r="B472" s="90"/>
      <c r="C472" s="90"/>
      <c r="D472" s="90"/>
      <c r="E472" s="90"/>
      <c r="F472" s="90"/>
      <c r="G472" s="90"/>
      <c r="H472" s="90"/>
      <c r="I472" s="90"/>
      <c r="J472" s="90"/>
      <c r="K472" s="90"/>
      <c r="L472" s="90"/>
      <c r="M472" s="90"/>
      <c r="N472" s="90"/>
      <c r="O472" s="530"/>
      <c r="P472" s="530"/>
      <c r="Q472" s="530"/>
      <c r="R472" s="530"/>
      <c r="S472" s="530"/>
      <c r="T472" s="530"/>
      <c r="U472" s="530"/>
    </row>
    <row r="473" spans="1:21" ht="9.75" customHeight="1">
      <c r="A473" s="90"/>
      <c r="B473" s="90"/>
      <c r="C473" s="90"/>
      <c r="D473" s="90"/>
      <c r="E473" s="90"/>
      <c r="F473" s="90"/>
      <c r="G473" s="90"/>
      <c r="H473" s="90"/>
      <c r="I473" s="90"/>
      <c r="J473" s="90"/>
      <c r="K473" s="90"/>
      <c r="L473" s="90"/>
      <c r="M473" s="90"/>
      <c r="N473" s="90"/>
      <c r="O473" s="530"/>
      <c r="P473" s="530"/>
      <c r="Q473" s="530"/>
      <c r="R473" s="530"/>
      <c r="S473" s="530"/>
      <c r="T473" s="530"/>
      <c r="U473" s="530"/>
    </row>
    <row r="474" spans="1:21" ht="9.75" customHeight="1">
      <c r="A474" s="90"/>
      <c r="B474" s="90"/>
      <c r="C474" s="90"/>
      <c r="D474" s="90"/>
      <c r="E474" s="90"/>
      <c r="F474" s="90"/>
      <c r="G474" s="90"/>
      <c r="H474" s="90"/>
      <c r="I474" s="90"/>
      <c r="J474" s="90"/>
      <c r="K474" s="90"/>
      <c r="L474" s="90"/>
      <c r="M474" s="90"/>
      <c r="N474" s="90"/>
      <c r="O474" s="530"/>
      <c r="P474" s="530"/>
      <c r="Q474" s="530"/>
      <c r="R474" s="530"/>
      <c r="S474" s="530"/>
      <c r="T474" s="530"/>
      <c r="U474" s="530"/>
    </row>
    <row r="475" spans="1:21" ht="9.75" customHeight="1">
      <c r="A475" s="90"/>
      <c r="B475" s="90"/>
      <c r="C475" s="90"/>
      <c r="D475" s="90"/>
      <c r="E475" s="90"/>
      <c r="F475" s="90"/>
      <c r="G475" s="90"/>
      <c r="H475" s="90"/>
      <c r="I475" s="90"/>
      <c r="J475" s="90"/>
      <c r="K475" s="90"/>
      <c r="L475" s="90"/>
      <c r="M475" s="90"/>
      <c r="N475" s="90"/>
      <c r="O475" s="530"/>
      <c r="P475" s="530"/>
      <c r="Q475" s="530"/>
      <c r="R475" s="530"/>
      <c r="S475" s="530"/>
      <c r="T475" s="530"/>
      <c r="U475" s="530"/>
    </row>
    <row r="476" spans="1:21" ht="9.75" customHeight="1">
      <c r="A476" s="90"/>
      <c r="B476" s="90"/>
      <c r="C476" s="90"/>
      <c r="D476" s="90"/>
      <c r="E476" s="90"/>
      <c r="F476" s="90"/>
      <c r="G476" s="90"/>
      <c r="H476" s="90"/>
      <c r="I476" s="90"/>
      <c r="J476" s="90"/>
      <c r="K476" s="90"/>
      <c r="L476" s="90"/>
      <c r="M476" s="90"/>
      <c r="N476" s="90"/>
      <c r="O476" s="530"/>
      <c r="P476" s="530"/>
      <c r="Q476" s="530"/>
      <c r="R476" s="530"/>
      <c r="S476" s="530"/>
      <c r="T476" s="530"/>
      <c r="U476" s="530"/>
    </row>
    <row r="477" spans="1:21" ht="9.75" customHeight="1">
      <c r="A477" s="90"/>
      <c r="B477" s="90"/>
      <c r="C477" s="90"/>
      <c r="D477" s="90"/>
      <c r="E477" s="90"/>
      <c r="F477" s="90"/>
      <c r="G477" s="90"/>
      <c r="H477" s="90"/>
      <c r="I477" s="90"/>
      <c r="J477" s="90"/>
      <c r="K477" s="90"/>
      <c r="L477" s="90"/>
      <c r="M477" s="90"/>
      <c r="N477" s="90"/>
      <c r="O477" s="530"/>
      <c r="P477" s="530"/>
      <c r="Q477" s="530"/>
      <c r="R477" s="530"/>
      <c r="S477" s="530"/>
      <c r="T477" s="530"/>
      <c r="U477" s="530"/>
    </row>
    <row r="478" spans="1:21" ht="9.75" customHeight="1">
      <c r="A478" s="90"/>
      <c r="B478" s="90"/>
      <c r="C478" s="90"/>
      <c r="D478" s="90"/>
      <c r="E478" s="90"/>
      <c r="F478" s="90"/>
      <c r="G478" s="90"/>
      <c r="H478" s="90"/>
      <c r="I478" s="90"/>
      <c r="J478" s="90"/>
      <c r="K478" s="90"/>
      <c r="L478" s="90"/>
      <c r="M478" s="90"/>
      <c r="N478" s="90"/>
      <c r="O478" s="530"/>
      <c r="P478" s="530"/>
      <c r="Q478" s="530"/>
      <c r="R478" s="530"/>
      <c r="S478" s="530"/>
      <c r="T478" s="530"/>
      <c r="U478" s="530"/>
    </row>
    <row r="479" spans="1:21" ht="9.75" customHeight="1">
      <c r="A479" s="90"/>
      <c r="B479" s="90"/>
      <c r="C479" s="90"/>
      <c r="D479" s="90"/>
      <c r="E479" s="90"/>
      <c r="F479" s="90"/>
      <c r="G479" s="90"/>
      <c r="H479" s="90"/>
      <c r="I479" s="90"/>
      <c r="J479" s="90"/>
      <c r="K479" s="90"/>
      <c r="L479" s="90"/>
      <c r="M479" s="90"/>
      <c r="N479" s="90"/>
      <c r="O479" s="530"/>
      <c r="P479" s="530"/>
      <c r="Q479" s="530"/>
      <c r="R479" s="530"/>
      <c r="S479" s="530"/>
      <c r="T479" s="530"/>
      <c r="U479" s="530"/>
    </row>
    <row r="480" spans="1:21" ht="9.75" customHeight="1">
      <c r="A480" s="90"/>
      <c r="B480" s="90"/>
      <c r="C480" s="90"/>
      <c r="D480" s="90"/>
      <c r="E480" s="90"/>
      <c r="F480" s="90"/>
      <c r="G480" s="90"/>
      <c r="H480" s="90"/>
      <c r="I480" s="90"/>
      <c r="J480" s="90"/>
      <c r="K480" s="90"/>
      <c r="L480" s="90"/>
      <c r="M480" s="90"/>
      <c r="N480" s="90"/>
      <c r="O480" s="530"/>
      <c r="P480" s="530"/>
      <c r="Q480" s="530"/>
      <c r="R480" s="530"/>
      <c r="S480" s="530"/>
      <c r="T480" s="530"/>
      <c r="U480" s="530"/>
    </row>
    <row r="481" spans="1:21" ht="9.75" customHeight="1">
      <c r="A481" s="90"/>
      <c r="B481" s="90"/>
      <c r="C481" s="90"/>
      <c r="D481" s="90"/>
      <c r="E481" s="90"/>
      <c r="F481" s="90"/>
      <c r="G481" s="90"/>
      <c r="H481" s="90"/>
      <c r="I481" s="90"/>
      <c r="J481" s="90"/>
      <c r="K481" s="90"/>
      <c r="L481" s="90"/>
      <c r="M481" s="90"/>
      <c r="N481" s="90"/>
      <c r="O481" s="530"/>
      <c r="P481" s="530"/>
      <c r="Q481" s="530"/>
      <c r="R481" s="530"/>
      <c r="S481" s="530"/>
      <c r="T481" s="530"/>
      <c r="U481" s="530"/>
    </row>
    <row r="482" spans="1:21" ht="9.75" customHeight="1">
      <c r="A482" s="90"/>
      <c r="B482" s="90"/>
      <c r="C482" s="90"/>
      <c r="D482" s="90"/>
      <c r="E482" s="90"/>
      <c r="F482" s="90"/>
      <c r="G482" s="90"/>
      <c r="H482" s="90"/>
      <c r="I482" s="90"/>
      <c r="J482" s="90"/>
      <c r="K482" s="90"/>
      <c r="L482" s="90"/>
      <c r="M482" s="90"/>
      <c r="N482" s="90"/>
      <c r="O482" s="530"/>
      <c r="P482" s="530"/>
      <c r="Q482" s="530"/>
      <c r="R482" s="530"/>
      <c r="S482" s="530"/>
      <c r="T482" s="530"/>
      <c r="U482" s="530"/>
    </row>
    <row r="483" spans="1:21" ht="9.75" customHeight="1">
      <c r="A483" s="90"/>
      <c r="B483" s="90"/>
      <c r="C483" s="90"/>
      <c r="D483" s="90"/>
      <c r="E483" s="90"/>
      <c r="F483" s="90"/>
      <c r="G483" s="90"/>
      <c r="H483" s="90"/>
      <c r="I483" s="90"/>
      <c r="J483" s="90"/>
      <c r="K483" s="90"/>
      <c r="L483" s="90"/>
      <c r="M483" s="90"/>
      <c r="N483" s="90"/>
      <c r="O483" s="530"/>
      <c r="P483" s="530"/>
      <c r="Q483" s="530"/>
      <c r="R483" s="530"/>
      <c r="S483" s="530"/>
      <c r="T483" s="530"/>
      <c r="U483" s="530"/>
    </row>
    <row r="484" spans="1:21" ht="9.75" customHeight="1">
      <c r="A484" s="90"/>
      <c r="B484" s="90"/>
      <c r="C484" s="90"/>
      <c r="D484" s="90"/>
      <c r="E484" s="90"/>
      <c r="F484" s="90"/>
      <c r="G484" s="90"/>
      <c r="H484" s="90"/>
      <c r="I484" s="90"/>
      <c r="J484" s="90"/>
      <c r="K484" s="90"/>
      <c r="L484" s="90"/>
      <c r="M484" s="90"/>
      <c r="N484" s="90"/>
      <c r="O484" s="530"/>
      <c r="P484" s="530"/>
      <c r="Q484" s="530"/>
      <c r="R484" s="530"/>
      <c r="S484" s="530"/>
      <c r="T484" s="530"/>
      <c r="U484" s="530"/>
    </row>
    <row r="485" spans="1:21" ht="9.75" customHeight="1">
      <c r="A485" s="90"/>
      <c r="B485" s="90"/>
      <c r="C485" s="90"/>
      <c r="D485" s="90"/>
      <c r="E485" s="90"/>
      <c r="F485" s="90"/>
      <c r="G485" s="90"/>
      <c r="H485" s="90"/>
      <c r="I485" s="90"/>
      <c r="J485" s="90"/>
      <c r="K485" s="90"/>
      <c r="L485" s="90"/>
      <c r="M485" s="90"/>
      <c r="N485" s="90"/>
      <c r="O485" s="530"/>
      <c r="P485" s="530"/>
      <c r="Q485" s="530"/>
      <c r="R485" s="530"/>
      <c r="S485" s="530"/>
      <c r="T485" s="530"/>
      <c r="U485" s="530"/>
    </row>
    <row r="486" spans="1:21" ht="9.75" customHeight="1">
      <c r="A486" s="90"/>
      <c r="B486" s="90"/>
      <c r="C486" s="90"/>
      <c r="D486" s="90"/>
      <c r="E486" s="90"/>
      <c r="F486" s="90"/>
      <c r="G486" s="90"/>
      <c r="H486" s="90"/>
      <c r="I486" s="90"/>
      <c r="J486" s="90"/>
      <c r="K486" s="90"/>
      <c r="L486" s="90"/>
      <c r="M486" s="90"/>
      <c r="N486" s="90"/>
      <c r="O486" s="530"/>
      <c r="P486" s="530"/>
      <c r="Q486" s="530"/>
      <c r="R486" s="530"/>
      <c r="S486" s="530"/>
      <c r="T486" s="530"/>
      <c r="U486" s="530"/>
    </row>
    <row r="487" spans="1:21" ht="9.75" customHeight="1">
      <c r="A487" s="90"/>
      <c r="B487" s="90"/>
      <c r="C487" s="90"/>
      <c r="D487" s="90"/>
      <c r="E487" s="90"/>
      <c r="F487" s="90"/>
      <c r="G487" s="90"/>
      <c r="H487" s="90"/>
      <c r="I487" s="90"/>
      <c r="J487" s="90"/>
      <c r="K487" s="90"/>
      <c r="L487" s="90"/>
      <c r="M487" s="90"/>
      <c r="N487" s="90"/>
      <c r="O487" s="530"/>
      <c r="P487" s="530"/>
      <c r="Q487" s="530"/>
      <c r="R487" s="530"/>
      <c r="S487" s="530"/>
      <c r="T487" s="530"/>
      <c r="U487" s="530"/>
    </row>
    <row r="488" spans="1:21" ht="9.75" customHeight="1">
      <c r="A488" s="90"/>
      <c r="B488" s="90"/>
      <c r="C488" s="90"/>
      <c r="D488" s="90"/>
      <c r="E488" s="90"/>
      <c r="F488" s="90"/>
      <c r="G488" s="90"/>
      <c r="H488" s="90"/>
      <c r="I488" s="90"/>
      <c r="J488" s="90"/>
      <c r="K488" s="90"/>
      <c r="L488" s="90"/>
      <c r="M488" s="90"/>
      <c r="N488" s="90"/>
      <c r="O488" s="530"/>
      <c r="P488" s="530"/>
      <c r="Q488" s="530"/>
      <c r="R488" s="530"/>
      <c r="S488" s="530"/>
      <c r="T488" s="530"/>
      <c r="U488" s="530"/>
    </row>
    <row r="489" spans="1:21" ht="9.75" customHeight="1">
      <c r="A489" s="90"/>
      <c r="B489" s="90"/>
      <c r="C489" s="90"/>
      <c r="D489" s="90"/>
      <c r="E489" s="90"/>
      <c r="F489" s="90"/>
      <c r="G489" s="90"/>
      <c r="H489" s="90"/>
      <c r="I489" s="90"/>
      <c r="J489" s="90"/>
      <c r="K489" s="90"/>
      <c r="L489" s="90"/>
      <c r="M489" s="90"/>
      <c r="N489" s="90"/>
      <c r="O489" s="530"/>
      <c r="P489" s="530"/>
      <c r="Q489" s="530"/>
      <c r="R489" s="530"/>
      <c r="S489" s="530"/>
      <c r="T489" s="530"/>
      <c r="U489" s="530"/>
    </row>
    <row r="490" spans="1:21" ht="9.75" customHeight="1">
      <c r="A490" s="90"/>
      <c r="B490" s="90"/>
      <c r="C490" s="90"/>
      <c r="D490" s="90"/>
      <c r="E490" s="90"/>
      <c r="F490" s="90"/>
      <c r="G490" s="90"/>
      <c r="H490" s="90"/>
      <c r="I490" s="90"/>
      <c r="J490" s="90"/>
      <c r="K490" s="90"/>
      <c r="L490" s="90"/>
      <c r="M490" s="90"/>
      <c r="N490" s="90"/>
      <c r="O490" s="530"/>
      <c r="P490" s="530"/>
      <c r="Q490" s="530"/>
      <c r="R490" s="530"/>
      <c r="S490" s="530"/>
      <c r="T490" s="530"/>
      <c r="U490" s="530"/>
    </row>
    <row r="491" spans="1:21" ht="9.75" customHeight="1">
      <c r="A491" s="90"/>
      <c r="B491" s="90"/>
      <c r="C491" s="90"/>
      <c r="D491" s="90"/>
      <c r="E491" s="90"/>
      <c r="F491" s="90"/>
      <c r="G491" s="90"/>
      <c r="H491" s="90"/>
      <c r="I491" s="90"/>
      <c r="J491" s="90"/>
      <c r="K491" s="90"/>
      <c r="L491" s="90"/>
      <c r="M491" s="90"/>
      <c r="N491" s="90"/>
      <c r="O491" s="530"/>
      <c r="P491" s="530"/>
      <c r="Q491" s="530"/>
      <c r="R491" s="530"/>
      <c r="S491" s="530"/>
      <c r="T491" s="530"/>
      <c r="U491" s="530"/>
    </row>
    <row r="492" spans="1:21" ht="9.75" customHeight="1">
      <c r="A492" s="90"/>
      <c r="B492" s="90"/>
      <c r="C492" s="90"/>
      <c r="D492" s="90"/>
      <c r="E492" s="90"/>
      <c r="F492" s="90"/>
      <c r="G492" s="90"/>
      <c r="H492" s="90"/>
      <c r="I492" s="90"/>
      <c r="J492" s="90"/>
      <c r="K492" s="90"/>
      <c r="L492" s="90"/>
      <c r="M492" s="90"/>
      <c r="N492" s="90"/>
      <c r="O492" s="530"/>
      <c r="P492" s="530"/>
      <c r="Q492" s="530"/>
      <c r="R492" s="530"/>
      <c r="S492" s="530"/>
      <c r="T492" s="530"/>
      <c r="U492" s="530"/>
    </row>
    <row r="493" spans="1:21" ht="9.75" customHeight="1">
      <c r="A493" s="90"/>
      <c r="B493" s="90"/>
      <c r="C493" s="90"/>
      <c r="D493" s="90"/>
      <c r="E493" s="90"/>
      <c r="F493" s="90"/>
      <c r="G493" s="90"/>
      <c r="H493" s="90"/>
      <c r="I493" s="90"/>
      <c r="J493" s="90"/>
      <c r="K493" s="90"/>
      <c r="L493" s="90"/>
      <c r="M493" s="90"/>
      <c r="N493" s="90"/>
      <c r="O493" s="530"/>
      <c r="P493" s="530"/>
      <c r="Q493" s="530"/>
      <c r="R493" s="530"/>
      <c r="S493" s="530"/>
      <c r="T493" s="530"/>
      <c r="U493" s="530"/>
    </row>
    <row r="494" spans="1:21" ht="9.75" customHeight="1">
      <c r="A494" s="90"/>
      <c r="B494" s="90"/>
      <c r="C494" s="90"/>
      <c r="D494" s="90"/>
      <c r="E494" s="90"/>
      <c r="F494" s="90"/>
      <c r="G494" s="90"/>
      <c r="H494" s="90"/>
      <c r="I494" s="90"/>
      <c r="J494" s="90"/>
      <c r="K494" s="90"/>
      <c r="L494" s="90"/>
      <c r="M494" s="90"/>
      <c r="N494" s="90"/>
      <c r="O494" s="530"/>
      <c r="P494" s="530"/>
      <c r="Q494" s="530"/>
      <c r="R494" s="530"/>
      <c r="S494" s="530"/>
      <c r="T494" s="530"/>
      <c r="U494" s="530"/>
    </row>
    <row r="495" spans="1:21" ht="9.75" customHeight="1">
      <c r="A495" s="90"/>
      <c r="B495" s="90"/>
      <c r="C495" s="90"/>
      <c r="D495" s="90"/>
      <c r="E495" s="90"/>
      <c r="F495" s="90"/>
      <c r="G495" s="90"/>
      <c r="H495" s="90"/>
      <c r="I495" s="90"/>
      <c r="J495" s="90"/>
      <c r="K495" s="90"/>
      <c r="L495" s="90"/>
      <c r="M495" s="90"/>
      <c r="N495" s="90"/>
      <c r="O495" s="530"/>
      <c r="P495" s="530"/>
      <c r="Q495" s="530"/>
      <c r="R495" s="530"/>
      <c r="S495" s="530"/>
      <c r="T495" s="530"/>
      <c r="U495" s="530"/>
    </row>
    <row r="496" spans="1:21" ht="9.75" customHeight="1">
      <c r="A496" s="90"/>
      <c r="B496" s="90"/>
      <c r="C496" s="90"/>
      <c r="D496" s="90"/>
      <c r="E496" s="90"/>
      <c r="F496" s="90"/>
      <c r="G496" s="90"/>
      <c r="H496" s="90"/>
      <c r="I496" s="90"/>
      <c r="J496" s="90"/>
      <c r="K496" s="90"/>
      <c r="L496" s="90"/>
      <c r="M496" s="90"/>
      <c r="N496" s="90"/>
      <c r="O496" s="530"/>
      <c r="P496" s="530"/>
      <c r="Q496" s="530"/>
      <c r="R496" s="530"/>
      <c r="S496" s="530"/>
      <c r="T496" s="530"/>
      <c r="U496" s="530"/>
    </row>
    <row r="497" spans="1:21" ht="9.75" customHeight="1">
      <c r="A497" s="90"/>
      <c r="B497" s="90"/>
      <c r="C497" s="90"/>
      <c r="D497" s="90"/>
      <c r="E497" s="90"/>
      <c r="F497" s="90"/>
      <c r="G497" s="90"/>
      <c r="H497" s="90"/>
      <c r="I497" s="90"/>
      <c r="J497" s="90"/>
      <c r="K497" s="90"/>
      <c r="L497" s="90"/>
      <c r="M497" s="90"/>
      <c r="N497" s="90"/>
      <c r="O497" s="530"/>
      <c r="P497" s="530"/>
      <c r="Q497" s="530"/>
      <c r="R497" s="530"/>
      <c r="S497" s="530"/>
      <c r="T497" s="530"/>
      <c r="U497" s="530"/>
    </row>
    <row r="498" spans="1:21" ht="9.75" customHeight="1">
      <c r="A498" s="90"/>
      <c r="B498" s="90"/>
      <c r="C498" s="90"/>
      <c r="D498" s="90"/>
      <c r="E498" s="90"/>
      <c r="F498" s="90"/>
      <c r="G498" s="90"/>
      <c r="H498" s="90"/>
      <c r="I498" s="90"/>
      <c r="J498" s="90"/>
      <c r="K498" s="90"/>
      <c r="L498" s="90"/>
      <c r="M498" s="90"/>
      <c r="N498" s="90"/>
      <c r="O498" s="530"/>
      <c r="P498" s="530"/>
      <c r="Q498" s="530"/>
      <c r="R498" s="530"/>
      <c r="S498" s="530"/>
      <c r="T498" s="530"/>
      <c r="U498" s="530"/>
    </row>
    <row r="499" spans="1:21" ht="9.75" customHeight="1">
      <c r="A499" s="90"/>
      <c r="B499" s="90"/>
      <c r="C499" s="90"/>
      <c r="D499" s="90"/>
      <c r="E499" s="90"/>
      <c r="F499" s="90"/>
      <c r="G499" s="90"/>
      <c r="H499" s="90"/>
      <c r="I499" s="90"/>
      <c r="J499" s="90"/>
      <c r="K499" s="90"/>
      <c r="L499" s="90"/>
      <c r="M499" s="90"/>
      <c r="N499" s="90"/>
      <c r="O499" s="530"/>
      <c r="P499" s="530"/>
      <c r="Q499" s="530"/>
      <c r="R499" s="530"/>
      <c r="S499" s="530"/>
      <c r="T499" s="530"/>
      <c r="U499" s="530"/>
    </row>
    <row r="500" spans="1:21" ht="9.75" customHeight="1">
      <c r="A500" s="90"/>
      <c r="B500" s="90"/>
      <c r="C500" s="90"/>
      <c r="D500" s="90"/>
      <c r="E500" s="90"/>
      <c r="F500" s="90"/>
      <c r="G500" s="90"/>
      <c r="H500" s="90"/>
      <c r="I500" s="90"/>
      <c r="J500" s="90"/>
      <c r="K500" s="90"/>
      <c r="L500" s="90"/>
      <c r="M500" s="90"/>
      <c r="N500" s="90"/>
      <c r="O500" s="530"/>
      <c r="P500" s="530"/>
      <c r="Q500" s="530"/>
      <c r="R500" s="530"/>
      <c r="S500" s="530"/>
      <c r="T500" s="530"/>
      <c r="U500" s="530"/>
    </row>
    <row r="501" spans="1:21" ht="9.75" customHeight="1">
      <c r="A501" s="90"/>
      <c r="B501" s="90"/>
      <c r="C501" s="90"/>
      <c r="D501" s="90"/>
      <c r="E501" s="90"/>
      <c r="F501" s="90"/>
      <c r="G501" s="90"/>
      <c r="H501" s="90"/>
      <c r="I501" s="90"/>
      <c r="J501" s="90"/>
      <c r="K501" s="90"/>
      <c r="L501" s="90"/>
      <c r="M501" s="90"/>
      <c r="N501" s="90"/>
      <c r="O501" s="530"/>
      <c r="P501" s="530"/>
      <c r="Q501" s="530"/>
      <c r="R501" s="530"/>
      <c r="S501" s="530"/>
      <c r="T501" s="530"/>
      <c r="U501" s="530"/>
    </row>
    <row r="502" spans="1:21" ht="9.75" customHeight="1">
      <c r="A502" s="90"/>
      <c r="B502" s="90"/>
      <c r="C502" s="90"/>
      <c r="D502" s="90"/>
      <c r="E502" s="90"/>
      <c r="F502" s="90"/>
      <c r="G502" s="90"/>
      <c r="H502" s="90"/>
      <c r="I502" s="90"/>
      <c r="J502" s="90"/>
      <c r="K502" s="90"/>
      <c r="L502" s="90"/>
      <c r="M502" s="90"/>
      <c r="N502" s="90"/>
      <c r="O502" s="530"/>
      <c r="P502" s="530"/>
      <c r="Q502" s="530"/>
      <c r="R502" s="530"/>
      <c r="S502" s="530"/>
      <c r="T502" s="530"/>
      <c r="U502" s="530"/>
    </row>
    <row r="503" spans="1:21" ht="9.75" customHeight="1">
      <c r="A503" s="90"/>
      <c r="B503" s="90"/>
      <c r="C503" s="90"/>
      <c r="D503" s="90"/>
      <c r="E503" s="90"/>
      <c r="F503" s="90"/>
      <c r="G503" s="90"/>
      <c r="H503" s="90"/>
      <c r="I503" s="90"/>
      <c r="J503" s="90"/>
      <c r="K503" s="90"/>
      <c r="L503" s="90"/>
      <c r="M503" s="90"/>
      <c r="N503" s="90"/>
      <c r="O503" s="530"/>
      <c r="P503" s="530"/>
      <c r="Q503" s="530"/>
      <c r="R503" s="530"/>
      <c r="S503" s="530"/>
      <c r="T503" s="530"/>
      <c r="U503" s="530"/>
    </row>
    <row r="504" spans="1:21" ht="9.75" customHeight="1">
      <c r="A504" s="90"/>
      <c r="B504" s="90"/>
      <c r="C504" s="90"/>
      <c r="D504" s="90"/>
      <c r="E504" s="90"/>
      <c r="F504" s="90"/>
      <c r="G504" s="90"/>
      <c r="H504" s="90"/>
      <c r="I504" s="90"/>
      <c r="J504" s="90"/>
      <c r="K504" s="90"/>
      <c r="L504" s="90"/>
      <c r="M504" s="90"/>
      <c r="N504" s="90"/>
      <c r="O504" s="530"/>
      <c r="P504" s="530"/>
      <c r="Q504" s="530"/>
      <c r="R504" s="530"/>
      <c r="S504" s="530"/>
      <c r="T504" s="530"/>
      <c r="U504" s="530"/>
    </row>
    <row r="505" spans="1:21" ht="9.75" customHeight="1">
      <c r="A505" s="90"/>
      <c r="B505" s="90"/>
      <c r="C505" s="90"/>
      <c r="D505" s="90"/>
      <c r="E505" s="90"/>
      <c r="F505" s="90"/>
      <c r="G505" s="90"/>
      <c r="H505" s="90"/>
      <c r="I505" s="90"/>
      <c r="J505" s="90"/>
      <c r="K505" s="90"/>
      <c r="L505" s="90"/>
      <c r="M505" s="90"/>
      <c r="N505" s="90"/>
      <c r="O505" s="530"/>
      <c r="P505" s="530"/>
      <c r="Q505" s="530"/>
      <c r="R505" s="530"/>
      <c r="S505" s="530"/>
      <c r="T505" s="530"/>
      <c r="U505" s="530"/>
    </row>
    <row r="506" spans="1:21" ht="9.75" customHeight="1">
      <c r="A506" s="90"/>
      <c r="B506" s="90"/>
      <c r="C506" s="90"/>
      <c r="D506" s="90"/>
      <c r="E506" s="90"/>
      <c r="F506" s="90"/>
      <c r="G506" s="90"/>
      <c r="H506" s="90"/>
      <c r="I506" s="90"/>
      <c r="J506" s="90"/>
      <c r="K506" s="90"/>
      <c r="L506" s="90"/>
      <c r="M506" s="90"/>
      <c r="N506" s="90"/>
      <c r="O506" s="530"/>
      <c r="P506" s="530"/>
      <c r="Q506" s="530"/>
      <c r="R506" s="530"/>
      <c r="S506" s="530"/>
      <c r="T506" s="530"/>
      <c r="U506" s="530"/>
    </row>
    <row r="507" spans="1:21" ht="9.75" customHeight="1">
      <c r="A507" s="90"/>
      <c r="B507" s="90"/>
      <c r="C507" s="90"/>
      <c r="D507" s="90"/>
      <c r="E507" s="90"/>
      <c r="F507" s="90"/>
      <c r="G507" s="90"/>
      <c r="H507" s="90"/>
      <c r="I507" s="90"/>
      <c r="J507" s="90"/>
      <c r="K507" s="90"/>
      <c r="L507" s="90"/>
      <c r="M507" s="90"/>
      <c r="N507" s="90"/>
      <c r="O507" s="530"/>
      <c r="P507" s="530"/>
      <c r="Q507" s="530"/>
      <c r="R507" s="530"/>
      <c r="S507" s="530"/>
      <c r="T507" s="530"/>
      <c r="U507" s="530"/>
    </row>
    <row r="508" spans="1:21" ht="9.75" customHeight="1">
      <c r="A508" s="90"/>
      <c r="B508" s="90"/>
      <c r="C508" s="90"/>
      <c r="D508" s="90"/>
      <c r="E508" s="90"/>
      <c r="F508" s="90"/>
      <c r="G508" s="90"/>
      <c r="H508" s="90"/>
      <c r="I508" s="90"/>
      <c r="J508" s="90"/>
      <c r="K508" s="90"/>
      <c r="L508" s="90"/>
      <c r="M508" s="90"/>
      <c r="N508" s="90"/>
      <c r="O508" s="530"/>
      <c r="P508" s="530"/>
      <c r="Q508" s="530"/>
      <c r="R508" s="530"/>
      <c r="S508" s="530"/>
      <c r="T508" s="530"/>
      <c r="U508" s="530"/>
    </row>
    <row r="509" spans="1:21" ht="9.75" customHeight="1">
      <c r="A509" s="90"/>
      <c r="B509" s="90"/>
      <c r="C509" s="90"/>
      <c r="D509" s="90"/>
      <c r="E509" s="90"/>
      <c r="F509" s="90"/>
      <c r="G509" s="90"/>
      <c r="H509" s="90"/>
      <c r="I509" s="90"/>
      <c r="J509" s="90"/>
      <c r="K509" s="90"/>
      <c r="L509" s="90"/>
      <c r="M509" s="90"/>
      <c r="N509" s="90"/>
      <c r="O509" s="530"/>
      <c r="P509" s="530"/>
      <c r="Q509" s="530"/>
      <c r="R509" s="530"/>
      <c r="S509" s="530"/>
      <c r="T509" s="530"/>
      <c r="U509" s="530"/>
    </row>
    <row r="510" spans="1:21" ht="9.75" customHeight="1">
      <c r="A510" s="90"/>
      <c r="B510" s="90"/>
      <c r="C510" s="90"/>
      <c r="D510" s="90"/>
      <c r="E510" s="90"/>
      <c r="F510" s="90"/>
      <c r="G510" s="90"/>
      <c r="H510" s="90"/>
      <c r="I510" s="90"/>
      <c r="J510" s="90"/>
      <c r="K510" s="90"/>
      <c r="L510" s="90"/>
      <c r="M510" s="90"/>
      <c r="N510" s="90"/>
      <c r="O510" s="530"/>
      <c r="P510" s="530"/>
      <c r="Q510" s="530"/>
      <c r="R510" s="530"/>
      <c r="S510" s="530"/>
      <c r="T510" s="530"/>
      <c r="U510" s="530"/>
    </row>
    <row r="511" spans="1:21" ht="9.75" customHeight="1">
      <c r="A511" s="90"/>
      <c r="B511" s="90"/>
      <c r="C511" s="90"/>
      <c r="D511" s="90"/>
      <c r="E511" s="90"/>
      <c r="F511" s="90"/>
      <c r="G511" s="90"/>
      <c r="H511" s="90"/>
      <c r="I511" s="90"/>
      <c r="J511" s="90"/>
      <c r="K511" s="90"/>
      <c r="L511" s="90"/>
      <c r="M511" s="90"/>
      <c r="N511" s="90"/>
      <c r="O511" s="530"/>
      <c r="P511" s="530"/>
      <c r="Q511" s="530"/>
      <c r="R511" s="530"/>
      <c r="S511" s="530"/>
      <c r="T511" s="530"/>
      <c r="U511" s="530"/>
    </row>
    <row r="512" spans="1:21" ht="9.75" customHeight="1">
      <c r="A512" s="90"/>
      <c r="B512" s="90"/>
      <c r="C512" s="90"/>
      <c r="D512" s="90"/>
      <c r="E512" s="90"/>
      <c r="F512" s="90"/>
      <c r="G512" s="90"/>
      <c r="H512" s="90"/>
      <c r="I512" s="90"/>
      <c r="J512" s="90"/>
      <c r="K512" s="90"/>
      <c r="L512" s="90"/>
      <c r="M512" s="90"/>
      <c r="N512" s="90"/>
      <c r="O512" s="530"/>
      <c r="P512" s="530"/>
      <c r="Q512" s="530"/>
      <c r="R512" s="530"/>
      <c r="S512" s="530"/>
      <c r="T512" s="530"/>
      <c r="U512" s="530"/>
    </row>
    <row r="513" spans="1:21" ht="9.75" customHeight="1">
      <c r="A513" s="90"/>
      <c r="B513" s="90"/>
      <c r="C513" s="90"/>
      <c r="D513" s="90"/>
      <c r="E513" s="90"/>
      <c r="F513" s="90"/>
      <c r="G513" s="90"/>
      <c r="H513" s="90"/>
      <c r="I513" s="90"/>
      <c r="J513" s="90"/>
      <c r="K513" s="90"/>
      <c r="L513" s="90"/>
      <c r="M513" s="90"/>
      <c r="N513" s="90"/>
      <c r="O513" s="530"/>
      <c r="P513" s="530"/>
      <c r="Q513" s="530"/>
      <c r="R513" s="530"/>
      <c r="S513" s="530"/>
      <c r="T513" s="530"/>
      <c r="U513" s="530"/>
    </row>
    <row r="514" spans="1:21" ht="9.75" customHeight="1">
      <c r="A514" s="90"/>
      <c r="B514" s="90"/>
      <c r="C514" s="90"/>
      <c r="D514" s="90"/>
      <c r="E514" s="90"/>
      <c r="F514" s="90"/>
      <c r="G514" s="90"/>
      <c r="H514" s="90"/>
      <c r="I514" s="90"/>
      <c r="J514" s="90"/>
      <c r="K514" s="90"/>
      <c r="L514" s="90"/>
      <c r="M514" s="90"/>
      <c r="N514" s="90"/>
      <c r="O514" s="530"/>
      <c r="P514" s="530"/>
      <c r="Q514" s="530"/>
      <c r="R514" s="530"/>
      <c r="S514" s="530"/>
      <c r="T514" s="530"/>
      <c r="U514" s="530"/>
    </row>
    <row r="515" spans="1:21" ht="9.75" customHeight="1">
      <c r="A515" s="90"/>
      <c r="B515" s="90"/>
      <c r="C515" s="90"/>
      <c r="D515" s="90"/>
      <c r="E515" s="90"/>
      <c r="F515" s="90"/>
      <c r="G515" s="90"/>
      <c r="H515" s="90"/>
      <c r="I515" s="90"/>
      <c r="J515" s="90"/>
      <c r="K515" s="90"/>
      <c r="L515" s="90"/>
      <c r="M515" s="90"/>
      <c r="N515" s="90"/>
      <c r="O515" s="530"/>
      <c r="P515" s="530"/>
      <c r="Q515" s="530"/>
      <c r="R515" s="530"/>
      <c r="S515" s="530"/>
      <c r="T515" s="530"/>
      <c r="U515" s="530"/>
    </row>
    <row r="516" spans="1:21" ht="9.75" customHeight="1">
      <c r="A516" s="90"/>
      <c r="B516" s="90"/>
      <c r="C516" s="90"/>
      <c r="D516" s="90"/>
      <c r="E516" s="90"/>
      <c r="F516" s="90"/>
      <c r="G516" s="90"/>
      <c r="H516" s="90"/>
      <c r="I516" s="90"/>
      <c r="J516" s="90"/>
      <c r="K516" s="90"/>
      <c r="L516" s="90"/>
      <c r="M516" s="90"/>
      <c r="N516" s="90"/>
      <c r="O516" s="530"/>
      <c r="P516" s="530"/>
      <c r="Q516" s="530"/>
      <c r="R516" s="530"/>
      <c r="S516" s="530"/>
      <c r="T516" s="530"/>
      <c r="U516" s="530"/>
    </row>
    <row r="517" spans="1:21" ht="9.75" customHeight="1">
      <c r="A517" s="90"/>
      <c r="B517" s="90"/>
      <c r="C517" s="90"/>
      <c r="D517" s="90"/>
      <c r="E517" s="90"/>
      <c r="F517" s="90"/>
      <c r="G517" s="90"/>
      <c r="H517" s="90"/>
      <c r="I517" s="90"/>
      <c r="J517" s="90"/>
      <c r="K517" s="90"/>
      <c r="L517" s="90"/>
      <c r="M517" s="90"/>
      <c r="N517" s="90"/>
      <c r="O517" s="530"/>
      <c r="P517" s="530"/>
      <c r="Q517" s="530"/>
      <c r="R517" s="530"/>
      <c r="S517" s="530"/>
      <c r="T517" s="530"/>
      <c r="U517" s="530"/>
    </row>
    <row r="518" spans="1:21" ht="9.75" customHeight="1">
      <c r="A518" s="90"/>
      <c r="B518" s="90"/>
      <c r="C518" s="90"/>
      <c r="D518" s="90"/>
      <c r="E518" s="90"/>
      <c r="F518" s="90"/>
      <c r="G518" s="90"/>
      <c r="H518" s="90"/>
      <c r="I518" s="90"/>
      <c r="J518" s="90"/>
      <c r="K518" s="90"/>
      <c r="L518" s="90"/>
      <c r="M518" s="90"/>
      <c r="N518" s="90"/>
      <c r="O518" s="530"/>
      <c r="P518" s="530"/>
      <c r="Q518" s="530"/>
      <c r="R518" s="530"/>
      <c r="S518" s="530"/>
      <c r="T518" s="530"/>
      <c r="U518" s="530"/>
    </row>
    <row r="519" spans="1:21" ht="9.75" customHeight="1">
      <c r="A519" s="90"/>
      <c r="B519" s="90"/>
      <c r="C519" s="90"/>
      <c r="D519" s="90"/>
      <c r="E519" s="90"/>
      <c r="F519" s="90"/>
      <c r="G519" s="90"/>
      <c r="H519" s="90"/>
      <c r="I519" s="90"/>
      <c r="J519" s="90"/>
      <c r="K519" s="90"/>
      <c r="L519" s="90"/>
      <c r="M519" s="90"/>
      <c r="N519" s="90"/>
      <c r="O519" s="530"/>
      <c r="P519" s="530"/>
      <c r="Q519" s="530"/>
      <c r="R519" s="530"/>
      <c r="S519" s="530"/>
      <c r="T519" s="530"/>
      <c r="U519" s="530"/>
    </row>
    <row r="520" spans="1:21" ht="9.75" customHeight="1">
      <c r="A520" s="90"/>
      <c r="B520" s="90"/>
      <c r="C520" s="90"/>
      <c r="D520" s="90"/>
      <c r="E520" s="90"/>
      <c r="F520" s="90"/>
      <c r="G520" s="90"/>
      <c r="H520" s="90"/>
      <c r="I520" s="90"/>
      <c r="J520" s="90"/>
      <c r="K520" s="90"/>
      <c r="L520" s="90"/>
      <c r="M520" s="90"/>
      <c r="N520" s="90"/>
      <c r="O520" s="530"/>
      <c r="P520" s="530"/>
      <c r="Q520" s="530"/>
      <c r="R520" s="530"/>
      <c r="S520" s="530"/>
      <c r="T520" s="530"/>
      <c r="U520" s="530"/>
    </row>
    <row r="521" spans="1:21" ht="9.75" customHeight="1">
      <c r="A521" s="90"/>
      <c r="B521" s="90"/>
      <c r="C521" s="90"/>
      <c r="D521" s="90"/>
      <c r="E521" s="90"/>
      <c r="F521" s="90"/>
      <c r="G521" s="90"/>
      <c r="H521" s="90"/>
      <c r="I521" s="90"/>
      <c r="J521" s="90"/>
      <c r="K521" s="90"/>
      <c r="L521" s="90"/>
      <c r="M521" s="90"/>
      <c r="N521" s="90"/>
      <c r="O521" s="530"/>
      <c r="P521" s="530"/>
      <c r="Q521" s="530"/>
      <c r="R521" s="530"/>
      <c r="S521" s="530"/>
      <c r="T521" s="530"/>
      <c r="U521" s="530"/>
    </row>
    <row r="522" spans="1:21" ht="9.75" customHeight="1">
      <c r="A522" s="90"/>
      <c r="B522" s="90"/>
      <c r="C522" s="90"/>
      <c r="D522" s="90"/>
      <c r="E522" s="90"/>
      <c r="F522" s="90"/>
      <c r="G522" s="90"/>
      <c r="H522" s="90"/>
      <c r="I522" s="90"/>
      <c r="J522" s="90"/>
      <c r="K522" s="90"/>
      <c r="L522" s="90"/>
      <c r="M522" s="90"/>
      <c r="N522" s="90"/>
      <c r="O522" s="530"/>
      <c r="P522" s="530"/>
      <c r="Q522" s="530"/>
      <c r="R522" s="530"/>
      <c r="S522" s="530"/>
      <c r="T522" s="530"/>
      <c r="U522" s="530"/>
    </row>
    <row r="523" spans="1:21" ht="9.75" customHeight="1">
      <c r="A523" s="90"/>
      <c r="B523" s="90"/>
      <c r="C523" s="90"/>
      <c r="D523" s="90"/>
      <c r="E523" s="90"/>
      <c r="F523" s="90"/>
      <c r="G523" s="90"/>
      <c r="H523" s="90"/>
      <c r="I523" s="90"/>
      <c r="J523" s="90"/>
      <c r="K523" s="90"/>
      <c r="L523" s="90"/>
      <c r="M523" s="90"/>
      <c r="N523" s="90"/>
      <c r="O523" s="530"/>
      <c r="P523" s="530"/>
      <c r="Q523" s="530"/>
      <c r="R523" s="530"/>
      <c r="S523" s="530"/>
      <c r="T523" s="530"/>
      <c r="U523" s="530"/>
    </row>
    <row r="524" spans="1:21" ht="9.75" customHeight="1">
      <c r="A524" s="90"/>
      <c r="B524" s="90"/>
      <c r="C524" s="90"/>
      <c r="D524" s="90"/>
      <c r="E524" s="90"/>
      <c r="F524" s="90"/>
      <c r="G524" s="90"/>
      <c r="H524" s="90"/>
      <c r="I524" s="90"/>
      <c r="J524" s="90"/>
      <c r="K524" s="90"/>
      <c r="L524" s="90"/>
      <c r="M524" s="90"/>
      <c r="N524" s="90"/>
      <c r="O524" s="530"/>
      <c r="P524" s="530"/>
      <c r="Q524" s="530"/>
      <c r="R524" s="530"/>
      <c r="S524" s="530"/>
      <c r="T524" s="530"/>
      <c r="U524" s="530"/>
    </row>
    <row r="525" spans="1:21" ht="9.75" customHeight="1">
      <c r="A525" s="90"/>
      <c r="B525" s="90"/>
      <c r="C525" s="90"/>
      <c r="D525" s="90"/>
      <c r="E525" s="90"/>
      <c r="F525" s="90"/>
      <c r="G525" s="90"/>
      <c r="H525" s="90"/>
      <c r="I525" s="90"/>
      <c r="J525" s="90"/>
      <c r="K525" s="90"/>
      <c r="L525" s="90"/>
      <c r="M525" s="90"/>
      <c r="N525" s="90"/>
      <c r="O525" s="530"/>
      <c r="P525" s="530"/>
      <c r="Q525" s="530"/>
      <c r="R525" s="530"/>
      <c r="S525" s="530"/>
      <c r="T525" s="530"/>
      <c r="U525" s="530"/>
    </row>
    <row r="526" spans="1:21" ht="9.75" customHeight="1">
      <c r="A526" s="90"/>
      <c r="B526" s="90"/>
      <c r="C526" s="90"/>
      <c r="D526" s="90"/>
      <c r="E526" s="90"/>
      <c r="F526" s="90"/>
      <c r="G526" s="90"/>
      <c r="H526" s="90"/>
      <c r="I526" s="90"/>
      <c r="J526" s="90"/>
      <c r="K526" s="90"/>
      <c r="L526" s="90"/>
      <c r="M526" s="90"/>
      <c r="N526" s="90"/>
      <c r="O526" s="530"/>
      <c r="P526" s="530"/>
      <c r="Q526" s="530"/>
      <c r="R526" s="530"/>
      <c r="S526" s="530"/>
      <c r="T526" s="530"/>
      <c r="U526" s="530"/>
    </row>
    <row r="527" spans="1:21" ht="9.75" customHeight="1">
      <c r="A527" s="90"/>
      <c r="B527" s="90"/>
      <c r="C527" s="90"/>
      <c r="D527" s="90"/>
      <c r="E527" s="90"/>
      <c r="F527" s="90"/>
      <c r="G527" s="90"/>
      <c r="H527" s="90"/>
      <c r="I527" s="90"/>
      <c r="J527" s="90"/>
      <c r="K527" s="90"/>
      <c r="L527" s="90"/>
      <c r="M527" s="90"/>
      <c r="N527" s="90"/>
      <c r="O527" s="530"/>
      <c r="P527" s="530"/>
      <c r="Q527" s="530"/>
      <c r="R527" s="530"/>
      <c r="S527" s="530"/>
      <c r="T527" s="530"/>
      <c r="U527" s="530"/>
    </row>
    <row r="528" spans="1:21" ht="9.75" customHeight="1">
      <c r="A528" s="90"/>
      <c r="B528" s="90"/>
      <c r="C528" s="90"/>
      <c r="D528" s="90"/>
      <c r="E528" s="90"/>
      <c r="F528" s="90"/>
      <c r="G528" s="90"/>
      <c r="H528" s="90"/>
      <c r="I528" s="90"/>
      <c r="J528" s="90"/>
      <c r="K528" s="90"/>
      <c r="L528" s="90"/>
      <c r="M528" s="90"/>
      <c r="N528" s="90"/>
      <c r="O528" s="530"/>
      <c r="P528" s="530"/>
      <c r="Q528" s="530"/>
      <c r="R528" s="530"/>
      <c r="S528" s="530"/>
      <c r="T528" s="530"/>
      <c r="U528" s="530"/>
    </row>
    <row r="529" spans="1:21" ht="9.75" customHeight="1">
      <c r="A529" s="90"/>
      <c r="B529" s="90"/>
      <c r="C529" s="90"/>
      <c r="D529" s="90"/>
      <c r="E529" s="90"/>
      <c r="F529" s="90"/>
      <c r="G529" s="90"/>
      <c r="H529" s="90"/>
      <c r="I529" s="90"/>
      <c r="J529" s="90"/>
      <c r="K529" s="90"/>
      <c r="L529" s="90"/>
      <c r="M529" s="90"/>
      <c r="N529" s="90"/>
      <c r="O529" s="530"/>
      <c r="P529" s="530"/>
      <c r="Q529" s="530"/>
      <c r="R529" s="530"/>
      <c r="S529" s="530"/>
      <c r="T529" s="530"/>
      <c r="U529" s="530"/>
    </row>
    <row r="530" spans="1:21" ht="9.75" customHeight="1">
      <c r="A530" s="90"/>
      <c r="B530" s="90"/>
      <c r="C530" s="90"/>
      <c r="D530" s="90"/>
      <c r="E530" s="90"/>
      <c r="F530" s="90"/>
      <c r="G530" s="90"/>
      <c r="H530" s="90"/>
      <c r="I530" s="90"/>
      <c r="J530" s="90"/>
      <c r="K530" s="90"/>
      <c r="L530" s="90"/>
      <c r="M530" s="90"/>
      <c r="N530" s="90"/>
      <c r="O530" s="530"/>
      <c r="P530" s="530"/>
      <c r="Q530" s="530"/>
      <c r="R530" s="530"/>
      <c r="S530" s="530"/>
      <c r="T530" s="530"/>
      <c r="U530" s="530"/>
    </row>
    <row r="531" spans="1:21" ht="9.75" customHeight="1">
      <c r="A531" s="90"/>
      <c r="B531" s="90"/>
      <c r="C531" s="90"/>
      <c r="D531" s="90"/>
      <c r="E531" s="90"/>
      <c r="F531" s="90"/>
      <c r="G531" s="90"/>
      <c r="H531" s="90"/>
      <c r="I531" s="90"/>
      <c r="J531" s="90"/>
      <c r="K531" s="90"/>
      <c r="L531" s="90"/>
      <c r="M531" s="90"/>
      <c r="N531" s="90"/>
      <c r="O531" s="530"/>
      <c r="P531" s="530"/>
      <c r="Q531" s="530"/>
      <c r="R531" s="530"/>
      <c r="S531" s="530"/>
      <c r="T531" s="530"/>
      <c r="U531" s="530"/>
    </row>
    <row r="532" spans="1:21" ht="9.75" customHeight="1">
      <c r="A532" s="90"/>
      <c r="B532" s="90"/>
      <c r="C532" s="90"/>
      <c r="D532" s="90"/>
      <c r="E532" s="90"/>
      <c r="F532" s="90"/>
      <c r="G532" s="90"/>
      <c r="H532" s="90"/>
      <c r="I532" s="90"/>
      <c r="J532" s="90"/>
      <c r="K532" s="90"/>
      <c r="L532" s="90"/>
      <c r="M532" s="90"/>
      <c r="N532" s="90"/>
      <c r="O532" s="530"/>
      <c r="P532" s="530"/>
      <c r="Q532" s="530"/>
      <c r="R532" s="530"/>
      <c r="S532" s="530"/>
      <c r="T532" s="530"/>
      <c r="U532" s="530"/>
    </row>
    <row r="533" spans="1:21" ht="9.75" customHeight="1">
      <c r="A533" s="90"/>
      <c r="B533" s="90"/>
      <c r="C533" s="90"/>
      <c r="D533" s="90"/>
      <c r="E533" s="90"/>
      <c r="F533" s="90"/>
      <c r="G533" s="90"/>
      <c r="H533" s="90"/>
      <c r="I533" s="90"/>
      <c r="J533" s="90"/>
      <c r="K533" s="90"/>
      <c r="L533" s="90"/>
      <c r="M533" s="90"/>
      <c r="N533" s="90"/>
      <c r="O533" s="530"/>
      <c r="P533" s="530"/>
      <c r="Q533" s="530"/>
      <c r="R533" s="530"/>
      <c r="S533" s="530"/>
      <c r="T533" s="530"/>
      <c r="U533" s="530"/>
    </row>
    <row r="534" spans="1:21" ht="9.75" customHeight="1">
      <c r="A534" s="90"/>
      <c r="B534" s="90"/>
      <c r="C534" s="90"/>
      <c r="D534" s="90"/>
      <c r="E534" s="90"/>
      <c r="F534" s="90"/>
      <c r="G534" s="90"/>
      <c r="H534" s="90"/>
      <c r="I534" s="90"/>
      <c r="J534" s="90"/>
      <c r="K534" s="90"/>
      <c r="L534" s="90"/>
      <c r="M534" s="90"/>
      <c r="N534" s="90"/>
      <c r="O534" s="530"/>
      <c r="P534" s="530"/>
      <c r="Q534" s="530"/>
      <c r="R534" s="530"/>
      <c r="S534" s="530"/>
      <c r="T534" s="530"/>
      <c r="U534" s="530"/>
    </row>
    <row r="535" spans="1:21" ht="9.75" customHeight="1">
      <c r="A535" s="90"/>
      <c r="B535" s="90"/>
      <c r="C535" s="90"/>
      <c r="D535" s="90"/>
      <c r="E535" s="90"/>
      <c r="F535" s="90"/>
      <c r="G535" s="90"/>
      <c r="H535" s="90"/>
      <c r="I535" s="90"/>
      <c r="J535" s="90"/>
      <c r="K535" s="90"/>
      <c r="L535" s="90"/>
      <c r="M535" s="90"/>
      <c r="N535" s="90"/>
      <c r="O535" s="530"/>
      <c r="P535" s="530"/>
      <c r="Q535" s="530"/>
      <c r="R535" s="530"/>
      <c r="S535" s="530"/>
      <c r="T535" s="530"/>
      <c r="U535" s="530"/>
    </row>
    <row r="536" spans="1:21" ht="9.75" customHeight="1">
      <c r="A536" s="90"/>
      <c r="B536" s="90"/>
      <c r="C536" s="90"/>
      <c r="D536" s="90"/>
      <c r="E536" s="90"/>
      <c r="F536" s="90"/>
      <c r="G536" s="90"/>
      <c r="H536" s="90"/>
      <c r="I536" s="90"/>
      <c r="J536" s="90"/>
      <c r="K536" s="90"/>
      <c r="L536" s="90"/>
      <c r="M536" s="90"/>
      <c r="N536" s="90"/>
      <c r="O536" s="530"/>
      <c r="P536" s="530"/>
      <c r="Q536" s="530"/>
      <c r="R536" s="530"/>
      <c r="S536" s="530"/>
      <c r="T536" s="530"/>
      <c r="U536" s="530"/>
    </row>
    <row r="537" spans="1:21" ht="9.75" customHeight="1">
      <c r="A537" s="90"/>
      <c r="B537" s="90"/>
      <c r="C537" s="90"/>
      <c r="D537" s="90"/>
      <c r="E537" s="90"/>
      <c r="F537" s="90"/>
      <c r="G537" s="90"/>
      <c r="H537" s="90"/>
      <c r="I537" s="90"/>
      <c r="J537" s="90"/>
      <c r="K537" s="90"/>
      <c r="L537" s="90"/>
      <c r="M537" s="90"/>
      <c r="N537" s="90"/>
      <c r="O537" s="530"/>
      <c r="P537" s="530"/>
      <c r="Q537" s="530"/>
      <c r="R537" s="530"/>
      <c r="S537" s="530"/>
      <c r="T537" s="530"/>
      <c r="U537" s="530"/>
    </row>
    <row r="538" spans="1:21" ht="9.75" customHeight="1">
      <c r="A538" s="90"/>
      <c r="B538" s="90"/>
      <c r="C538" s="90"/>
      <c r="D538" s="90"/>
      <c r="E538" s="90"/>
      <c r="F538" s="90"/>
      <c r="G538" s="90"/>
      <c r="H538" s="90"/>
      <c r="I538" s="90"/>
      <c r="J538" s="90"/>
      <c r="K538" s="90"/>
      <c r="L538" s="90"/>
      <c r="M538" s="90"/>
      <c r="N538" s="90"/>
      <c r="O538" s="530"/>
      <c r="P538" s="530"/>
      <c r="Q538" s="530"/>
      <c r="R538" s="530"/>
      <c r="S538" s="530"/>
      <c r="T538" s="530"/>
      <c r="U538" s="530"/>
    </row>
    <row r="539" spans="1:21" ht="9.75" customHeight="1">
      <c r="A539" s="90"/>
      <c r="B539" s="90"/>
      <c r="C539" s="90"/>
      <c r="D539" s="90"/>
      <c r="E539" s="90"/>
      <c r="F539" s="90"/>
      <c r="G539" s="90"/>
      <c r="H539" s="90"/>
      <c r="I539" s="90"/>
      <c r="J539" s="90"/>
      <c r="K539" s="90"/>
      <c r="L539" s="90"/>
      <c r="M539" s="90"/>
      <c r="N539" s="90"/>
      <c r="O539" s="530"/>
      <c r="P539" s="530"/>
      <c r="Q539" s="530"/>
      <c r="R539" s="530"/>
      <c r="S539" s="530"/>
      <c r="T539" s="530"/>
      <c r="U539" s="530"/>
    </row>
    <row r="540" spans="1:21" ht="9.75" customHeight="1">
      <c r="A540" s="90"/>
      <c r="B540" s="90"/>
      <c r="C540" s="90"/>
      <c r="D540" s="90"/>
      <c r="E540" s="90"/>
      <c r="F540" s="90"/>
      <c r="G540" s="90"/>
      <c r="H540" s="90"/>
      <c r="I540" s="90"/>
      <c r="J540" s="90"/>
      <c r="K540" s="90"/>
      <c r="L540" s="90"/>
      <c r="M540" s="90"/>
      <c r="N540" s="90"/>
      <c r="O540" s="530"/>
      <c r="P540" s="530"/>
      <c r="Q540" s="530"/>
      <c r="R540" s="530"/>
      <c r="S540" s="530"/>
      <c r="T540" s="530"/>
      <c r="U540" s="530"/>
    </row>
    <row r="541" spans="1:21" ht="9.75" customHeight="1">
      <c r="A541" s="90"/>
      <c r="B541" s="90"/>
      <c r="C541" s="90"/>
      <c r="D541" s="90"/>
      <c r="E541" s="90"/>
      <c r="F541" s="90"/>
      <c r="G541" s="90"/>
      <c r="H541" s="90"/>
      <c r="I541" s="90"/>
      <c r="J541" s="90"/>
      <c r="K541" s="90"/>
      <c r="L541" s="90"/>
      <c r="M541" s="90"/>
      <c r="N541" s="90"/>
      <c r="O541" s="530"/>
      <c r="P541" s="530"/>
      <c r="Q541" s="530"/>
      <c r="R541" s="530"/>
      <c r="S541" s="530"/>
      <c r="T541" s="530"/>
      <c r="U541" s="530"/>
    </row>
    <row r="542" spans="1:21" ht="9.75" customHeight="1">
      <c r="A542" s="90"/>
      <c r="B542" s="90"/>
      <c r="C542" s="90"/>
      <c r="D542" s="90"/>
      <c r="E542" s="90"/>
      <c r="F542" s="90"/>
      <c r="G542" s="90"/>
      <c r="H542" s="90"/>
      <c r="I542" s="90"/>
      <c r="J542" s="90"/>
      <c r="K542" s="90"/>
      <c r="L542" s="90"/>
      <c r="M542" s="90"/>
      <c r="N542" s="90"/>
      <c r="O542" s="530"/>
      <c r="P542" s="530"/>
      <c r="Q542" s="530"/>
      <c r="R542" s="530"/>
      <c r="S542" s="530"/>
      <c r="T542" s="530"/>
      <c r="U542" s="530"/>
    </row>
    <row r="543" spans="1:21" ht="9.75" customHeight="1">
      <c r="A543" s="90"/>
      <c r="B543" s="90"/>
      <c r="C543" s="90"/>
      <c r="D543" s="90"/>
      <c r="E543" s="90"/>
      <c r="F543" s="90"/>
      <c r="G543" s="90"/>
      <c r="H543" s="90"/>
      <c r="I543" s="90"/>
      <c r="J543" s="90"/>
      <c r="K543" s="90"/>
      <c r="L543" s="90"/>
      <c r="M543" s="90"/>
      <c r="N543" s="90"/>
      <c r="O543" s="530"/>
      <c r="P543" s="530"/>
      <c r="Q543" s="530"/>
      <c r="R543" s="530"/>
      <c r="S543" s="530"/>
      <c r="T543" s="530"/>
      <c r="U543" s="530"/>
    </row>
    <row r="544" spans="1:21" ht="9.75" customHeight="1">
      <c r="A544" s="90"/>
      <c r="B544" s="90"/>
      <c r="C544" s="90"/>
      <c r="D544" s="90"/>
      <c r="E544" s="90"/>
      <c r="F544" s="90"/>
      <c r="G544" s="90"/>
      <c r="H544" s="90"/>
      <c r="I544" s="90"/>
      <c r="J544" s="90"/>
      <c r="K544" s="90"/>
      <c r="L544" s="90"/>
      <c r="M544" s="90"/>
      <c r="N544" s="90"/>
      <c r="O544" s="530"/>
      <c r="P544" s="530"/>
      <c r="Q544" s="530"/>
      <c r="R544" s="530"/>
      <c r="S544" s="530"/>
      <c r="T544" s="530"/>
      <c r="U544" s="530"/>
    </row>
    <row r="545" spans="1:21" ht="9.75" customHeight="1">
      <c r="A545" s="90"/>
      <c r="B545" s="90"/>
      <c r="C545" s="90"/>
      <c r="D545" s="90"/>
      <c r="E545" s="90"/>
      <c r="F545" s="90"/>
      <c r="G545" s="90"/>
      <c r="H545" s="90"/>
      <c r="I545" s="90"/>
      <c r="J545" s="90"/>
      <c r="K545" s="90"/>
      <c r="L545" s="90"/>
      <c r="M545" s="90"/>
      <c r="N545" s="90"/>
      <c r="O545" s="530"/>
      <c r="P545" s="530"/>
      <c r="Q545" s="530"/>
      <c r="R545" s="530"/>
      <c r="S545" s="530"/>
      <c r="T545" s="530"/>
      <c r="U545" s="530"/>
    </row>
    <row r="546" spans="1:21" ht="9.75" customHeight="1">
      <c r="A546" s="90"/>
      <c r="B546" s="90"/>
      <c r="C546" s="90"/>
      <c r="D546" s="90"/>
      <c r="E546" s="90"/>
      <c r="F546" s="90"/>
      <c r="G546" s="90"/>
      <c r="H546" s="90"/>
      <c r="I546" s="90"/>
      <c r="J546" s="90"/>
      <c r="K546" s="90"/>
      <c r="L546" s="90"/>
      <c r="M546" s="90"/>
      <c r="N546" s="90"/>
      <c r="O546" s="530"/>
      <c r="P546" s="530"/>
      <c r="Q546" s="530"/>
      <c r="R546" s="530"/>
      <c r="S546" s="530"/>
      <c r="T546" s="530"/>
      <c r="U546" s="530"/>
    </row>
    <row r="547" spans="1:21" ht="9.75" customHeight="1">
      <c r="A547" s="90"/>
      <c r="B547" s="90"/>
      <c r="C547" s="90"/>
      <c r="D547" s="90"/>
      <c r="E547" s="90"/>
      <c r="F547" s="90"/>
      <c r="G547" s="90"/>
      <c r="H547" s="90"/>
      <c r="I547" s="90"/>
      <c r="J547" s="90"/>
      <c r="K547" s="90"/>
      <c r="L547" s="90"/>
      <c r="M547" s="90"/>
      <c r="N547" s="90"/>
      <c r="O547" s="530"/>
      <c r="P547" s="530"/>
      <c r="Q547" s="530"/>
      <c r="R547" s="530"/>
      <c r="S547" s="530"/>
      <c r="T547" s="530"/>
      <c r="U547" s="530"/>
    </row>
    <row r="548" spans="1:21" ht="9.75" customHeight="1">
      <c r="A548" s="90"/>
      <c r="B548" s="90"/>
      <c r="C548" s="90"/>
      <c r="D548" s="90"/>
      <c r="E548" s="90"/>
      <c r="F548" s="90"/>
      <c r="G548" s="90"/>
      <c r="H548" s="90"/>
      <c r="I548" s="90"/>
      <c r="J548" s="90"/>
      <c r="K548" s="90"/>
      <c r="L548" s="90"/>
      <c r="M548" s="90"/>
      <c r="N548" s="90"/>
      <c r="O548" s="530"/>
      <c r="P548" s="530"/>
      <c r="Q548" s="530"/>
      <c r="R548" s="530"/>
      <c r="S548" s="530"/>
      <c r="T548" s="530"/>
      <c r="U548" s="530"/>
    </row>
    <row r="549" spans="1:21" ht="9.75" customHeight="1">
      <c r="A549" s="90"/>
      <c r="B549" s="90"/>
      <c r="C549" s="90"/>
      <c r="D549" s="90"/>
      <c r="E549" s="90"/>
      <c r="F549" s="90"/>
      <c r="G549" s="90"/>
      <c r="H549" s="90"/>
      <c r="I549" s="90"/>
      <c r="J549" s="90"/>
      <c r="K549" s="90"/>
      <c r="L549" s="90"/>
      <c r="M549" s="90"/>
      <c r="N549" s="90"/>
      <c r="O549" s="530"/>
      <c r="P549" s="530"/>
      <c r="Q549" s="530"/>
      <c r="R549" s="530"/>
      <c r="S549" s="530"/>
      <c r="T549" s="530"/>
      <c r="U549" s="530"/>
    </row>
    <row r="550" spans="1:21" ht="9.75" customHeight="1">
      <c r="A550" s="90"/>
      <c r="B550" s="90"/>
      <c r="C550" s="90"/>
      <c r="D550" s="90"/>
      <c r="E550" s="90"/>
      <c r="F550" s="90"/>
      <c r="G550" s="90"/>
      <c r="H550" s="90"/>
      <c r="I550" s="90"/>
      <c r="J550" s="90"/>
      <c r="K550" s="90"/>
      <c r="L550" s="90"/>
      <c r="M550" s="90"/>
      <c r="N550" s="90"/>
      <c r="O550" s="530"/>
      <c r="P550" s="530"/>
      <c r="Q550" s="530"/>
      <c r="R550" s="530"/>
      <c r="S550" s="530"/>
      <c r="T550" s="530"/>
      <c r="U550" s="530"/>
    </row>
    <row r="551" spans="1:21" ht="9.75" customHeight="1">
      <c r="A551" s="90"/>
      <c r="B551" s="90"/>
      <c r="C551" s="90"/>
      <c r="D551" s="90"/>
      <c r="E551" s="90"/>
      <c r="F551" s="90"/>
      <c r="G551" s="90"/>
      <c r="H551" s="90"/>
      <c r="I551" s="90"/>
      <c r="J551" s="90"/>
      <c r="K551" s="90"/>
      <c r="L551" s="90"/>
      <c r="M551" s="90"/>
      <c r="N551" s="90"/>
      <c r="O551" s="530"/>
      <c r="P551" s="530"/>
      <c r="Q551" s="530"/>
      <c r="R551" s="530"/>
      <c r="S551" s="530"/>
      <c r="T551" s="530"/>
      <c r="U551" s="530"/>
    </row>
    <row r="552" spans="1:21" ht="9.75" customHeight="1">
      <c r="A552" s="90"/>
      <c r="B552" s="90"/>
      <c r="C552" s="90"/>
      <c r="D552" s="90"/>
      <c r="E552" s="90"/>
      <c r="F552" s="90"/>
      <c r="G552" s="90"/>
      <c r="H552" s="90"/>
      <c r="I552" s="90"/>
      <c r="J552" s="90"/>
      <c r="K552" s="90"/>
      <c r="L552" s="90"/>
      <c r="M552" s="90"/>
      <c r="N552" s="90"/>
      <c r="O552" s="530"/>
      <c r="P552" s="530"/>
      <c r="Q552" s="530"/>
      <c r="R552" s="530"/>
      <c r="S552" s="530"/>
      <c r="T552" s="530"/>
      <c r="U552" s="530"/>
    </row>
    <row r="553" spans="1:21" ht="9.75" customHeight="1">
      <c r="A553" s="90"/>
      <c r="B553" s="90"/>
      <c r="C553" s="90"/>
      <c r="D553" s="90"/>
      <c r="E553" s="90"/>
      <c r="F553" s="90"/>
      <c r="G553" s="90"/>
      <c r="H553" s="90"/>
      <c r="I553" s="90"/>
      <c r="J553" s="90"/>
      <c r="K553" s="90"/>
      <c r="L553" s="90"/>
      <c r="M553" s="90"/>
      <c r="N553" s="90"/>
      <c r="O553" s="530"/>
      <c r="P553" s="530"/>
      <c r="Q553" s="530"/>
      <c r="R553" s="530"/>
      <c r="S553" s="530"/>
      <c r="T553" s="530"/>
      <c r="U553" s="530"/>
    </row>
    <row r="554" spans="1:21" ht="9.75" customHeight="1">
      <c r="A554" s="90"/>
      <c r="B554" s="90"/>
      <c r="C554" s="90"/>
      <c r="D554" s="90"/>
      <c r="E554" s="90"/>
      <c r="F554" s="90"/>
      <c r="G554" s="90"/>
      <c r="H554" s="90"/>
      <c r="I554" s="90"/>
      <c r="J554" s="90"/>
      <c r="K554" s="90"/>
      <c r="L554" s="90"/>
      <c r="M554" s="90"/>
      <c r="N554" s="90"/>
      <c r="O554" s="530"/>
      <c r="P554" s="530"/>
      <c r="Q554" s="530"/>
      <c r="R554" s="530"/>
      <c r="S554" s="530"/>
      <c r="T554" s="530"/>
      <c r="U554" s="530"/>
    </row>
    <row r="555" spans="1:21" ht="9.75" customHeight="1">
      <c r="A555" s="90"/>
      <c r="B555" s="90"/>
      <c r="C555" s="90"/>
      <c r="D555" s="90"/>
      <c r="E555" s="90"/>
      <c r="F555" s="90"/>
      <c r="G555" s="90"/>
      <c r="H555" s="90"/>
      <c r="I555" s="90"/>
      <c r="J555" s="90"/>
      <c r="K555" s="90"/>
      <c r="L555" s="90"/>
      <c r="M555" s="90"/>
      <c r="N555" s="90"/>
      <c r="O555" s="530"/>
      <c r="P555" s="530"/>
      <c r="Q555" s="530"/>
      <c r="R555" s="530"/>
      <c r="S555" s="530"/>
      <c r="T555" s="530"/>
      <c r="U555" s="530"/>
    </row>
    <row r="556" spans="1:21" ht="9.75" customHeight="1">
      <c r="A556" s="90"/>
      <c r="B556" s="90"/>
      <c r="C556" s="90"/>
      <c r="D556" s="90"/>
      <c r="E556" s="90"/>
      <c r="F556" s="90"/>
      <c r="G556" s="90"/>
      <c r="H556" s="90"/>
      <c r="I556" s="90"/>
      <c r="J556" s="90"/>
      <c r="K556" s="90"/>
      <c r="L556" s="90"/>
      <c r="M556" s="90"/>
      <c r="N556" s="90"/>
      <c r="O556" s="530"/>
      <c r="P556" s="530"/>
      <c r="Q556" s="530"/>
      <c r="R556" s="530"/>
      <c r="S556" s="530"/>
      <c r="T556" s="530"/>
      <c r="U556" s="530"/>
    </row>
    <row r="557" spans="1:21" ht="9.75" customHeight="1">
      <c r="A557" s="90"/>
      <c r="B557" s="90"/>
      <c r="C557" s="90"/>
      <c r="D557" s="90"/>
      <c r="E557" s="90"/>
      <c r="F557" s="90"/>
      <c r="G557" s="90"/>
      <c r="H557" s="90"/>
      <c r="I557" s="90"/>
      <c r="J557" s="90"/>
      <c r="K557" s="90"/>
      <c r="L557" s="90"/>
      <c r="M557" s="90"/>
      <c r="N557" s="90"/>
      <c r="O557" s="530"/>
      <c r="P557" s="530"/>
      <c r="Q557" s="530"/>
      <c r="R557" s="530"/>
      <c r="S557" s="530"/>
      <c r="T557" s="530"/>
      <c r="U557" s="530"/>
    </row>
    <row r="558" spans="1:21" ht="9.75" customHeight="1">
      <c r="A558" s="90"/>
      <c r="B558" s="90"/>
      <c r="C558" s="90"/>
      <c r="D558" s="90"/>
      <c r="E558" s="90"/>
      <c r="F558" s="90"/>
      <c r="G558" s="90"/>
      <c r="H558" s="90"/>
      <c r="I558" s="90"/>
      <c r="J558" s="90"/>
      <c r="K558" s="90"/>
      <c r="L558" s="90"/>
      <c r="M558" s="90"/>
      <c r="N558" s="90"/>
      <c r="O558" s="530"/>
      <c r="P558" s="530"/>
      <c r="Q558" s="530"/>
      <c r="R558" s="530"/>
      <c r="S558" s="530"/>
      <c r="T558" s="530"/>
      <c r="U558" s="530"/>
    </row>
    <row r="559" spans="1:21" ht="9.75" customHeight="1">
      <c r="A559" s="90"/>
      <c r="B559" s="90"/>
      <c r="C559" s="90"/>
      <c r="D559" s="90"/>
      <c r="E559" s="90"/>
      <c r="F559" s="90"/>
      <c r="G559" s="90"/>
      <c r="H559" s="90"/>
      <c r="I559" s="90"/>
      <c r="J559" s="90"/>
      <c r="K559" s="90"/>
      <c r="L559" s="90"/>
      <c r="M559" s="90"/>
      <c r="N559" s="90"/>
      <c r="O559" s="530"/>
      <c r="P559" s="530"/>
      <c r="Q559" s="530"/>
      <c r="R559" s="530"/>
      <c r="S559" s="530"/>
      <c r="T559" s="530"/>
      <c r="U559" s="530"/>
    </row>
    <row r="560" spans="1:21" ht="9.75" customHeight="1">
      <c r="A560" s="90"/>
      <c r="B560" s="90"/>
      <c r="C560" s="90"/>
      <c r="D560" s="90"/>
      <c r="E560" s="90"/>
      <c r="F560" s="90"/>
      <c r="G560" s="90"/>
      <c r="H560" s="90"/>
      <c r="I560" s="90"/>
      <c r="J560" s="90"/>
      <c r="K560" s="90"/>
      <c r="L560" s="90"/>
      <c r="M560" s="90"/>
      <c r="N560" s="90"/>
      <c r="O560" s="530"/>
      <c r="P560" s="530"/>
      <c r="Q560" s="530"/>
      <c r="R560" s="530"/>
      <c r="S560" s="530"/>
      <c r="T560" s="530"/>
      <c r="U560" s="530"/>
    </row>
    <row r="561" spans="1:21" ht="9.75" customHeight="1">
      <c r="A561" s="90"/>
      <c r="B561" s="90"/>
      <c r="C561" s="90"/>
      <c r="D561" s="90"/>
      <c r="E561" s="90"/>
      <c r="F561" s="90"/>
      <c r="G561" s="90"/>
      <c r="H561" s="90"/>
      <c r="I561" s="90"/>
      <c r="J561" s="90"/>
      <c r="K561" s="90"/>
      <c r="L561" s="90"/>
      <c r="M561" s="90"/>
      <c r="N561" s="90"/>
      <c r="O561" s="530"/>
      <c r="P561" s="530"/>
      <c r="Q561" s="530"/>
      <c r="R561" s="530"/>
      <c r="S561" s="530"/>
      <c r="T561" s="530"/>
      <c r="U561" s="530"/>
    </row>
    <row r="562" spans="1:21" ht="9.75" customHeight="1">
      <c r="A562" s="90"/>
      <c r="B562" s="90"/>
      <c r="C562" s="90"/>
      <c r="D562" s="90"/>
      <c r="E562" s="90"/>
      <c r="F562" s="90"/>
      <c r="G562" s="90"/>
      <c r="H562" s="90"/>
      <c r="I562" s="90"/>
      <c r="J562" s="90"/>
      <c r="K562" s="90"/>
      <c r="L562" s="90"/>
      <c r="M562" s="90"/>
      <c r="N562" s="90"/>
      <c r="O562" s="530"/>
      <c r="P562" s="530"/>
      <c r="Q562" s="530"/>
      <c r="R562" s="530"/>
      <c r="S562" s="530"/>
      <c r="T562" s="530"/>
      <c r="U562" s="530"/>
    </row>
    <row r="563" spans="1:21" ht="9.75" customHeight="1">
      <c r="A563" s="90"/>
      <c r="B563" s="90"/>
      <c r="C563" s="90"/>
      <c r="D563" s="90"/>
      <c r="E563" s="90"/>
      <c r="F563" s="90"/>
      <c r="G563" s="90"/>
      <c r="H563" s="90"/>
      <c r="I563" s="90"/>
      <c r="J563" s="90"/>
      <c r="K563" s="90"/>
      <c r="L563" s="90"/>
      <c r="M563" s="90"/>
      <c r="N563" s="90"/>
      <c r="O563" s="530"/>
      <c r="P563" s="530"/>
      <c r="Q563" s="530"/>
      <c r="R563" s="530"/>
      <c r="S563" s="530"/>
      <c r="T563" s="530"/>
      <c r="U563" s="530"/>
    </row>
    <row r="564" spans="1:21" ht="9.75" customHeight="1">
      <c r="A564" s="90"/>
      <c r="B564" s="90"/>
      <c r="C564" s="90"/>
      <c r="D564" s="90"/>
      <c r="E564" s="90"/>
      <c r="F564" s="90"/>
      <c r="G564" s="90"/>
      <c r="H564" s="90"/>
      <c r="I564" s="90"/>
      <c r="J564" s="90"/>
      <c r="K564" s="90"/>
      <c r="L564" s="90"/>
      <c r="M564" s="90"/>
      <c r="N564" s="90"/>
      <c r="O564" s="530"/>
      <c r="P564" s="530"/>
      <c r="Q564" s="530"/>
      <c r="R564" s="530"/>
      <c r="S564" s="530"/>
      <c r="T564" s="530"/>
      <c r="U564" s="530"/>
    </row>
    <row r="565" spans="1:21" ht="9.75" customHeight="1">
      <c r="A565" s="90"/>
      <c r="B565" s="90"/>
      <c r="C565" s="90"/>
      <c r="D565" s="90"/>
      <c r="E565" s="90"/>
      <c r="F565" s="90"/>
      <c r="G565" s="90"/>
      <c r="H565" s="90"/>
      <c r="I565" s="90"/>
      <c r="J565" s="90"/>
      <c r="K565" s="90"/>
      <c r="L565" s="90"/>
      <c r="M565" s="90"/>
      <c r="N565" s="90"/>
      <c r="O565" s="530"/>
      <c r="P565" s="530"/>
      <c r="Q565" s="530"/>
      <c r="R565" s="530"/>
      <c r="S565" s="530"/>
      <c r="T565" s="530"/>
      <c r="U565" s="530"/>
    </row>
    <row r="566" spans="1:21" ht="9.75" customHeight="1">
      <c r="A566" s="90"/>
      <c r="B566" s="90"/>
      <c r="C566" s="90"/>
      <c r="D566" s="90"/>
      <c r="E566" s="90"/>
      <c r="F566" s="90"/>
      <c r="G566" s="90"/>
      <c r="H566" s="90"/>
      <c r="I566" s="90"/>
      <c r="J566" s="90"/>
      <c r="K566" s="90"/>
      <c r="L566" s="90"/>
      <c r="M566" s="90"/>
      <c r="N566" s="90"/>
      <c r="O566" s="530"/>
      <c r="P566" s="530"/>
      <c r="Q566" s="530"/>
      <c r="R566" s="530"/>
      <c r="S566" s="530"/>
      <c r="T566" s="530"/>
      <c r="U566" s="530"/>
    </row>
    <row r="567" spans="1:21" ht="9.75" customHeight="1">
      <c r="A567" s="90"/>
      <c r="B567" s="90"/>
      <c r="C567" s="90"/>
      <c r="D567" s="90"/>
      <c r="E567" s="90"/>
      <c r="F567" s="90"/>
      <c r="G567" s="90"/>
      <c r="H567" s="90"/>
      <c r="I567" s="90"/>
      <c r="J567" s="90"/>
      <c r="K567" s="90"/>
      <c r="L567" s="90"/>
      <c r="M567" s="90"/>
      <c r="N567" s="90"/>
      <c r="O567" s="530"/>
      <c r="P567" s="530"/>
      <c r="Q567" s="530"/>
      <c r="R567" s="530"/>
      <c r="S567" s="530"/>
      <c r="T567" s="530"/>
      <c r="U567" s="530"/>
    </row>
    <row r="568" spans="1:21" ht="9.75" customHeight="1">
      <c r="A568" s="90"/>
      <c r="B568" s="90"/>
      <c r="C568" s="90"/>
      <c r="D568" s="90"/>
      <c r="E568" s="90"/>
      <c r="F568" s="90"/>
      <c r="G568" s="90"/>
      <c r="H568" s="90"/>
      <c r="I568" s="90"/>
      <c r="J568" s="90"/>
      <c r="K568" s="90"/>
      <c r="L568" s="90"/>
      <c r="M568" s="90"/>
      <c r="N568" s="90"/>
      <c r="O568" s="530"/>
      <c r="P568" s="530"/>
      <c r="Q568" s="530"/>
      <c r="R568" s="530"/>
      <c r="S568" s="530"/>
      <c r="T568" s="530"/>
      <c r="U568" s="530"/>
    </row>
    <row r="569" spans="1:21" ht="9.75" customHeight="1">
      <c r="A569" s="90"/>
      <c r="B569" s="90"/>
      <c r="C569" s="90"/>
      <c r="D569" s="90"/>
      <c r="E569" s="90"/>
      <c r="F569" s="90"/>
      <c r="G569" s="90"/>
      <c r="H569" s="90"/>
      <c r="I569" s="90"/>
      <c r="J569" s="90"/>
      <c r="K569" s="90"/>
      <c r="L569" s="90"/>
      <c r="M569" s="90"/>
      <c r="N569" s="90"/>
      <c r="O569" s="530"/>
      <c r="P569" s="530"/>
      <c r="Q569" s="530"/>
      <c r="R569" s="530"/>
      <c r="S569" s="530"/>
      <c r="T569" s="530"/>
      <c r="U569" s="530"/>
    </row>
    <row r="570" spans="1:21" ht="9.75" customHeight="1">
      <c r="A570" s="90"/>
      <c r="B570" s="90"/>
      <c r="C570" s="90"/>
      <c r="D570" s="90"/>
      <c r="E570" s="90"/>
      <c r="F570" s="90"/>
      <c r="G570" s="90"/>
      <c r="H570" s="90"/>
      <c r="I570" s="90"/>
      <c r="J570" s="90"/>
      <c r="K570" s="90"/>
      <c r="L570" s="90"/>
      <c r="M570" s="90"/>
      <c r="N570" s="90"/>
      <c r="O570" s="530"/>
      <c r="P570" s="530"/>
      <c r="Q570" s="530"/>
      <c r="R570" s="530"/>
      <c r="S570" s="530"/>
      <c r="T570" s="530"/>
      <c r="U570" s="530"/>
    </row>
    <row r="571" spans="1:21" ht="9.75" customHeight="1">
      <c r="A571" s="90"/>
      <c r="B571" s="90"/>
      <c r="C571" s="90"/>
      <c r="D571" s="90"/>
      <c r="E571" s="90"/>
      <c r="F571" s="90"/>
      <c r="G571" s="90"/>
      <c r="H571" s="90"/>
      <c r="I571" s="90"/>
      <c r="J571" s="90"/>
      <c r="K571" s="90"/>
      <c r="L571" s="90"/>
      <c r="M571" s="90"/>
      <c r="N571" s="90"/>
      <c r="O571" s="530"/>
      <c r="P571" s="530"/>
      <c r="Q571" s="530"/>
      <c r="R571" s="530"/>
      <c r="S571" s="530"/>
      <c r="T571" s="530"/>
      <c r="U571" s="530"/>
    </row>
    <row r="572" spans="1:21" ht="9.75" customHeight="1">
      <c r="A572" s="90"/>
      <c r="B572" s="90"/>
      <c r="C572" s="90"/>
      <c r="D572" s="90"/>
      <c r="E572" s="90"/>
      <c r="F572" s="90"/>
      <c r="G572" s="90"/>
      <c r="H572" s="90"/>
      <c r="I572" s="90"/>
      <c r="J572" s="90"/>
      <c r="K572" s="90"/>
      <c r="L572" s="90"/>
      <c r="M572" s="90"/>
      <c r="N572" s="90"/>
      <c r="O572" s="530"/>
      <c r="P572" s="530"/>
      <c r="Q572" s="530"/>
      <c r="R572" s="530"/>
      <c r="S572" s="530"/>
      <c r="T572" s="530"/>
      <c r="U572" s="530"/>
    </row>
    <row r="573" spans="1:21" ht="9.75" customHeight="1">
      <c r="A573" s="90"/>
      <c r="B573" s="90"/>
      <c r="C573" s="90"/>
      <c r="D573" s="90"/>
      <c r="E573" s="90"/>
      <c r="F573" s="90"/>
      <c r="G573" s="90"/>
      <c r="H573" s="90"/>
      <c r="I573" s="90"/>
      <c r="J573" s="90"/>
      <c r="K573" s="90"/>
      <c r="L573" s="90"/>
      <c r="M573" s="90"/>
      <c r="N573" s="90"/>
      <c r="O573" s="530"/>
      <c r="P573" s="530"/>
      <c r="Q573" s="530"/>
      <c r="R573" s="530"/>
      <c r="S573" s="530"/>
      <c r="T573" s="530"/>
      <c r="U573" s="530"/>
    </row>
    <row r="574" spans="1:21" ht="9.75" customHeight="1">
      <c r="A574" s="90"/>
      <c r="B574" s="90"/>
      <c r="C574" s="90"/>
      <c r="D574" s="90"/>
      <c r="E574" s="90"/>
      <c r="F574" s="90"/>
      <c r="G574" s="90"/>
      <c r="H574" s="90"/>
      <c r="I574" s="90"/>
      <c r="J574" s="90"/>
      <c r="K574" s="90"/>
      <c r="L574" s="90"/>
      <c r="M574" s="90"/>
      <c r="N574" s="90"/>
      <c r="O574" s="530"/>
      <c r="P574" s="530"/>
      <c r="Q574" s="530"/>
      <c r="R574" s="530"/>
      <c r="S574" s="530"/>
      <c r="T574" s="530"/>
      <c r="U574" s="530"/>
    </row>
    <row r="575" spans="1:21" ht="9.75" customHeight="1">
      <c r="A575" s="90"/>
      <c r="B575" s="90"/>
      <c r="C575" s="90"/>
      <c r="D575" s="90"/>
      <c r="E575" s="90"/>
      <c r="F575" s="90"/>
      <c r="G575" s="90"/>
      <c r="H575" s="90"/>
      <c r="I575" s="90"/>
      <c r="J575" s="90"/>
      <c r="K575" s="90"/>
      <c r="L575" s="90"/>
      <c r="M575" s="90"/>
      <c r="N575" s="90"/>
      <c r="O575" s="530"/>
      <c r="P575" s="530"/>
      <c r="Q575" s="530"/>
      <c r="R575" s="530"/>
      <c r="S575" s="530"/>
      <c r="T575" s="530"/>
      <c r="U575" s="530"/>
    </row>
    <row r="576" spans="1:21" ht="9.75" customHeight="1">
      <c r="A576" s="90"/>
      <c r="B576" s="90"/>
      <c r="C576" s="90"/>
      <c r="D576" s="90"/>
      <c r="E576" s="90"/>
      <c r="F576" s="90"/>
      <c r="G576" s="90"/>
      <c r="H576" s="90"/>
      <c r="I576" s="90"/>
      <c r="J576" s="90"/>
      <c r="K576" s="90"/>
      <c r="L576" s="90"/>
      <c r="M576" s="90"/>
      <c r="N576" s="90"/>
      <c r="O576" s="530"/>
      <c r="P576" s="530"/>
      <c r="Q576" s="530"/>
      <c r="R576" s="530"/>
      <c r="S576" s="530"/>
      <c r="T576" s="530"/>
      <c r="U576" s="530"/>
    </row>
    <row r="577" spans="1:21" ht="9.75" customHeight="1">
      <c r="A577" s="90"/>
      <c r="B577" s="90"/>
      <c r="C577" s="90"/>
      <c r="D577" s="90"/>
      <c r="E577" s="90"/>
      <c r="F577" s="90"/>
      <c r="G577" s="90"/>
      <c r="H577" s="90"/>
      <c r="I577" s="90"/>
      <c r="J577" s="90"/>
      <c r="K577" s="90"/>
      <c r="L577" s="90"/>
      <c r="M577" s="90"/>
      <c r="N577" s="90"/>
      <c r="O577" s="530"/>
      <c r="P577" s="530"/>
      <c r="Q577" s="530"/>
      <c r="R577" s="530"/>
      <c r="S577" s="530"/>
      <c r="T577" s="530"/>
      <c r="U577" s="530"/>
    </row>
    <row r="578" spans="1:21" ht="9.75" customHeight="1">
      <c r="A578" s="90"/>
      <c r="B578" s="90"/>
      <c r="C578" s="90"/>
      <c r="D578" s="90"/>
      <c r="E578" s="90"/>
      <c r="F578" s="90"/>
      <c r="G578" s="90"/>
      <c r="H578" s="90"/>
      <c r="I578" s="90"/>
      <c r="J578" s="90"/>
      <c r="K578" s="90"/>
      <c r="L578" s="90"/>
      <c r="M578" s="90"/>
      <c r="N578" s="90"/>
      <c r="O578" s="530"/>
      <c r="P578" s="530"/>
      <c r="Q578" s="530"/>
      <c r="R578" s="530"/>
      <c r="S578" s="530"/>
      <c r="T578" s="530"/>
      <c r="U578" s="530"/>
    </row>
    <row r="579" spans="1:21" ht="9.75" customHeight="1">
      <c r="A579" s="90"/>
      <c r="B579" s="90"/>
      <c r="C579" s="90"/>
      <c r="D579" s="90"/>
      <c r="E579" s="90"/>
      <c r="F579" s="90"/>
      <c r="G579" s="90"/>
      <c r="H579" s="90"/>
      <c r="I579" s="90"/>
      <c r="J579" s="90"/>
      <c r="K579" s="90"/>
      <c r="L579" s="90"/>
      <c r="M579" s="90"/>
      <c r="N579" s="90"/>
      <c r="O579" s="530"/>
      <c r="P579" s="530"/>
      <c r="Q579" s="530"/>
      <c r="R579" s="530"/>
      <c r="S579" s="530"/>
      <c r="T579" s="530"/>
      <c r="U579" s="530"/>
    </row>
    <row r="580" spans="1:21" ht="9.75" customHeight="1">
      <c r="A580" s="90"/>
      <c r="B580" s="90"/>
      <c r="C580" s="90"/>
      <c r="D580" s="90"/>
      <c r="E580" s="90"/>
      <c r="F580" s="90"/>
      <c r="G580" s="90"/>
      <c r="H580" s="90"/>
      <c r="I580" s="90"/>
      <c r="J580" s="90"/>
      <c r="K580" s="90"/>
      <c r="L580" s="90"/>
      <c r="M580" s="90"/>
      <c r="N580" s="90"/>
      <c r="O580" s="530"/>
      <c r="P580" s="530"/>
      <c r="Q580" s="530"/>
      <c r="R580" s="530"/>
      <c r="S580" s="530"/>
      <c r="T580" s="530"/>
      <c r="U580" s="530"/>
    </row>
    <row r="581" spans="1:21" ht="9.75" customHeight="1">
      <c r="A581" s="90"/>
      <c r="B581" s="90"/>
      <c r="C581" s="90"/>
      <c r="D581" s="90"/>
      <c r="E581" s="90"/>
      <c r="F581" s="90"/>
      <c r="G581" s="90"/>
      <c r="H581" s="90"/>
      <c r="I581" s="90"/>
      <c r="J581" s="90"/>
      <c r="K581" s="90"/>
      <c r="L581" s="90"/>
      <c r="M581" s="90"/>
      <c r="N581" s="90"/>
      <c r="O581" s="530"/>
      <c r="P581" s="530"/>
      <c r="Q581" s="530"/>
      <c r="R581" s="530"/>
      <c r="S581" s="530"/>
      <c r="T581" s="530"/>
      <c r="U581" s="530"/>
    </row>
    <row r="582" spans="1:21" ht="9.75" customHeight="1">
      <c r="A582" s="90"/>
      <c r="B582" s="90"/>
      <c r="C582" s="90"/>
      <c r="D582" s="90"/>
      <c r="E582" s="90"/>
      <c r="F582" s="90"/>
      <c r="G582" s="90"/>
      <c r="H582" s="90"/>
      <c r="I582" s="90"/>
      <c r="J582" s="90"/>
      <c r="K582" s="90"/>
      <c r="L582" s="90"/>
      <c r="M582" s="90"/>
      <c r="N582" s="90"/>
      <c r="O582" s="530"/>
      <c r="P582" s="530"/>
      <c r="Q582" s="530"/>
      <c r="R582" s="530"/>
      <c r="S582" s="530"/>
      <c r="T582" s="530"/>
      <c r="U582" s="530"/>
    </row>
    <row r="583" spans="1:21" ht="9.75" customHeight="1">
      <c r="A583" s="90"/>
      <c r="B583" s="90"/>
      <c r="C583" s="90"/>
      <c r="D583" s="90"/>
      <c r="E583" s="90"/>
      <c r="F583" s="90"/>
      <c r="G583" s="90"/>
      <c r="H583" s="90"/>
      <c r="I583" s="90"/>
      <c r="J583" s="90"/>
      <c r="K583" s="90"/>
      <c r="L583" s="90"/>
      <c r="M583" s="90"/>
      <c r="N583" s="90"/>
      <c r="O583" s="530"/>
      <c r="P583" s="530"/>
      <c r="Q583" s="530"/>
      <c r="R583" s="530"/>
      <c r="S583" s="530"/>
      <c r="T583" s="530"/>
      <c r="U583" s="530"/>
    </row>
    <row r="584" spans="1:21" ht="9.75" customHeight="1">
      <c r="A584" s="90"/>
      <c r="B584" s="90"/>
      <c r="C584" s="90"/>
      <c r="D584" s="90"/>
      <c r="E584" s="90"/>
      <c r="F584" s="90"/>
      <c r="G584" s="90"/>
      <c r="H584" s="90"/>
      <c r="I584" s="90"/>
      <c r="J584" s="90"/>
      <c r="K584" s="90"/>
      <c r="L584" s="90"/>
      <c r="M584" s="90"/>
      <c r="N584" s="90"/>
      <c r="O584" s="530"/>
      <c r="P584" s="530"/>
      <c r="Q584" s="530"/>
      <c r="R584" s="530"/>
      <c r="S584" s="530"/>
      <c r="T584" s="530"/>
      <c r="U584" s="530"/>
    </row>
    <row r="585" spans="1:21" ht="9.75" customHeight="1">
      <c r="A585" s="90"/>
      <c r="B585" s="90"/>
      <c r="C585" s="90"/>
      <c r="D585" s="90"/>
      <c r="E585" s="90"/>
      <c r="F585" s="90"/>
      <c r="G585" s="90"/>
      <c r="H585" s="90"/>
      <c r="I585" s="90"/>
      <c r="J585" s="90"/>
      <c r="K585" s="90"/>
      <c r="L585" s="90"/>
      <c r="M585" s="90"/>
      <c r="N585" s="90"/>
      <c r="O585" s="530"/>
      <c r="P585" s="530"/>
      <c r="Q585" s="530"/>
      <c r="R585" s="530"/>
      <c r="S585" s="530"/>
      <c r="T585" s="530"/>
      <c r="U585" s="530"/>
    </row>
    <row r="586" spans="1:21" ht="9.75" customHeight="1">
      <c r="A586" s="90"/>
      <c r="B586" s="90"/>
      <c r="C586" s="90"/>
      <c r="D586" s="90"/>
      <c r="E586" s="90"/>
      <c r="F586" s="90"/>
      <c r="G586" s="90"/>
      <c r="H586" s="90"/>
      <c r="I586" s="90"/>
      <c r="J586" s="90"/>
      <c r="K586" s="90"/>
      <c r="L586" s="90"/>
      <c r="M586" s="90"/>
      <c r="N586" s="90"/>
      <c r="O586" s="530"/>
      <c r="P586" s="530"/>
      <c r="Q586" s="530"/>
      <c r="R586" s="530"/>
      <c r="S586" s="530"/>
      <c r="T586" s="530"/>
      <c r="U586" s="530"/>
    </row>
    <row r="587" spans="1:21" ht="9.75" customHeight="1">
      <c r="A587" s="90"/>
      <c r="B587" s="90"/>
      <c r="C587" s="90"/>
      <c r="D587" s="90"/>
      <c r="E587" s="90"/>
      <c r="F587" s="90"/>
      <c r="G587" s="90"/>
      <c r="H587" s="90"/>
      <c r="I587" s="90"/>
      <c r="J587" s="90"/>
      <c r="K587" s="90"/>
      <c r="L587" s="90"/>
      <c r="M587" s="90"/>
      <c r="N587" s="90"/>
      <c r="O587" s="530"/>
      <c r="P587" s="530"/>
      <c r="Q587" s="530"/>
      <c r="R587" s="530"/>
      <c r="S587" s="530"/>
      <c r="T587" s="530"/>
      <c r="U587" s="530"/>
    </row>
    <row r="588" spans="1:21" ht="9.75" customHeight="1">
      <c r="A588" s="90"/>
      <c r="B588" s="90"/>
      <c r="C588" s="90"/>
      <c r="D588" s="90"/>
      <c r="E588" s="90"/>
      <c r="F588" s="90"/>
      <c r="G588" s="90"/>
      <c r="H588" s="90"/>
      <c r="I588" s="90"/>
      <c r="J588" s="90"/>
      <c r="K588" s="90"/>
      <c r="L588" s="90"/>
      <c r="M588" s="90"/>
      <c r="N588" s="90"/>
      <c r="O588" s="530"/>
      <c r="P588" s="530"/>
      <c r="Q588" s="530"/>
      <c r="R588" s="530"/>
      <c r="S588" s="530"/>
      <c r="T588" s="530"/>
      <c r="U588" s="530"/>
    </row>
    <row r="589" spans="1:21" ht="9.75" customHeight="1">
      <c r="A589" s="90"/>
      <c r="B589" s="90"/>
      <c r="C589" s="90"/>
      <c r="D589" s="90"/>
      <c r="E589" s="90"/>
      <c r="F589" s="90"/>
      <c r="G589" s="90"/>
      <c r="H589" s="90"/>
      <c r="I589" s="90"/>
      <c r="J589" s="90"/>
      <c r="K589" s="90"/>
      <c r="L589" s="90"/>
      <c r="M589" s="90"/>
      <c r="N589" s="90"/>
      <c r="O589" s="530"/>
      <c r="P589" s="530"/>
      <c r="Q589" s="530"/>
      <c r="R589" s="530"/>
      <c r="S589" s="530"/>
      <c r="T589" s="530"/>
      <c r="U589" s="530"/>
    </row>
    <row r="590" spans="1:21" ht="9.75" customHeight="1">
      <c r="A590" s="90"/>
      <c r="B590" s="90"/>
      <c r="C590" s="90"/>
      <c r="D590" s="90"/>
      <c r="E590" s="90"/>
      <c r="F590" s="90"/>
      <c r="G590" s="90"/>
      <c r="H590" s="90"/>
      <c r="I590" s="90"/>
      <c r="J590" s="90"/>
      <c r="K590" s="90"/>
      <c r="L590" s="90"/>
      <c r="M590" s="90"/>
      <c r="N590" s="90"/>
      <c r="O590" s="530"/>
      <c r="P590" s="530"/>
      <c r="Q590" s="530"/>
      <c r="R590" s="530"/>
      <c r="S590" s="530"/>
      <c r="T590" s="530"/>
      <c r="U590" s="530"/>
    </row>
    <row r="591" spans="1:21" ht="9.75" customHeight="1">
      <c r="A591" s="90"/>
      <c r="B591" s="90"/>
      <c r="C591" s="90"/>
      <c r="D591" s="90"/>
      <c r="E591" s="90"/>
      <c r="F591" s="90"/>
      <c r="G591" s="90"/>
      <c r="H591" s="90"/>
      <c r="I591" s="90"/>
      <c r="J591" s="90"/>
      <c r="K591" s="90"/>
      <c r="L591" s="90"/>
      <c r="M591" s="90"/>
      <c r="N591" s="90"/>
      <c r="O591" s="530"/>
      <c r="P591" s="530"/>
      <c r="Q591" s="530"/>
      <c r="R591" s="530"/>
      <c r="S591" s="530"/>
      <c r="T591" s="530"/>
      <c r="U591" s="530"/>
    </row>
    <row r="592" spans="1:21" ht="9.75" customHeight="1">
      <c r="A592" s="90"/>
      <c r="B592" s="90"/>
      <c r="C592" s="90"/>
      <c r="D592" s="90"/>
      <c r="E592" s="90"/>
      <c r="F592" s="90"/>
      <c r="G592" s="90"/>
      <c r="H592" s="90"/>
      <c r="I592" s="90"/>
      <c r="J592" s="90"/>
      <c r="K592" s="90"/>
      <c r="L592" s="90"/>
      <c r="M592" s="90"/>
      <c r="N592" s="90"/>
      <c r="O592" s="530"/>
      <c r="P592" s="530"/>
      <c r="Q592" s="530"/>
      <c r="R592" s="530"/>
      <c r="S592" s="530"/>
      <c r="T592" s="530"/>
      <c r="U592" s="530"/>
    </row>
    <row r="593" spans="1:21" ht="9.75" customHeight="1">
      <c r="A593" s="90"/>
      <c r="B593" s="90"/>
      <c r="C593" s="90"/>
      <c r="D593" s="90"/>
      <c r="E593" s="90"/>
      <c r="F593" s="90"/>
      <c r="G593" s="90"/>
      <c r="H593" s="90"/>
      <c r="I593" s="90"/>
      <c r="J593" s="90"/>
      <c r="K593" s="90"/>
      <c r="L593" s="90"/>
      <c r="M593" s="90"/>
      <c r="N593" s="90"/>
      <c r="O593" s="530"/>
      <c r="P593" s="530"/>
      <c r="Q593" s="530"/>
      <c r="R593" s="530"/>
      <c r="S593" s="530"/>
      <c r="T593" s="530"/>
      <c r="U593" s="530"/>
    </row>
    <row r="594" spans="1:21" ht="9.75" customHeight="1">
      <c r="A594" s="90"/>
      <c r="B594" s="90"/>
      <c r="C594" s="90"/>
      <c r="D594" s="90"/>
      <c r="E594" s="90"/>
      <c r="F594" s="90"/>
      <c r="G594" s="90"/>
      <c r="H594" s="90"/>
      <c r="I594" s="90"/>
      <c r="J594" s="90"/>
      <c r="K594" s="90"/>
      <c r="L594" s="90"/>
      <c r="M594" s="90"/>
      <c r="N594" s="90"/>
      <c r="O594" s="530"/>
      <c r="P594" s="530"/>
      <c r="Q594" s="530"/>
      <c r="R594" s="530"/>
      <c r="S594" s="530"/>
      <c r="T594" s="530"/>
      <c r="U594" s="530"/>
    </row>
    <row r="595" spans="1:21" ht="9.75" customHeight="1">
      <c r="A595" s="90"/>
      <c r="B595" s="90"/>
      <c r="C595" s="90"/>
      <c r="D595" s="90"/>
      <c r="E595" s="90"/>
      <c r="F595" s="90"/>
      <c r="G595" s="90"/>
      <c r="H595" s="90"/>
      <c r="I595" s="90"/>
      <c r="J595" s="90"/>
      <c r="K595" s="90"/>
      <c r="L595" s="90"/>
      <c r="M595" s="90"/>
      <c r="N595" s="90"/>
      <c r="O595" s="530"/>
      <c r="P595" s="530"/>
      <c r="Q595" s="530"/>
      <c r="R595" s="530"/>
      <c r="S595" s="530"/>
      <c r="T595" s="530"/>
      <c r="U595" s="530"/>
    </row>
    <row r="596" spans="1:21" ht="9.75" customHeight="1">
      <c r="A596" s="90"/>
      <c r="B596" s="90"/>
      <c r="C596" s="90"/>
      <c r="D596" s="90"/>
      <c r="E596" s="90"/>
      <c r="F596" s="90"/>
      <c r="G596" s="90"/>
      <c r="H596" s="90"/>
      <c r="I596" s="90"/>
      <c r="J596" s="90"/>
      <c r="K596" s="90"/>
      <c r="L596" s="90"/>
      <c r="M596" s="90"/>
      <c r="N596" s="90"/>
      <c r="O596" s="530"/>
      <c r="P596" s="530"/>
      <c r="Q596" s="530"/>
      <c r="R596" s="530"/>
      <c r="S596" s="530"/>
      <c r="T596" s="530"/>
      <c r="U596" s="530"/>
    </row>
    <row r="597" spans="1:21" ht="9.75" customHeight="1">
      <c r="A597" s="90"/>
      <c r="B597" s="90"/>
      <c r="C597" s="90"/>
      <c r="D597" s="90"/>
      <c r="E597" s="90"/>
      <c r="F597" s="90"/>
      <c r="G597" s="90"/>
      <c r="H597" s="90"/>
      <c r="I597" s="90"/>
      <c r="J597" s="90"/>
      <c r="K597" s="90"/>
      <c r="L597" s="90"/>
      <c r="M597" s="90"/>
      <c r="N597" s="90"/>
      <c r="O597" s="530"/>
      <c r="P597" s="530"/>
      <c r="Q597" s="530"/>
      <c r="R597" s="530"/>
      <c r="S597" s="530"/>
      <c r="T597" s="530"/>
      <c r="U597" s="530"/>
    </row>
    <row r="598" spans="1:21" ht="9.75" customHeight="1">
      <c r="A598" s="90"/>
      <c r="B598" s="90"/>
      <c r="C598" s="90"/>
      <c r="D598" s="90"/>
      <c r="E598" s="90"/>
      <c r="F598" s="90"/>
      <c r="G598" s="90"/>
      <c r="H598" s="90"/>
      <c r="I598" s="90"/>
      <c r="J598" s="90"/>
      <c r="K598" s="90"/>
      <c r="L598" s="90"/>
      <c r="M598" s="90"/>
      <c r="N598" s="90"/>
      <c r="O598" s="530"/>
      <c r="P598" s="530"/>
      <c r="Q598" s="530"/>
      <c r="R598" s="530"/>
      <c r="S598" s="530"/>
      <c r="T598" s="530"/>
      <c r="U598" s="530"/>
    </row>
    <row r="599" spans="1:21" ht="9.75" customHeight="1">
      <c r="A599" s="90"/>
      <c r="B599" s="90"/>
      <c r="C599" s="90"/>
      <c r="D599" s="90"/>
      <c r="E599" s="90"/>
      <c r="F599" s="90"/>
      <c r="G599" s="90"/>
      <c r="H599" s="90"/>
      <c r="I599" s="90"/>
      <c r="J599" s="90"/>
      <c r="K599" s="90"/>
      <c r="L599" s="90"/>
      <c r="M599" s="90"/>
      <c r="N599" s="90"/>
      <c r="O599" s="530"/>
      <c r="P599" s="530"/>
      <c r="Q599" s="530"/>
      <c r="R599" s="530"/>
      <c r="S599" s="530"/>
      <c r="T599" s="530"/>
      <c r="U599" s="530"/>
    </row>
    <row r="600" spans="1:21" ht="9.75" customHeight="1">
      <c r="A600" s="90"/>
      <c r="B600" s="90"/>
      <c r="C600" s="90"/>
      <c r="D600" s="90"/>
      <c r="E600" s="90"/>
      <c r="F600" s="90"/>
      <c r="G600" s="90"/>
      <c r="H600" s="90"/>
      <c r="I600" s="90"/>
      <c r="J600" s="90"/>
      <c r="K600" s="90"/>
      <c r="L600" s="90"/>
      <c r="M600" s="90"/>
      <c r="N600" s="90"/>
      <c r="O600" s="530"/>
      <c r="P600" s="530"/>
      <c r="Q600" s="530"/>
      <c r="R600" s="530"/>
      <c r="S600" s="530"/>
      <c r="T600" s="530"/>
      <c r="U600" s="530"/>
    </row>
    <row r="601" spans="1:21" ht="9.75" customHeight="1">
      <c r="A601" s="90"/>
      <c r="B601" s="90"/>
      <c r="C601" s="90"/>
      <c r="D601" s="90"/>
      <c r="E601" s="90"/>
      <c r="F601" s="90"/>
      <c r="G601" s="90"/>
      <c r="H601" s="90"/>
      <c r="I601" s="90"/>
      <c r="J601" s="90"/>
      <c r="K601" s="90"/>
      <c r="L601" s="90"/>
      <c r="M601" s="90"/>
      <c r="N601" s="90"/>
      <c r="O601" s="530"/>
      <c r="P601" s="530"/>
      <c r="Q601" s="530"/>
      <c r="R601" s="530"/>
      <c r="S601" s="530"/>
      <c r="T601" s="530"/>
      <c r="U601" s="530"/>
    </row>
    <row r="602" spans="1:21" ht="9.75" customHeight="1">
      <c r="A602" s="90"/>
      <c r="B602" s="90"/>
      <c r="C602" s="90"/>
      <c r="D602" s="90"/>
      <c r="E602" s="90"/>
      <c r="F602" s="90"/>
      <c r="G602" s="90"/>
      <c r="H602" s="90"/>
      <c r="I602" s="90"/>
      <c r="J602" s="90"/>
      <c r="K602" s="90"/>
      <c r="L602" s="90"/>
      <c r="M602" s="90"/>
      <c r="N602" s="90"/>
      <c r="O602" s="530"/>
      <c r="P602" s="530"/>
      <c r="Q602" s="530"/>
      <c r="R602" s="530"/>
      <c r="S602" s="530"/>
      <c r="T602" s="530"/>
      <c r="U602" s="530"/>
    </row>
    <row r="603" spans="1:21" ht="9.75" customHeight="1">
      <c r="A603" s="90"/>
      <c r="B603" s="90"/>
      <c r="C603" s="90"/>
      <c r="D603" s="90"/>
      <c r="E603" s="90"/>
      <c r="F603" s="90"/>
      <c r="G603" s="90"/>
      <c r="H603" s="90"/>
      <c r="I603" s="90"/>
      <c r="J603" s="90"/>
      <c r="K603" s="90"/>
      <c r="L603" s="90"/>
      <c r="M603" s="90"/>
      <c r="N603" s="90"/>
      <c r="O603" s="530"/>
      <c r="P603" s="530"/>
      <c r="Q603" s="530"/>
      <c r="R603" s="530"/>
      <c r="S603" s="530"/>
      <c r="T603" s="530"/>
      <c r="U603" s="530"/>
    </row>
    <row r="604" spans="1:21" ht="9.75" customHeight="1">
      <c r="A604" s="90"/>
      <c r="B604" s="90"/>
      <c r="C604" s="90"/>
      <c r="D604" s="90"/>
      <c r="E604" s="90"/>
      <c r="F604" s="90"/>
      <c r="G604" s="90"/>
      <c r="H604" s="90"/>
      <c r="I604" s="90"/>
      <c r="J604" s="90"/>
      <c r="K604" s="90"/>
      <c r="L604" s="90"/>
      <c r="M604" s="90"/>
      <c r="N604" s="90"/>
      <c r="O604" s="530"/>
      <c r="P604" s="530"/>
      <c r="Q604" s="530"/>
      <c r="R604" s="530"/>
      <c r="S604" s="530"/>
      <c r="T604" s="530"/>
      <c r="U604" s="530"/>
    </row>
    <row r="605" spans="1:21" ht="9.75" customHeight="1">
      <c r="A605" s="90"/>
      <c r="B605" s="90"/>
      <c r="C605" s="90"/>
      <c r="D605" s="90"/>
      <c r="E605" s="90"/>
      <c r="F605" s="90"/>
      <c r="G605" s="90"/>
      <c r="H605" s="90"/>
      <c r="I605" s="90"/>
      <c r="J605" s="90"/>
      <c r="K605" s="90"/>
      <c r="L605" s="90"/>
      <c r="M605" s="90"/>
      <c r="N605" s="90"/>
      <c r="O605" s="530"/>
      <c r="P605" s="530"/>
      <c r="Q605" s="530"/>
      <c r="R605" s="530"/>
      <c r="S605" s="530"/>
      <c r="T605" s="530"/>
      <c r="U605" s="530"/>
    </row>
    <row r="606" spans="1:21" ht="9.75" customHeight="1">
      <c r="A606" s="90"/>
      <c r="B606" s="90"/>
      <c r="C606" s="90"/>
      <c r="D606" s="90"/>
      <c r="E606" s="90"/>
      <c r="F606" s="90"/>
      <c r="G606" s="90"/>
      <c r="H606" s="90"/>
      <c r="I606" s="90"/>
      <c r="J606" s="90"/>
      <c r="K606" s="90"/>
      <c r="L606" s="90"/>
      <c r="M606" s="90"/>
      <c r="N606" s="90"/>
      <c r="O606" s="530"/>
      <c r="P606" s="530"/>
      <c r="Q606" s="530"/>
      <c r="R606" s="530"/>
      <c r="S606" s="530"/>
      <c r="T606" s="530"/>
      <c r="U606" s="530"/>
    </row>
    <row r="607" spans="1:21" ht="9.75" customHeight="1">
      <c r="A607" s="90"/>
      <c r="B607" s="90"/>
      <c r="C607" s="90"/>
      <c r="D607" s="90"/>
      <c r="E607" s="90"/>
      <c r="F607" s="90"/>
      <c r="G607" s="90"/>
      <c r="H607" s="90"/>
      <c r="I607" s="90"/>
      <c r="J607" s="90"/>
      <c r="K607" s="90"/>
      <c r="L607" s="90"/>
      <c r="M607" s="90"/>
      <c r="N607" s="90"/>
      <c r="O607" s="530"/>
      <c r="P607" s="530"/>
      <c r="Q607" s="530"/>
      <c r="R607" s="530"/>
      <c r="S607" s="530"/>
      <c r="T607" s="530"/>
      <c r="U607" s="530"/>
    </row>
    <row r="608" spans="1:21" ht="9.75" customHeight="1">
      <c r="A608" s="90"/>
      <c r="B608" s="90"/>
      <c r="C608" s="90"/>
      <c r="D608" s="90"/>
      <c r="E608" s="90"/>
      <c r="F608" s="90"/>
      <c r="G608" s="90"/>
      <c r="H608" s="90"/>
      <c r="I608" s="90"/>
      <c r="J608" s="90"/>
      <c r="K608" s="90"/>
      <c r="L608" s="90"/>
      <c r="M608" s="90"/>
      <c r="N608" s="90"/>
      <c r="O608" s="530"/>
      <c r="P608" s="530"/>
      <c r="Q608" s="530"/>
      <c r="R608" s="530"/>
      <c r="S608" s="530"/>
      <c r="T608" s="530"/>
      <c r="U608" s="530"/>
    </row>
    <row r="609" spans="1:21" ht="9.75" customHeight="1">
      <c r="A609" s="90"/>
      <c r="B609" s="90"/>
      <c r="C609" s="90"/>
      <c r="D609" s="90"/>
      <c r="E609" s="90"/>
      <c r="F609" s="90"/>
      <c r="G609" s="90"/>
      <c r="H609" s="90"/>
      <c r="I609" s="90"/>
      <c r="J609" s="90"/>
      <c r="K609" s="90"/>
      <c r="L609" s="90"/>
      <c r="M609" s="90"/>
      <c r="N609" s="90"/>
      <c r="O609" s="530"/>
      <c r="P609" s="530"/>
      <c r="Q609" s="530"/>
      <c r="R609" s="530"/>
      <c r="S609" s="530"/>
      <c r="T609" s="530"/>
      <c r="U609" s="530"/>
    </row>
    <row r="610" spans="1:21" ht="9.75" customHeight="1">
      <c r="A610" s="90"/>
      <c r="B610" s="90"/>
      <c r="C610" s="90"/>
      <c r="D610" s="90"/>
      <c r="E610" s="90"/>
      <c r="F610" s="90"/>
      <c r="G610" s="90"/>
      <c r="H610" s="90"/>
      <c r="I610" s="90"/>
      <c r="J610" s="90"/>
      <c r="K610" s="90"/>
      <c r="L610" s="90"/>
      <c r="M610" s="90"/>
      <c r="N610" s="90"/>
      <c r="O610" s="530"/>
      <c r="P610" s="530"/>
      <c r="Q610" s="530"/>
      <c r="R610" s="530"/>
      <c r="S610" s="530"/>
      <c r="T610" s="530"/>
      <c r="U610" s="530"/>
    </row>
    <row r="611" spans="1:21" ht="9.75" customHeight="1">
      <c r="A611" s="90"/>
      <c r="B611" s="90"/>
      <c r="C611" s="90"/>
      <c r="D611" s="90"/>
      <c r="E611" s="90"/>
      <c r="F611" s="90"/>
      <c r="G611" s="90"/>
      <c r="H611" s="90"/>
      <c r="I611" s="90"/>
      <c r="J611" s="90"/>
      <c r="K611" s="90"/>
      <c r="L611" s="90"/>
      <c r="M611" s="90"/>
      <c r="N611" s="90"/>
      <c r="O611" s="530"/>
      <c r="P611" s="530"/>
      <c r="Q611" s="530"/>
      <c r="R611" s="530"/>
      <c r="S611" s="530"/>
      <c r="T611" s="530"/>
      <c r="U611" s="530"/>
    </row>
    <row r="612" spans="1:21" ht="9.75" customHeight="1">
      <c r="A612" s="90"/>
      <c r="B612" s="90"/>
      <c r="C612" s="90"/>
      <c r="D612" s="90"/>
      <c r="E612" s="90"/>
      <c r="F612" s="90"/>
      <c r="G612" s="90"/>
      <c r="H612" s="90"/>
      <c r="I612" s="90"/>
      <c r="J612" s="90"/>
      <c r="K612" s="90"/>
      <c r="L612" s="90"/>
      <c r="M612" s="90"/>
      <c r="N612" s="90"/>
      <c r="O612" s="530"/>
      <c r="P612" s="530"/>
      <c r="Q612" s="530"/>
      <c r="R612" s="530"/>
      <c r="S612" s="530"/>
      <c r="T612" s="530"/>
      <c r="U612" s="530"/>
    </row>
    <row r="613" spans="1:21" ht="9.75" customHeight="1">
      <c r="A613" s="90"/>
      <c r="B613" s="90"/>
      <c r="C613" s="90"/>
      <c r="D613" s="90"/>
      <c r="E613" s="90"/>
      <c r="F613" s="90"/>
      <c r="G613" s="90"/>
      <c r="H613" s="90"/>
      <c r="I613" s="90"/>
      <c r="J613" s="90"/>
      <c r="K613" s="90"/>
      <c r="L613" s="90"/>
      <c r="M613" s="90"/>
      <c r="N613" s="90"/>
      <c r="O613" s="530"/>
      <c r="P613" s="530"/>
      <c r="Q613" s="530"/>
      <c r="R613" s="530"/>
      <c r="S613" s="530"/>
      <c r="T613" s="530"/>
      <c r="U613" s="530"/>
    </row>
    <row r="614" spans="1:21" ht="9.75" customHeight="1">
      <c r="A614" s="90"/>
      <c r="B614" s="90"/>
      <c r="C614" s="90"/>
      <c r="D614" s="90"/>
      <c r="E614" s="90"/>
      <c r="F614" s="90"/>
      <c r="G614" s="90"/>
      <c r="H614" s="90"/>
      <c r="I614" s="90"/>
      <c r="J614" s="90"/>
      <c r="K614" s="90"/>
      <c r="L614" s="90"/>
      <c r="M614" s="90"/>
      <c r="N614" s="90"/>
      <c r="O614" s="530"/>
      <c r="P614" s="530"/>
      <c r="Q614" s="530"/>
      <c r="R614" s="530"/>
      <c r="S614" s="530"/>
      <c r="T614" s="530"/>
      <c r="U614" s="530"/>
    </row>
    <row r="615" spans="1:21" ht="9.75" customHeight="1">
      <c r="A615" s="90"/>
      <c r="B615" s="90"/>
      <c r="C615" s="90"/>
      <c r="D615" s="90"/>
      <c r="E615" s="90"/>
      <c r="F615" s="90"/>
      <c r="G615" s="90"/>
      <c r="H615" s="90"/>
      <c r="I615" s="90"/>
      <c r="J615" s="90"/>
      <c r="K615" s="90"/>
      <c r="L615" s="90"/>
      <c r="M615" s="90"/>
      <c r="N615" s="90"/>
      <c r="O615" s="530"/>
      <c r="P615" s="530"/>
      <c r="Q615" s="530"/>
      <c r="R615" s="530"/>
      <c r="S615" s="530"/>
      <c r="T615" s="530"/>
      <c r="U615" s="530"/>
    </row>
    <row r="616" spans="1:21" ht="9.75" customHeight="1">
      <c r="A616" s="90"/>
      <c r="B616" s="90"/>
      <c r="C616" s="90"/>
      <c r="D616" s="90"/>
      <c r="E616" s="90"/>
      <c r="F616" s="90"/>
      <c r="G616" s="90"/>
      <c r="H616" s="90"/>
      <c r="I616" s="90"/>
      <c r="J616" s="90"/>
      <c r="K616" s="90"/>
      <c r="L616" s="90"/>
      <c r="M616" s="90"/>
      <c r="N616" s="90"/>
      <c r="O616" s="530"/>
      <c r="P616" s="530"/>
      <c r="Q616" s="530"/>
      <c r="R616" s="530"/>
      <c r="S616" s="530"/>
      <c r="T616" s="530"/>
      <c r="U616" s="530"/>
    </row>
    <row r="617" spans="1:21" ht="9.75" customHeight="1">
      <c r="A617" s="90"/>
      <c r="B617" s="90"/>
      <c r="C617" s="90"/>
      <c r="D617" s="90"/>
      <c r="E617" s="90"/>
      <c r="F617" s="90"/>
      <c r="G617" s="90"/>
      <c r="H617" s="90"/>
      <c r="I617" s="90"/>
      <c r="J617" s="90"/>
      <c r="K617" s="90"/>
      <c r="L617" s="90"/>
      <c r="M617" s="90"/>
      <c r="N617" s="90"/>
      <c r="O617" s="530"/>
      <c r="P617" s="530"/>
      <c r="Q617" s="530"/>
      <c r="R617" s="530"/>
      <c r="S617" s="530"/>
      <c r="T617" s="530"/>
      <c r="U617" s="530"/>
    </row>
    <row r="618" spans="1:21" ht="9.75" customHeight="1">
      <c r="A618" s="90"/>
      <c r="B618" s="90"/>
      <c r="C618" s="90"/>
      <c r="D618" s="90"/>
      <c r="E618" s="90"/>
      <c r="F618" s="90"/>
      <c r="G618" s="90"/>
      <c r="H618" s="90"/>
      <c r="I618" s="90"/>
      <c r="J618" s="90"/>
      <c r="K618" s="90"/>
      <c r="L618" s="90"/>
      <c r="M618" s="90"/>
      <c r="N618" s="90"/>
      <c r="O618" s="530"/>
      <c r="P618" s="530"/>
      <c r="Q618" s="530"/>
      <c r="R618" s="530"/>
      <c r="S618" s="530"/>
      <c r="T618" s="530"/>
      <c r="U618" s="530"/>
    </row>
    <row r="619" spans="1:21" ht="9.75" customHeight="1">
      <c r="A619" s="90"/>
      <c r="B619" s="90"/>
      <c r="C619" s="90"/>
      <c r="D619" s="90"/>
      <c r="E619" s="90"/>
      <c r="F619" s="90"/>
      <c r="G619" s="90"/>
      <c r="H619" s="90"/>
      <c r="I619" s="90"/>
      <c r="J619" s="90"/>
      <c r="K619" s="90"/>
      <c r="L619" s="90"/>
      <c r="M619" s="90"/>
      <c r="N619" s="90"/>
      <c r="O619" s="530"/>
      <c r="P619" s="530"/>
      <c r="Q619" s="530"/>
      <c r="R619" s="530"/>
      <c r="S619" s="530"/>
      <c r="T619" s="530"/>
      <c r="U619" s="530"/>
    </row>
    <row r="620" spans="1:21" ht="9.75" customHeight="1">
      <c r="A620" s="90"/>
      <c r="B620" s="90"/>
      <c r="C620" s="90"/>
      <c r="D620" s="90"/>
      <c r="E620" s="90"/>
      <c r="F620" s="90"/>
      <c r="G620" s="90"/>
      <c r="H620" s="90"/>
      <c r="I620" s="90"/>
      <c r="J620" s="90"/>
      <c r="K620" s="90"/>
      <c r="L620" s="90"/>
      <c r="M620" s="90"/>
      <c r="N620" s="90"/>
      <c r="O620" s="530"/>
      <c r="P620" s="530"/>
      <c r="Q620" s="530"/>
      <c r="R620" s="530"/>
      <c r="S620" s="530"/>
      <c r="T620" s="530"/>
      <c r="U620" s="530"/>
    </row>
    <row r="621" spans="1:21" ht="9.75" customHeight="1">
      <c r="A621" s="90"/>
      <c r="B621" s="90"/>
      <c r="C621" s="90"/>
      <c r="D621" s="90"/>
      <c r="E621" s="90"/>
      <c r="F621" s="90"/>
      <c r="G621" s="90"/>
      <c r="H621" s="90"/>
      <c r="I621" s="90"/>
      <c r="J621" s="90"/>
      <c r="K621" s="90"/>
      <c r="L621" s="90"/>
      <c r="M621" s="90"/>
      <c r="N621" s="90"/>
      <c r="O621" s="530"/>
      <c r="P621" s="530"/>
      <c r="Q621" s="530"/>
      <c r="R621" s="530"/>
      <c r="S621" s="530"/>
      <c r="T621" s="530"/>
      <c r="U621" s="530"/>
    </row>
    <row r="622" spans="1:21" ht="9.75" customHeight="1">
      <c r="A622" s="90"/>
      <c r="B622" s="90"/>
      <c r="C622" s="90"/>
      <c r="D622" s="90"/>
      <c r="E622" s="90"/>
      <c r="F622" s="90"/>
      <c r="G622" s="90"/>
      <c r="H622" s="90"/>
      <c r="I622" s="90"/>
      <c r="J622" s="90"/>
      <c r="K622" s="90"/>
      <c r="L622" s="90"/>
      <c r="M622" s="90"/>
      <c r="N622" s="90"/>
      <c r="O622" s="530"/>
      <c r="P622" s="530"/>
      <c r="Q622" s="530"/>
      <c r="R622" s="530"/>
      <c r="S622" s="530"/>
      <c r="T622" s="530"/>
      <c r="U622" s="530"/>
    </row>
    <row r="623" spans="1:21" ht="9.75" customHeight="1">
      <c r="A623" s="90"/>
      <c r="B623" s="90"/>
      <c r="C623" s="90"/>
      <c r="D623" s="90"/>
      <c r="E623" s="90"/>
      <c r="F623" s="90"/>
      <c r="G623" s="90"/>
      <c r="H623" s="90"/>
      <c r="I623" s="90"/>
      <c r="J623" s="90"/>
      <c r="K623" s="90"/>
      <c r="L623" s="90"/>
      <c r="M623" s="90"/>
      <c r="N623" s="90"/>
      <c r="O623" s="530"/>
      <c r="P623" s="530"/>
      <c r="Q623" s="530"/>
      <c r="R623" s="530"/>
      <c r="S623" s="530"/>
      <c r="T623" s="530"/>
      <c r="U623" s="530"/>
    </row>
    <row r="624" spans="1:21" ht="9.75" customHeight="1">
      <c r="A624" s="90"/>
      <c r="B624" s="90"/>
      <c r="C624" s="90"/>
      <c r="D624" s="90"/>
      <c r="E624" s="90"/>
      <c r="F624" s="90"/>
      <c r="G624" s="90"/>
      <c r="H624" s="90"/>
      <c r="I624" s="90"/>
      <c r="J624" s="90"/>
      <c r="K624" s="90"/>
      <c r="L624" s="90"/>
      <c r="M624" s="90"/>
      <c r="N624" s="90"/>
      <c r="O624" s="530"/>
      <c r="P624" s="530"/>
      <c r="Q624" s="530"/>
      <c r="R624" s="530"/>
      <c r="S624" s="530"/>
      <c r="T624" s="530"/>
      <c r="U624" s="530"/>
    </row>
    <row r="625" spans="1:21" ht="9.75" customHeight="1">
      <c r="A625" s="90"/>
      <c r="B625" s="90"/>
      <c r="C625" s="90"/>
      <c r="D625" s="90"/>
      <c r="E625" s="90"/>
      <c r="F625" s="90"/>
      <c r="G625" s="90"/>
      <c r="H625" s="90"/>
      <c r="I625" s="90"/>
      <c r="J625" s="90"/>
      <c r="K625" s="90"/>
      <c r="L625" s="90"/>
      <c r="M625" s="90"/>
      <c r="N625" s="90"/>
      <c r="O625" s="530"/>
      <c r="P625" s="530"/>
      <c r="Q625" s="530"/>
      <c r="R625" s="530"/>
      <c r="S625" s="530"/>
      <c r="T625" s="530"/>
      <c r="U625" s="530"/>
    </row>
    <row r="626" spans="1:21" ht="9.75" customHeight="1">
      <c r="A626" s="90"/>
      <c r="B626" s="90"/>
      <c r="C626" s="90"/>
      <c r="D626" s="90"/>
      <c r="E626" s="90"/>
      <c r="F626" s="90"/>
      <c r="G626" s="90"/>
      <c r="H626" s="90"/>
      <c r="I626" s="90"/>
      <c r="J626" s="90"/>
      <c r="K626" s="90"/>
      <c r="L626" s="90"/>
      <c r="M626" s="90"/>
      <c r="N626" s="90"/>
      <c r="O626" s="530"/>
      <c r="P626" s="530"/>
      <c r="Q626" s="530"/>
      <c r="R626" s="530"/>
      <c r="S626" s="530"/>
      <c r="T626" s="530"/>
      <c r="U626" s="530"/>
    </row>
    <row r="627" spans="1:21" ht="9.75" customHeight="1">
      <c r="A627" s="90"/>
      <c r="B627" s="90"/>
      <c r="C627" s="90"/>
      <c r="D627" s="90"/>
      <c r="E627" s="90"/>
      <c r="F627" s="90"/>
      <c r="G627" s="90"/>
      <c r="H627" s="90"/>
      <c r="I627" s="90"/>
      <c r="J627" s="90"/>
      <c r="K627" s="90"/>
      <c r="L627" s="90"/>
      <c r="M627" s="90"/>
      <c r="N627" s="90"/>
      <c r="O627" s="530"/>
      <c r="P627" s="530"/>
      <c r="Q627" s="530"/>
      <c r="R627" s="530"/>
      <c r="S627" s="530"/>
      <c r="T627" s="530"/>
      <c r="U627" s="530"/>
    </row>
    <row r="628" spans="1:21" ht="9.75" customHeight="1">
      <c r="A628" s="90"/>
      <c r="B628" s="90"/>
      <c r="C628" s="90"/>
      <c r="D628" s="90"/>
      <c r="E628" s="90"/>
      <c r="F628" s="90"/>
      <c r="G628" s="90"/>
      <c r="H628" s="90"/>
      <c r="I628" s="90"/>
      <c r="J628" s="90"/>
      <c r="K628" s="90"/>
      <c r="L628" s="90"/>
      <c r="M628" s="90"/>
      <c r="N628" s="90"/>
      <c r="O628" s="530"/>
      <c r="P628" s="530"/>
      <c r="Q628" s="530"/>
      <c r="R628" s="530"/>
      <c r="S628" s="530"/>
      <c r="T628" s="530"/>
      <c r="U628" s="530"/>
    </row>
    <row r="629" spans="1:21" ht="9.75" customHeight="1">
      <c r="A629" s="90"/>
      <c r="B629" s="90"/>
      <c r="C629" s="90"/>
      <c r="D629" s="90"/>
      <c r="E629" s="90"/>
      <c r="F629" s="90"/>
      <c r="G629" s="90"/>
      <c r="H629" s="90"/>
      <c r="I629" s="90"/>
      <c r="J629" s="90"/>
      <c r="K629" s="90"/>
      <c r="L629" s="90"/>
      <c r="M629" s="90"/>
      <c r="N629" s="90"/>
      <c r="O629" s="530"/>
      <c r="P629" s="530"/>
      <c r="Q629" s="530"/>
      <c r="R629" s="530"/>
      <c r="S629" s="530"/>
      <c r="T629" s="530"/>
      <c r="U629" s="530"/>
    </row>
    <row r="630" spans="1:21" ht="9.75" customHeight="1">
      <c r="A630" s="90"/>
      <c r="B630" s="90"/>
      <c r="C630" s="90"/>
      <c r="D630" s="90"/>
      <c r="E630" s="90"/>
      <c r="F630" s="90"/>
      <c r="G630" s="90"/>
      <c r="H630" s="90"/>
      <c r="I630" s="90"/>
      <c r="J630" s="90"/>
      <c r="K630" s="90"/>
      <c r="L630" s="90"/>
      <c r="M630" s="90"/>
      <c r="N630" s="90"/>
      <c r="O630" s="530"/>
      <c r="P630" s="530"/>
      <c r="Q630" s="530"/>
      <c r="R630" s="530"/>
      <c r="S630" s="530"/>
      <c r="T630" s="530"/>
      <c r="U630" s="530"/>
    </row>
    <row r="631" spans="1:21" ht="9.75" customHeight="1">
      <c r="A631" s="90"/>
      <c r="B631" s="90"/>
      <c r="C631" s="90"/>
      <c r="D631" s="90"/>
      <c r="E631" s="90"/>
      <c r="F631" s="90"/>
      <c r="G631" s="90"/>
      <c r="H631" s="90"/>
      <c r="I631" s="90"/>
      <c r="J631" s="90"/>
      <c r="K631" s="90"/>
      <c r="L631" s="90"/>
      <c r="M631" s="90"/>
      <c r="N631" s="90"/>
      <c r="O631" s="530"/>
      <c r="P631" s="530"/>
      <c r="Q631" s="530"/>
      <c r="R631" s="530"/>
      <c r="S631" s="530"/>
      <c r="T631" s="530"/>
      <c r="U631" s="530"/>
    </row>
    <row r="632" spans="1:21" ht="9.75" customHeight="1">
      <c r="A632" s="90"/>
      <c r="B632" s="90"/>
      <c r="C632" s="90"/>
      <c r="D632" s="90"/>
      <c r="E632" s="90"/>
      <c r="F632" s="90"/>
      <c r="G632" s="90"/>
      <c r="H632" s="90"/>
      <c r="I632" s="90"/>
      <c r="J632" s="90"/>
      <c r="K632" s="90"/>
      <c r="L632" s="90"/>
      <c r="M632" s="90"/>
      <c r="N632" s="90"/>
      <c r="O632" s="530"/>
      <c r="P632" s="530"/>
      <c r="Q632" s="530"/>
      <c r="R632" s="530"/>
      <c r="S632" s="530"/>
      <c r="T632" s="530"/>
      <c r="U632" s="530"/>
    </row>
    <row r="633" spans="1:21" ht="9.75" customHeight="1">
      <c r="A633" s="90"/>
      <c r="B633" s="90"/>
      <c r="C633" s="90"/>
      <c r="D633" s="90"/>
      <c r="E633" s="90"/>
      <c r="F633" s="90"/>
      <c r="G633" s="90"/>
      <c r="H633" s="90"/>
      <c r="I633" s="90"/>
      <c r="J633" s="90"/>
      <c r="K633" s="90"/>
      <c r="L633" s="90"/>
      <c r="M633" s="90"/>
      <c r="N633" s="90"/>
      <c r="O633" s="530"/>
      <c r="P633" s="530"/>
      <c r="Q633" s="530"/>
      <c r="R633" s="530"/>
      <c r="S633" s="530"/>
      <c r="T633" s="530"/>
      <c r="U633" s="530"/>
    </row>
    <row r="634" spans="1:21" ht="9.75" customHeight="1">
      <c r="A634" s="90"/>
      <c r="B634" s="90"/>
      <c r="C634" s="90"/>
      <c r="D634" s="90"/>
      <c r="E634" s="90"/>
      <c r="F634" s="90"/>
      <c r="G634" s="90"/>
      <c r="H634" s="90"/>
      <c r="I634" s="90"/>
      <c r="J634" s="90"/>
      <c r="K634" s="90"/>
      <c r="L634" s="90"/>
      <c r="M634" s="90"/>
      <c r="N634" s="90"/>
      <c r="O634" s="530"/>
      <c r="P634" s="530"/>
      <c r="Q634" s="530"/>
      <c r="R634" s="530"/>
      <c r="S634" s="530"/>
      <c r="T634" s="530"/>
      <c r="U634" s="530"/>
    </row>
    <row r="635" spans="1:21" ht="9.75" customHeight="1">
      <c r="A635" s="90"/>
      <c r="B635" s="90"/>
      <c r="C635" s="90"/>
      <c r="D635" s="90"/>
      <c r="E635" s="90"/>
      <c r="F635" s="90"/>
      <c r="G635" s="90"/>
      <c r="H635" s="90"/>
      <c r="I635" s="90"/>
      <c r="J635" s="90"/>
      <c r="K635" s="90"/>
      <c r="L635" s="90"/>
      <c r="M635" s="90"/>
      <c r="N635" s="90"/>
      <c r="O635" s="530"/>
      <c r="P635" s="530"/>
      <c r="Q635" s="530"/>
      <c r="R635" s="530"/>
      <c r="S635" s="530"/>
      <c r="T635" s="530"/>
      <c r="U635" s="530"/>
    </row>
    <row r="636" spans="1:21" ht="9.75" customHeight="1">
      <c r="A636" s="90"/>
      <c r="B636" s="90"/>
      <c r="C636" s="90"/>
      <c r="D636" s="90"/>
      <c r="E636" s="90"/>
      <c r="F636" s="90"/>
      <c r="G636" s="90"/>
      <c r="H636" s="90"/>
      <c r="I636" s="90"/>
      <c r="J636" s="90"/>
      <c r="K636" s="90"/>
      <c r="L636" s="90"/>
      <c r="M636" s="90"/>
      <c r="N636" s="90"/>
      <c r="O636" s="530"/>
      <c r="P636" s="530"/>
      <c r="Q636" s="530"/>
      <c r="R636" s="530"/>
      <c r="S636" s="530"/>
      <c r="T636" s="530"/>
      <c r="U636" s="530"/>
    </row>
    <row r="637" spans="1:21" ht="9.75" customHeight="1">
      <c r="A637" s="90"/>
      <c r="B637" s="90"/>
      <c r="C637" s="90"/>
      <c r="D637" s="90"/>
      <c r="E637" s="90"/>
      <c r="F637" s="90"/>
      <c r="G637" s="90"/>
      <c r="H637" s="90"/>
      <c r="I637" s="90"/>
      <c r="J637" s="90"/>
      <c r="K637" s="90"/>
      <c r="L637" s="90"/>
      <c r="M637" s="90"/>
      <c r="N637" s="90"/>
      <c r="O637" s="530"/>
      <c r="P637" s="530"/>
      <c r="Q637" s="530"/>
      <c r="R637" s="530"/>
      <c r="S637" s="530"/>
      <c r="T637" s="530"/>
      <c r="U637" s="530"/>
    </row>
    <row r="638" spans="1:21" ht="9.75" customHeight="1">
      <c r="A638" s="90"/>
      <c r="B638" s="90"/>
      <c r="C638" s="90"/>
      <c r="D638" s="90"/>
      <c r="E638" s="90"/>
      <c r="F638" s="90"/>
      <c r="G638" s="90"/>
      <c r="H638" s="90"/>
      <c r="I638" s="90"/>
      <c r="J638" s="90"/>
      <c r="K638" s="90"/>
      <c r="L638" s="90"/>
      <c r="M638" s="90"/>
      <c r="N638" s="90"/>
      <c r="O638" s="530"/>
      <c r="P638" s="530"/>
      <c r="Q638" s="530"/>
      <c r="R638" s="530"/>
      <c r="S638" s="530"/>
      <c r="T638" s="530"/>
      <c r="U638" s="530"/>
    </row>
    <row r="639" spans="1:21" ht="9.75" customHeight="1">
      <c r="A639" s="90"/>
      <c r="B639" s="90"/>
      <c r="C639" s="90"/>
      <c r="D639" s="90"/>
      <c r="E639" s="90"/>
      <c r="F639" s="90"/>
      <c r="G639" s="90"/>
      <c r="H639" s="90"/>
      <c r="I639" s="90"/>
      <c r="J639" s="90"/>
      <c r="K639" s="90"/>
      <c r="L639" s="90"/>
      <c r="M639" s="90"/>
      <c r="N639" s="90"/>
      <c r="O639" s="530"/>
      <c r="P639" s="530"/>
      <c r="Q639" s="530"/>
      <c r="R639" s="530"/>
      <c r="S639" s="530"/>
      <c r="T639" s="530"/>
      <c r="U639" s="530"/>
    </row>
    <row r="640" spans="1:21" ht="9.75" customHeight="1">
      <c r="A640" s="90"/>
      <c r="B640" s="90"/>
      <c r="C640" s="90"/>
      <c r="D640" s="90"/>
      <c r="E640" s="90"/>
      <c r="F640" s="90"/>
      <c r="G640" s="90"/>
      <c r="H640" s="90"/>
      <c r="I640" s="90"/>
      <c r="J640" s="90"/>
      <c r="K640" s="90"/>
      <c r="L640" s="90"/>
      <c r="M640" s="90"/>
      <c r="N640" s="90"/>
      <c r="O640" s="530"/>
      <c r="P640" s="530"/>
      <c r="Q640" s="530"/>
      <c r="R640" s="530"/>
      <c r="S640" s="530"/>
      <c r="T640" s="530"/>
      <c r="U640" s="530"/>
    </row>
    <row r="641" spans="1:21" ht="9.75" customHeight="1">
      <c r="A641" s="90"/>
      <c r="B641" s="90"/>
      <c r="C641" s="90"/>
      <c r="D641" s="90"/>
      <c r="E641" s="90"/>
      <c r="F641" s="90"/>
      <c r="G641" s="90"/>
      <c r="H641" s="90"/>
      <c r="I641" s="90"/>
      <c r="J641" s="90"/>
      <c r="K641" s="90"/>
      <c r="L641" s="90"/>
      <c r="M641" s="90"/>
      <c r="N641" s="90"/>
      <c r="O641" s="530"/>
      <c r="P641" s="530"/>
      <c r="Q641" s="530"/>
      <c r="R641" s="530"/>
      <c r="S641" s="530"/>
      <c r="T641" s="530"/>
      <c r="U641" s="530"/>
    </row>
    <row r="642" spans="1:21" ht="9.75" customHeight="1">
      <c r="A642" s="90"/>
      <c r="B642" s="90"/>
      <c r="C642" s="90"/>
      <c r="D642" s="90"/>
      <c r="E642" s="90"/>
      <c r="F642" s="90"/>
      <c r="G642" s="90"/>
      <c r="H642" s="90"/>
      <c r="I642" s="90"/>
      <c r="J642" s="90"/>
      <c r="K642" s="90"/>
      <c r="L642" s="90"/>
      <c r="M642" s="90"/>
      <c r="N642" s="90"/>
      <c r="O642" s="530"/>
      <c r="P642" s="530"/>
      <c r="Q642" s="530"/>
      <c r="R642" s="530"/>
      <c r="S642" s="530"/>
      <c r="T642" s="530"/>
      <c r="U642" s="530"/>
    </row>
    <row r="643" spans="1:21" ht="9.75" customHeight="1">
      <c r="A643" s="90"/>
      <c r="B643" s="90"/>
      <c r="C643" s="90"/>
      <c r="D643" s="90"/>
      <c r="E643" s="90"/>
      <c r="F643" s="90"/>
      <c r="G643" s="90"/>
      <c r="H643" s="90"/>
      <c r="I643" s="90"/>
      <c r="J643" s="90"/>
      <c r="K643" s="90"/>
      <c r="L643" s="90"/>
      <c r="M643" s="90"/>
      <c r="N643" s="90"/>
      <c r="O643" s="530"/>
      <c r="P643" s="530"/>
      <c r="Q643" s="530"/>
      <c r="R643" s="530"/>
      <c r="S643" s="530"/>
      <c r="T643" s="530"/>
      <c r="U643" s="530"/>
    </row>
    <row r="644" spans="1:21" ht="9.75" customHeight="1">
      <c r="A644" s="90"/>
      <c r="B644" s="90"/>
      <c r="C644" s="90"/>
      <c r="D644" s="90"/>
      <c r="E644" s="90"/>
      <c r="F644" s="90"/>
      <c r="G644" s="90"/>
      <c r="H644" s="90"/>
      <c r="I644" s="90"/>
      <c r="J644" s="90"/>
      <c r="K644" s="90"/>
      <c r="L644" s="90"/>
      <c r="M644" s="90"/>
      <c r="N644" s="90"/>
      <c r="O644" s="530"/>
      <c r="P644" s="530"/>
      <c r="Q644" s="530"/>
      <c r="R644" s="530"/>
      <c r="S644" s="530"/>
      <c r="T644" s="530"/>
      <c r="U644" s="530"/>
    </row>
    <row r="645" spans="1:21" ht="9.75" customHeight="1">
      <c r="A645" s="90"/>
      <c r="B645" s="90"/>
      <c r="C645" s="90"/>
      <c r="D645" s="90"/>
      <c r="E645" s="90"/>
      <c r="F645" s="90"/>
      <c r="G645" s="90"/>
      <c r="H645" s="90"/>
      <c r="I645" s="90"/>
      <c r="J645" s="90"/>
      <c r="K645" s="90"/>
      <c r="L645" s="90"/>
      <c r="M645" s="90"/>
      <c r="N645" s="90"/>
      <c r="O645" s="530"/>
      <c r="P645" s="530"/>
      <c r="Q645" s="530"/>
      <c r="R645" s="530"/>
      <c r="S645" s="530"/>
      <c r="T645" s="530"/>
      <c r="U645" s="530"/>
    </row>
    <row r="646" spans="1:21" ht="9.75" customHeight="1">
      <c r="A646" s="90"/>
      <c r="B646" s="90"/>
      <c r="C646" s="90"/>
      <c r="D646" s="90"/>
      <c r="E646" s="90"/>
      <c r="F646" s="90"/>
      <c r="G646" s="90"/>
      <c r="H646" s="90"/>
      <c r="I646" s="90"/>
      <c r="J646" s="90"/>
      <c r="K646" s="90"/>
      <c r="L646" s="90"/>
      <c r="M646" s="90"/>
      <c r="N646" s="90"/>
      <c r="O646" s="530"/>
      <c r="P646" s="530"/>
      <c r="Q646" s="530"/>
      <c r="R646" s="530"/>
      <c r="S646" s="530"/>
      <c r="T646" s="530"/>
      <c r="U646" s="530"/>
    </row>
    <row r="647" spans="1:21" ht="9.75" customHeight="1">
      <c r="A647" s="90"/>
      <c r="B647" s="90"/>
      <c r="C647" s="90"/>
      <c r="D647" s="90"/>
      <c r="E647" s="90"/>
      <c r="F647" s="90"/>
      <c r="G647" s="90"/>
      <c r="H647" s="90"/>
      <c r="I647" s="90"/>
      <c r="J647" s="90"/>
      <c r="K647" s="90"/>
      <c r="L647" s="90"/>
      <c r="M647" s="90"/>
      <c r="N647" s="90"/>
      <c r="O647" s="530"/>
      <c r="P647" s="530"/>
      <c r="Q647" s="530"/>
      <c r="R647" s="530"/>
      <c r="S647" s="530"/>
      <c r="T647" s="530"/>
      <c r="U647" s="530"/>
    </row>
    <row r="648" spans="1:21" ht="9.75" customHeight="1">
      <c r="A648" s="90"/>
      <c r="B648" s="90"/>
      <c r="C648" s="90"/>
      <c r="D648" s="90"/>
      <c r="E648" s="90"/>
      <c r="F648" s="90"/>
      <c r="G648" s="90"/>
      <c r="H648" s="90"/>
      <c r="I648" s="90"/>
      <c r="J648" s="90"/>
      <c r="K648" s="90"/>
      <c r="L648" s="90"/>
      <c r="M648" s="90"/>
      <c r="N648" s="90"/>
      <c r="O648" s="530"/>
      <c r="P648" s="530"/>
      <c r="Q648" s="530"/>
      <c r="R648" s="530"/>
      <c r="S648" s="530"/>
      <c r="T648" s="530"/>
      <c r="U648" s="530"/>
    </row>
    <row r="649" spans="1:21" ht="9.75" customHeight="1">
      <c r="A649" s="90"/>
      <c r="B649" s="90"/>
      <c r="C649" s="90"/>
      <c r="D649" s="90"/>
      <c r="E649" s="90"/>
      <c r="F649" s="90"/>
      <c r="G649" s="90"/>
      <c r="H649" s="90"/>
      <c r="I649" s="90"/>
      <c r="J649" s="90"/>
      <c r="K649" s="90"/>
      <c r="L649" s="90"/>
      <c r="M649" s="90"/>
      <c r="N649" s="90"/>
      <c r="O649" s="530"/>
      <c r="P649" s="530"/>
      <c r="Q649" s="530"/>
      <c r="R649" s="530"/>
      <c r="S649" s="530"/>
      <c r="T649" s="530"/>
      <c r="U649" s="530"/>
    </row>
    <row r="650" spans="1:21" ht="9.75" customHeight="1">
      <c r="A650" s="90"/>
      <c r="B650" s="90"/>
      <c r="C650" s="90"/>
      <c r="D650" s="90"/>
      <c r="E650" s="90"/>
      <c r="F650" s="90"/>
      <c r="G650" s="90"/>
      <c r="H650" s="90"/>
      <c r="I650" s="90"/>
      <c r="J650" s="90"/>
      <c r="K650" s="90"/>
      <c r="L650" s="90"/>
      <c r="M650" s="90"/>
      <c r="N650" s="90"/>
      <c r="O650" s="530"/>
      <c r="P650" s="530"/>
      <c r="Q650" s="530"/>
      <c r="R650" s="530"/>
      <c r="S650" s="530"/>
      <c r="T650" s="530"/>
      <c r="U650" s="530"/>
    </row>
    <row r="651" spans="1:21" ht="9.75" customHeight="1">
      <c r="A651" s="90"/>
      <c r="B651" s="90"/>
      <c r="C651" s="90"/>
      <c r="D651" s="90"/>
      <c r="E651" s="90"/>
      <c r="F651" s="90"/>
      <c r="G651" s="90"/>
      <c r="H651" s="90"/>
      <c r="I651" s="90"/>
      <c r="J651" s="90"/>
      <c r="K651" s="90"/>
      <c r="L651" s="90"/>
      <c r="M651" s="90"/>
      <c r="N651" s="90"/>
      <c r="O651" s="530"/>
      <c r="P651" s="530"/>
      <c r="Q651" s="530"/>
      <c r="R651" s="530"/>
      <c r="S651" s="530"/>
      <c r="T651" s="530"/>
      <c r="U651" s="530"/>
    </row>
    <row r="652" spans="1:21" ht="9.75" customHeight="1">
      <c r="A652" s="90"/>
      <c r="B652" s="90"/>
      <c r="C652" s="90"/>
      <c r="D652" s="90"/>
      <c r="E652" s="90"/>
      <c r="F652" s="90"/>
      <c r="G652" s="90"/>
      <c r="H652" s="90"/>
      <c r="I652" s="90"/>
      <c r="J652" s="90"/>
      <c r="K652" s="90"/>
      <c r="L652" s="90"/>
      <c r="M652" s="90"/>
      <c r="N652" s="90"/>
      <c r="O652" s="530"/>
      <c r="P652" s="530"/>
      <c r="Q652" s="530"/>
      <c r="R652" s="530"/>
      <c r="S652" s="530"/>
      <c r="T652" s="530"/>
      <c r="U652" s="530"/>
    </row>
    <row r="653" spans="1:21" ht="9.75" customHeight="1">
      <c r="A653" s="90"/>
      <c r="B653" s="90"/>
      <c r="C653" s="90"/>
      <c r="D653" s="90"/>
      <c r="E653" s="90"/>
      <c r="F653" s="90"/>
      <c r="G653" s="90"/>
      <c r="H653" s="90"/>
      <c r="I653" s="90"/>
      <c r="J653" s="90"/>
      <c r="K653" s="90"/>
      <c r="L653" s="90"/>
      <c r="M653" s="90"/>
      <c r="N653" s="90"/>
      <c r="O653" s="530"/>
      <c r="P653" s="530"/>
      <c r="Q653" s="530"/>
      <c r="R653" s="530"/>
      <c r="S653" s="530"/>
      <c r="T653" s="530"/>
      <c r="U653" s="530"/>
    </row>
    <row r="654" spans="1:21" ht="9.75" customHeight="1">
      <c r="A654" s="90"/>
      <c r="B654" s="90"/>
      <c r="C654" s="90"/>
      <c r="D654" s="90"/>
      <c r="E654" s="90"/>
      <c r="F654" s="90"/>
      <c r="G654" s="90"/>
      <c r="H654" s="90"/>
      <c r="I654" s="90"/>
      <c r="J654" s="90"/>
      <c r="K654" s="90"/>
      <c r="L654" s="90"/>
      <c r="M654" s="90"/>
      <c r="N654" s="90"/>
      <c r="O654" s="530"/>
      <c r="P654" s="530"/>
      <c r="Q654" s="530"/>
      <c r="R654" s="530"/>
      <c r="S654" s="530"/>
      <c r="T654" s="530"/>
      <c r="U654" s="530"/>
    </row>
    <row r="655" spans="1:21" ht="9.75" customHeight="1">
      <c r="A655" s="90"/>
      <c r="B655" s="90"/>
      <c r="C655" s="90"/>
      <c r="D655" s="90"/>
      <c r="E655" s="90"/>
      <c r="F655" s="90"/>
      <c r="G655" s="90"/>
      <c r="H655" s="90"/>
      <c r="I655" s="90"/>
      <c r="J655" s="90"/>
      <c r="K655" s="90"/>
      <c r="L655" s="90"/>
      <c r="M655" s="90"/>
      <c r="N655" s="90"/>
      <c r="O655" s="530"/>
      <c r="P655" s="530"/>
      <c r="Q655" s="530"/>
      <c r="R655" s="530"/>
      <c r="S655" s="530"/>
      <c r="T655" s="530"/>
      <c r="U655" s="530"/>
    </row>
    <row r="656" spans="1:21" ht="9.75" customHeight="1">
      <c r="A656" s="90"/>
      <c r="B656" s="90"/>
      <c r="C656" s="90"/>
      <c r="D656" s="90"/>
      <c r="E656" s="90"/>
      <c r="F656" s="90"/>
      <c r="G656" s="90"/>
      <c r="H656" s="90"/>
      <c r="I656" s="90"/>
      <c r="J656" s="90"/>
      <c r="K656" s="90"/>
      <c r="L656" s="90"/>
      <c r="M656" s="90"/>
      <c r="N656" s="90"/>
      <c r="O656" s="530"/>
      <c r="P656" s="530"/>
      <c r="Q656" s="530"/>
      <c r="R656" s="530"/>
      <c r="S656" s="530"/>
      <c r="T656" s="530"/>
      <c r="U656" s="530"/>
    </row>
    <row r="657" spans="1:21" ht="9.75" customHeight="1">
      <c r="A657" s="90"/>
      <c r="B657" s="90"/>
      <c r="C657" s="90"/>
      <c r="D657" s="90"/>
      <c r="E657" s="90"/>
      <c r="F657" s="90"/>
      <c r="G657" s="90"/>
      <c r="H657" s="90"/>
      <c r="I657" s="90"/>
      <c r="J657" s="90"/>
      <c r="K657" s="90"/>
      <c r="L657" s="90"/>
      <c r="M657" s="90"/>
      <c r="N657" s="90"/>
      <c r="O657" s="530"/>
      <c r="P657" s="530"/>
      <c r="Q657" s="530"/>
      <c r="R657" s="530"/>
      <c r="S657" s="530"/>
      <c r="T657" s="530"/>
      <c r="U657" s="530"/>
    </row>
    <row r="658" spans="1:21" ht="9.75" customHeight="1">
      <c r="A658" s="90"/>
      <c r="B658" s="90"/>
      <c r="C658" s="90"/>
      <c r="D658" s="90"/>
      <c r="E658" s="90"/>
      <c r="F658" s="90"/>
      <c r="G658" s="90"/>
      <c r="H658" s="90"/>
      <c r="I658" s="90"/>
      <c r="J658" s="90"/>
      <c r="K658" s="90"/>
      <c r="L658" s="90"/>
      <c r="M658" s="90"/>
      <c r="N658" s="90"/>
      <c r="O658" s="530"/>
      <c r="P658" s="530"/>
      <c r="Q658" s="530"/>
      <c r="R658" s="530"/>
      <c r="S658" s="530"/>
      <c r="T658" s="530"/>
      <c r="U658" s="530"/>
    </row>
    <row r="659" spans="1:21" ht="9.75" customHeight="1">
      <c r="A659" s="90"/>
      <c r="B659" s="90"/>
      <c r="C659" s="90"/>
      <c r="D659" s="90"/>
      <c r="E659" s="90"/>
      <c r="F659" s="90"/>
      <c r="G659" s="90"/>
      <c r="H659" s="90"/>
      <c r="I659" s="90"/>
      <c r="J659" s="90"/>
      <c r="K659" s="90"/>
      <c r="L659" s="90"/>
      <c r="M659" s="90"/>
      <c r="N659" s="90"/>
      <c r="O659" s="530"/>
      <c r="P659" s="530"/>
      <c r="Q659" s="530"/>
      <c r="R659" s="530"/>
      <c r="S659" s="530"/>
      <c r="T659" s="530"/>
      <c r="U659" s="530"/>
    </row>
    <row r="660" spans="1:21" ht="9.75" customHeight="1">
      <c r="A660" s="90"/>
      <c r="B660" s="90"/>
      <c r="C660" s="90"/>
      <c r="D660" s="90"/>
      <c r="E660" s="90"/>
      <c r="F660" s="90"/>
      <c r="G660" s="90"/>
      <c r="H660" s="90"/>
      <c r="I660" s="90"/>
      <c r="J660" s="90"/>
      <c r="K660" s="90"/>
      <c r="L660" s="90"/>
      <c r="M660" s="90"/>
      <c r="N660" s="90"/>
      <c r="O660" s="530"/>
      <c r="P660" s="530"/>
      <c r="Q660" s="530"/>
      <c r="R660" s="530"/>
      <c r="S660" s="530"/>
      <c r="T660" s="530"/>
      <c r="U660" s="530"/>
    </row>
    <row r="661" spans="1:21" ht="9.75" customHeight="1">
      <c r="A661" s="90"/>
      <c r="B661" s="90"/>
      <c r="C661" s="90"/>
      <c r="D661" s="90"/>
      <c r="E661" s="90"/>
      <c r="F661" s="90"/>
      <c r="G661" s="90"/>
      <c r="H661" s="90"/>
      <c r="I661" s="90"/>
      <c r="J661" s="90"/>
      <c r="K661" s="90"/>
      <c r="L661" s="90"/>
      <c r="M661" s="90"/>
      <c r="N661" s="90"/>
      <c r="O661" s="530"/>
      <c r="P661" s="530"/>
      <c r="Q661" s="530"/>
      <c r="R661" s="530"/>
      <c r="S661" s="530"/>
      <c r="T661" s="530"/>
      <c r="U661" s="530"/>
    </row>
    <row r="662" spans="1:21" ht="9.75" customHeight="1">
      <c r="A662" s="90"/>
      <c r="B662" s="90"/>
      <c r="C662" s="90"/>
      <c r="D662" s="90"/>
      <c r="E662" s="90"/>
      <c r="F662" s="90"/>
      <c r="G662" s="90"/>
      <c r="H662" s="90"/>
      <c r="I662" s="90"/>
      <c r="J662" s="90"/>
      <c r="K662" s="90"/>
      <c r="L662" s="90"/>
      <c r="M662" s="90"/>
      <c r="N662" s="90"/>
      <c r="O662" s="530"/>
      <c r="P662" s="530"/>
      <c r="Q662" s="530"/>
      <c r="R662" s="530"/>
      <c r="S662" s="530"/>
      <c r="T662" s="530"/>
      <c r="U662" s="530"/>
    </row>
    <row r="663" spans="1:21" ht="9.75" customHeight="1">
      <c r="A663" s="90"/>
      <c r="B663" s="90"/>
      <c r="C663" s="90"/>
      <c r="D663" s="90"/>
      <c r="E663" s="90"/>
      <c r="F663" s="90"/>
      <c r="G663" s="90"/>
      <c r="H663" s="90"/>
      <c r="I663" s="90"/>
      <c r="J663" s="90"/>
      <c r="K663" s="90"/>
      <c r="L663" s="90"/>
      <c r="M663" s="90"/>
      <c r="N663" s="90"/>
      <c r="O663" s="530"/>
      <c r="P663" s="530"/>
      <c r="Q663" s="530"/>
      <c r="R663" s="530"/>
      <c r="S663" s="530"/>
      <c r="T663" s="530"/>
      <c r="U663" s="530"/>
    </row>
    <row r="664" spans="1:21" ht="9.75" customHeight="1">
      <c r="A664" s="90"/>
      <c r="B664" s="90"/>
      <c r="C664" s="90"/>
      <c r="D664" s="90"/>
      <c r="E664" s="90"/>
      <c r="F664" s="90"/>
      <c r="G664" s="90"/>
      <c r="H664" s="90"/>
      <c r="I664" s="90"/>
      <c r="J664" s="90"/>
      <c r="K664" s="90"/>
      <c r="L664" s="90"/>
      <c r="M664" s="90"/>
      <c r="N664" s="90"/>
      <c r="O664" s="530"/>
      <c r="P664" s="530"/>
      <c r="Q664" s="530"/>
      <c r="R664" s="530"/>
      <c r="S664" s="530"/>
      <c r="T664" s="530"/>
      <c r="U664" s="530"/>
    </row>
    <row r="665" spans="1:21" ht="9.75" customHeight="1">
      <c r="A665" s="90"/>
      <c r="B665" s="90"/>
      <c r="C665" s="90"/>
      <c r="D665" s="90"/>
      <c r="E665" s="90"/>
      <c r="F665" s="90"/>
      <c r="G665" s="90"/>
      <c r="H665" s="90"/>
      <c r="I665" s="90"/>
      <c r="J665" s="90"/>
      <c r="K665" s="90"/>
      <c r="L665" s="90"/>
      <c r="M665" s="90"/>
      <c r="N665" s="90"/>
      <c r="O665" s="530"/>
      <c r="P665" s="530"/>
      <c r="Q665" s="530"/>
      <c r="R665" s="530"/>
      <c r="S665" s="530"/>
      <c r="T665" s="530"/>
      <c r="U665" s="530"/>
    </row>
    <row r="666" spans="1:21" ht="9.75" customHeight="1">
      <c r="A666" s="90"/>
      <c r="B666" s="90"/>
      <c r="C666" s="90"/>
      <c r="D666" s="90"/>
      <c r="E666" s="90"/>
      <c r="F666" s="90"/>
      <c r="G666" s="90"/>
      <c r="H666" s="90"/>
      <c r="I666" s="90"/>
      <c r="J666" s="90"/>
      <c r="K666" s="90"/>
      <c r="L666" s="90"/>
      <c r="M666" s="90"/>
      <c r="N666" s="90"/>
      <c r="O666" s="530"/>
      <c r="P666" s="530"/>
      <c r="Q666" s="530"/>
      <c r="R666" s="530"/>
      <c r="S666" s="530"/>
      <c r="T666" s="530"/>
      <c r="U666" s="530"/>
    </row>
    <row r="667" spans="1:21" ht="9.75" customHeight="1">
      <c r="A667" s="90"/>
      <c r="B667" s="90"/>
      <c r="C667" s="90"/>
      <c r="D667" s="90"/>
      <c r="E667" s="90"/>
      <c r="F667" s="90"/>
      <c r="G667" s="90"/>
      <c r="H667" s="90"/>
      <c r="I667" s="90"/>
      <c r="J667" s="90"/>
      <c r="K667" s="90"/>
      <c r="L667" s="90"/>
      <c r="M667" s="90"/>
      <c r="N667" s="90"/>
      <c r="O667" s="530"/>
      <c r="P667" s="530"/>
      <c r="Q667" s="530"/>
      <c r="R667" s="530"/>
      <c r="S667" s="530"/>
      <c r="T667" s="530"/>
      <c r="U667" s="530"/>
    </row>
    <row r="668" spans="1:21" ht="9.75" customHeight="1">
      <c r="A668" s="90"/>
      <c r="B668" s="90"/>
      <c r="C668" s="90"/>
      <c r="D668" s="90"/>
      <c r="E668" s="90"/>
      <c r="F668" s="90"/>
      <c r="G668" s="90"/>
      <c r="H668" s="90"/>
      <c r="I668" s="90"/>
      <c r="J668" s="90"/>
      <c r="K668" s="90"/>
      <c r="L668" s="90"/>
      <c r="M668" s="90"/>
      <c r="N668" s="90"/>
      <c r="O668" s="530"/>
      <c r="P668" s="530"/>
      <c r="Q668" s="530"/>
      <c r="R668" s="530"/>
      <c r="S668" s="530"/>
      <c r="T668" s="530"/>
      <c r="U668" s="530"/>
    </row>
    <row r="669" spans="1:21" ht="9.75" customHeight="1">
      <c r="A669" s="90"/>
      <c r="B669" s="90"/>
      <c r="C669" s="90"/>
      <c r="D669" s="90"/>
      <c r="E669" s="90"/>
      <c r="F669" s="90"/>
      <c r="G669" s="90"/>
      <c r="H669" s="90"/>
      <c r="I669" s="90"/>
      <c r="J669" s="90"/>
      <c r="K669" s="90"/>
      <c r="L669" s="90"/>
      <c r="M669" s="90"/>
      <c r="N669" s="90"/>
      <c r="O669" s="530"/>
      <c r="P669" s="530"/>
      <c r="Q669" s="530"/>
      <c r="R669" s="530"/>
      <c r="S669" s="530"/>
      <c r="T669" s="530"/>
      <c r="U669" s="530"/>
    </row>
    <row r="670" spans="1:21" ht="9.75" customHeight="1">
      <c r="A670" s="90"/>
      <c r="B670" s="90"/>
      <c r="C670" s="90"/>
      <c r="D670" s="90"/>
      <c r="E670" s="90"/>
      <c r="F670" s="90"/>
      <c r="G670" s="90"/>
      <c r="H670" s="90"/>
      <c r="I670" s="90"/>
      <c r="J670" s="90"/>
      <c r="K670" s="90"/>
      <c r="L670" s="90"/>
      <c r="M670" s="90"/>
      <c r="N670" s="90"/>
      <c r="O670" s="530"/>
      <c r="P670" s="530"/>
      <c r="Q670" s="530"/>
      <c r="R670" s="530"/>
      <c r="S670" s="530"/>
      <c r="T670" s="530"/>
      <c r="U670" s="530"/>
    </row>
    <row r="671" spans="1:21" ht="9.75" customHeight="1">
      <c r="A671" s="90"/>
      <c r="B671" s="90"/>
      <c r="C671" s="90"/>
      <c r="D671" s="90"/>
      <c r="E671" s="90"/>
      <c r="F671" s="90"/>
      <c r="G671" s="90"/>
      <c r="H671" s="90"/>
      <c r="I671" s="90"/>
      <c r="J671" s="90"/>
      <c r="K671" s="90"/>
      <c r="L671" s="90"/>
      <c r="M671" s="90"/>
      <c r="N671" s="90"/>
      <c r="O671" s="530"/>
      <c r="P671" s="530"/>
      <c r="Q671" s="530"/>
      <c r="R671" s="530"/>
      <c r="S671" s="530"/>
      <c r="T671" s="530"/>
      <c r="U671" s="530"/>
    </row>
    <row r="672" spans="1:21" ht="9.75" customHeight="1">
      <c r="A672" s="90"/>
      <c r="B672" s="90"/>
      <c r="C672" s="90"/>
      <c r="D672" s="90"/>
      <c r="E672" s="90"/>
      <c r="F672" s="90"/>
      <c r="G672" s="90"/>
      <c r="H672" s="90"/>
      <c r="I672" s="90"/>
      <c r="J672" s="90"/>
      <c r="K672" s="90"/>
      <c r="L672" s="90"/>
      <c r="M672" s="90"/>
      <c r="N672" s="90"/>
      <c r="O672" s="530"/>
      <c r="P672" s="530"/>
      <c r="Q672" s="530"/>
      <c r="R672" s="530"/>
      <c r="S672" s="530"/>
      <c r="T672" s="530"/>
      <c r="U672" s="530"/>
    </row>
    <row r="673" spans="1:21" ht="9.75" customHeight="1">
      <c r="A673" s="90"/>
      <c r="B673" s="90"/>
      <c r="C673" s="90"/>
      <c r="D673" s="90"/>
      <c r="E673" s="90"/>
      <c r="F673" s="90"/>
      <c r="G673" s="90"/>
      <c r="H673" s="90"/>
      <c r="I673" s="90"/>
      <c r="J673" s="90"/>
      <c r="K673" s="90"/>
      <c r="L673" s="90"/>
      <c r="M673" s="90"/>
      <c r="N673" s="90"/>
      <c r="O673" s="530"/>
      <c r="P673" s="530"/>
      <c r="Q673" s="530"/>
      <c r="R673" s="530"/>
      <c r="S673" s="530"/>
      <c r="T673" s="530"/>
      <c r="U673" s="530"/>
    </row>
    <row r="674" spans="1:21" ht="9.75" customHeight="1">
      <c r="A674" s="90"/>
      <c r="B674" s="90"/>
      <c r="C674" s="90"/>
      <c r="D674" s="90"/>
      <c r="E674" s="90"/>
      <c r="F674" s="90"/>
      <c r="G674" s="90"/>
      <c r="H674" s="90"/>
      <c r="I674" s="90"/>
      <c r="J674" s="90"/>
      <c r="K674" s="90"/>
      <c r="L674" s="90"/>
      <c r="M674" s="90"/>
      <c r="N674" s="90"/>
      <c r="O674" s="530"/>
      <c r="P674" s="530"/>
      <c r="Q674" s="530"/>
      <c r="R674" s="530"/>
      <c r="S674" s="530"/>
      <c r="T674" s="530"/>
      <c r="U674" s="530"/>
    </row>
    <row r="675" spans="1:21" ht="9.75" customHeight="1">
      <c r="A675" s="90"/>
      <c r="B675" s="90"/>
      <c r="C675" s="90"/>
      <c r="D675" s="90"/>
      <c r="E675" s="90"/>
      <c r="F675" s="90"/>
      <c r="G675" s="90"/>
      <c r="H675" s="90"/>
      <c r="I675" s="90"/>
      <c r="J675" s="90"/>
      <c r="K675" s="90"/>
      <c r="L675" s="90"/>
      <c r="M675" s="90"/>
      <c r="N675" s="90"/>
      <c r="O675" s="530"/>
      <c r="P675" s="530"/>
      <c r="Q675" s="530"/>
      <c r="R675" s="530"/>
      <c r="S675" s="530"/>
      <c r="T675" s="530"/>
      <c r="U675" s="530"/>
    </row>
    <row r="676" spans="1:21" ht="9.75" customHeight="1">
      <c r="A676" s="90"/>
      <c r="B676" s="90"/>
      <c r="C676" s="90"/>
      <c r="D676" s="90"/>
      <c r="E676" s="90"/>
      <c r="F676" s="90"/>
      <c r="G676" s="90"/>
      <c r="H676" s="90"/>
      <c r="I676" s="90"/>
      <c r="J676" s="90"/>
      <c r="K676" s="90"/>
      <c r="L676" s="90"/>
      <c r="M676" s="90"/>
      <c r="N676" s="90"/>
      <c r="O676" s="530"/>
      <c r="P676" s="530"/>
      <c r="Q676" s="530"/>
      <c r="R676" s="530"/>
      <c r="S676" s="530"/>
      <c r="T676" s="530"/>
      <c r="U676" s="530"/>
    </row>
    <row r="677" spans="1:21" ht="9.75" customHeight="1">
      <c r="A677" s="90"/>
      <c r="B677" s="90"/>
      <c r="C677" s="90"/>
      <c r="D677" s="90"/>
      <c r="E677" s="90"/>
      <c r="F677" s="90"/>
      <c r="G677" s="90"/>
      <c r="H677" s="90"/>
      <c r="I677" s="90"/>
      <c r="J677" s="90"/>
      <c r="K677" s="90"/>
      <c r="L677" s="90"/>
      <c r="M677" s="90"/>
      <c r="N677" s="90"/>
      <c r="O677" s="530"/>
      <c r="P677" s="530"/>
      <c r="Q677" s="530"/>
      <c r="R677" s="530"/>
      <c r="S677" s="530"/>
      <c r="T677" s="530"/>
      <c r="U677" s="530"/>
    </row>
    <row r="678" spans="1:21" ht="9.75" customHeight="1">
      <c r="A678" s="90"/>
      <c r="B678" s="90"/>
      <c r="C678" s="90"/>
      <c r="D678" s="90"/>
      <c r="E678" s="90"/>
      <c r="F678" s="90"/>
      <c r="G678" s="90"/>
      <c r="H678" s="90"/>
      <c r="I678" s="90"/>
      <c r="J678" s="90"/>
      <c r="K678" s="90"/>
      <c r="L678" s="90"/>
      <c r="M678" s="90"/>
      <c r="N678" s="90"/>
      <c r="O678" s="530"/>
      <c r="P678" s="530"/>
      <c r="Q678" s="530"/>
      <c r="R678" s="530"/>
      <c r="S678" s="530"/>
      <c r="T678" s="530"/>
      <c r="U678" s="530"/>
    </row>
    <row r="679" spans="1:21" ht="9.75" customHeight="1">
      <c r="A679" s="90"/>
      <c r="B679" s="90"/>
      <c r="C679" s="90"/>
      <c r="D679" s="90"/>
      <c r="E679" s="90"/>
      <c r="F679" s="90"/>
      <c r="G679" s="90"/>
      <c r="H679" s="90"/>
      <c r="I679" s="90"/>
      <c r="J679" s="90"/>
      <c r="K679" s="90"/>
      <c r="L679" s="90"/>
      <c r="M679" s="90"/>
      <c r="N679" s="90"/>
      <c r="O679" s="530"/>
      <c r="P679" s="530"/>
      <c r="Q679" s="530"/>
      <c r="R679" s="530"/>
      <c r="S679" s="530"/>
      <c r="T679" s="530"/>
      <c r="U679" s="530"/>
    </row>
    <row r="680" spans="1:21" ht="9.75" customHeight="1">
      <c r="A680" s="90"/>
      <c r="B680" s="90"/>
      <c r="C680" s="90"/>
      <c r="D680" s="90"/>
      <c r="E680" s="90"/>
      <c r="F680" s="90"/>
      <c r="G680" s="90"/>
      <c r="H680" s="90"/>
      <c r="I680" s="90"/>
      <c r="J680" s="90"/>
      <c r="K680" s="90"/>
      <c r="L680" s="90"/>
      <c r="M680" s="90"/>
      <c r="N680" s="90"/>
      <c r="O680" s="530"/>
      <c r="P680" s="530"/>
      <c r="Q680" s="530"/>
      <c r="R680" s="530"/>
      <c r="S680" s="530"/>
      <c r="T680" s="530"/>
      <c r="U680" s="530"/>
    </row>
    <row r="681" spans="1:21" ht="9.75" customHeight="1">
      <c r="A681" s="90"/>
      <c r="B681" s="90"/>
      <c r="C681" s="90"/>
      <c r="D681" s="90"/>
      <c r="E681" s="90"/>
      <c r="F681" s="90"/>
      <c r="G681" s="90"/>
      <c r="H681" s="90"/>
      <c r="I681" s="90"/>
      <c r="J681" s="90"/>
      <c r="K681" s="90"/>
      <c r="L681" s="90"/>
      <c r="M681" s="90"/>
      <c r="N681" s="90"/>
      <c r="O681" s="530"/>
      <c r="P681" s="530"/>
      <c r="Q681" s="530"/>
      <c r="R681" s="530"/>
      <c r="S681" s="530"/>
      <c r="T681" s="530"/>
      <c r="U681" s="530"/>
    </row>
    <row r="682" spans="1:21" ht="9.75" customHeight="1">
      <c r="A682" s="90"/>
      <c r="B682" s="90"/>
      <c r="C682" s="90"/>
      <c r="D682" s="90"/>
      <c r="E682" s="90"/>
      <c r="F682" s="90"/>
      <c r="G682" s="90"/>
      <c r="H682" s="90"/>
      <c r="I682" s="90"/>
      <c r="J682" s="90"/>
      <c r="K682" s="90"/>
      <c r="L682" s="90"/>
      <c r="M682" s="90"/>
      <c r="N682" s="90"/>
      <c r="O682" s="530"/>
      <c r="P682" s="530"/>
      <c r="Q682" s="530"/>
      <c r="R682" s="530"/>
      <c r="S682" s="530"/>
      <c r="T682" s="530"/>
      <c r="U682" s="530"/>
    </row>
    <row r="683" spans="1:21" ht="9.75" customHeight="1">
      <c r="A683" s="90"/>
      <c r="B683" s="90"/>
      <c r="C683" s="90"/>
      <c r="D683" s="90"/>
      <c r="E683" s="90"/>
      <c r="F683" s="90"/>
      <c r="G683" s="90"/>
      <c r="H683" s="90"/>
      <c r="I683" s="90"/>
      <c r="J683" s="90"/>
      <c r="K683" s="90"/>
      <c r="L683" s="90"/>
      <c r="M683" s="90"/>
      <c r="N683" s="90"/>
      <c r="O683" s="530"/>
      <c r="P683" s="530"/>
      <c r="Q683" s="530"/>
      <c r="R683" s="530"/>
      <c r="S683" s="530"/>
      <c r="T683" s="530"/>
      <c r="U683" s="530"/>
    </row>
    <row r="684" spans="1:21" ht="9.75" customHeight="1">
      <c r="A684" s="90"/>
      <c r="B684" s="90"/>
      <c r="C684" s="90"/>
      <c r="D684" s="90"/>
      <c r="E684" s="90"/>
      <c r="F684" s="90"/>
      <c r="G684" s="90"/>
      <c r="H684" s="90"/>
      <c r="I684" s="90"/>
      <c r="J684" s="90"/>
      <c r="K684" s="90"/>
      <c r="L684" s="90"/>
      <c r="M684" s="90"/>
      <c r="N684" s="90"/>
      <c r="O684" s="530"/>
      <c r="P684" s="530"/>
      <c r="Q684" s="530"/>
      <c r="R684" s="530"/>
      <c r="S684" s="530"/>
      <c r="T684" s="530"/>
      <c r="U684" s="530"/>
    </row>
    <row r="685" spans="1:21" ht="9.75" customHeight="1">
      <c r="A685" s="90"/>
      <c r="B685" s="90"/>
      <c r="C685" s="90"/>
      <c r="D685" s="90"/>
      <c r="E685" s="90"/>
      <c r="F685" s="90"/>
      <c r="G685" s="90"/>
      <c r="H685" s="90"/>
      <c r="I685" s="90"/>
      <c r="J685" s="90"/>
      <c r="K685" s="90"/>
      <c r="L685" s="90"/>
      <c r="M685" s="90"/>
      <c r="N685" s="90"/>
      <c r="O685" s="530"/>
      <c r="P685" s="530"/>
      <c r="Q685" s="530"/>
      <c r="R685" s="530"/>
      <c r="S685" s="530"/>
      <c r="T685" s="530"/>
      <c r="U685" s="530"/>
    </row>
    <row r="686" spans="1:21" ht="9.75" customHeight="1">
      <c r="A686" s="90"/>
      <c r="B686" s="90"/>
      <c r="C686" s="90"/>
      <c r="D686" s="90"/>
      <c r="E686" s="90"/>
      <c r="F686" s="90"/>
      <c r="G686" s="90"/>
      <c r="H686" s="90"/>
      <c r="I686" s="90"/>
      <c r="J686" s="90"/>
      <c r="K686" s="90"/>
      <c r="L686" s="90"/>
      <c r="M686" s="90"/>
      <c r="N686" s="90"/>
      <c r="O686" s="530"/>
      <c r="P686" s="530"/>
      <c r="Q686" s="530"/>
      <c r="R686" s="530"/>
      <c r="S686" s="530"/>
      <c r="T686" s="530"/>
      <c r="U686" s="530"/>
    </row>
    <row r="687" spans="1:21" ht="9.75" customHeight="1">
      <c r="A687" s="90"/>
      <c r="B687" s="90"/>
      <c r="C687" s="90"/>
      <c r="D687" s="90"/>
      <c r="E687" s="90"/>
      <c r="F687" s="90"/>
      <c r="G687" s="90"/>
      <c r="H687" s="90"/>
      <c r="I687" s="90"/>
      <c r="J687" s="90"/>
      <c r="K687" s="90"/>
      <c r="L687" s="90"/>
      <c r="M687" s="90"/>
      <c r="N687" s="90"/>
      <c r="O687" s="530"/>
      <c r="P687" s="530"/>
      <c r="Q687" s="530"/>
      <c r="R687" s="530"/>
      <c r="S687" s="530"/>
      <c r="T687" s="530"/>
      <c r="U687" s="530"/>
    </row>
    <row r="688" spans="1:21" ht="9.75" customHeight="1">
      <c r="A688" s="90"/>
      <c r="B688" s="90"/>
      <c r="C688" s="90"/>
      <c r="D688" s="90"/>
      <c r="E688" s="90"/>
      <c r="F688" s="90"/>
      <c r="G688" s="90"/>
      <c r="H688" s="90"/>
      <c r="I688" s="90"/>
      <c r="J688" s="90"/>
      <c r="K688" s="90"/>
      <c r="L688" s="90"/>
      <c r="M688" s="90"/>
      <c r="N688" s="90"/>
      <c r="O688" s="530"/>
      <c r="P688" s="530"/>
      <c r="Q688" s="530"/>
      <c r="R688" s="530"/>
      <c r="S688" s="530"/>
      <c r="T688" s="530"/>
      <c r="U688" s="530"/>
    </row>
    <row r="689" spans="1:21" ht="9.75" customHeight="1">
      <c r="A689" s="90"/>
      <c r="B689" s="90"/>
      <c r="C689" s="90"/>
      <c r="D689" s="90"/>
      <c r="E689" s="90"/>
      <c r="F689" s="90"/>
      <c r="G689" s="90"/>
      <c r="H689" s="90"/>
      <c r="I689" s="90"/>
      <c r="J689" s="90"/>
      <c r="K689" s="90"/>
      <c r="L689" s="90"/>
      <c r="M689" s="90"/>
      <c r="N689" s="90"/>
      <c r="O689" s="530"/>
      <c r="P689" s="530"/>
      <c r="Q689" s="530"/>
      <c r="R689" s="530"/>
      <c r="S689" s="530"/>
      <c r="T689" s="530"/>
      <c r="U689" s="530"/>
    </row>
    <row r="690" spans="1:21" ht="9.75" customHeight="1">
      <c r="A690" s="90"/>
      <c r="B690" s="90"/>
      <c r="C690" s="90"/>
      <c r="D690" s="90"/>
      <c r="E690" s="90"/>
      <c r="F690" s="90"/>
      <c r="G690" s="90"/>
      <c r="H690" s="90"/>
      <c r="I690" s="90"/>
      <c r="J690" s="90"/>
      <c r="K690" s="90"/>
      <c r="L690" s="90"/>
      <c r="M690" s="90"/>
      <c r="N690" s="90"/>
      <c r="O690" s="530"/>
      <c r="P690" s="530"/>
      <c r="Q690" s="530"/>
      <c r="R690" s="530"/>
      <c r="S690" s="530"/>
      <c r="T690" s="530"/>
      <c r="U690" s="530"/>
    </row>
    <row r="691" spans="1:21" ht="9.75" customHeight="1">
      <c r="A691" s="90"/>
      <c r="B691" s="90"/>
      <c r="C691" s="90"/>
      <c r="D691" s="90"/>
      <c r="E691" s="90"/>
      <c r="F691" s="90"/>
      <c r="G691" s="90"/>
      <c r="H691" s="90"/>
      <c r="I691" s="90"/>
      <c r="J691" s="90"/>
      <c r="K691" s="90"/>
      <c r="L691" s="90"/>
      <c r="M691" s="90"/>
      <c r="N691" s="90"/>
      <c r="O691" s="530"/>
      <c r="P691" s="530"/>
      <c r="Q691" s="530"/>
      <c r="R691" s="530"/>
      <c r="S691" s="530"/>
      <c r="T691" s="530"/>
      <c r="U691" s="530"/>
    </row>
    <row r="692" spans="1:21" ht="9.75" customHeight="1">
      <c r="A692" s="90"/>
      <c r="B692" s="90"/>
      <c r="C692" s="90"/>
      <c r="D692" s="90"/>
      <c r="E692" s="90"/>
      <c r="F692" s="90"/>
      <c r="G692" s="90"/>
      <c r="H692" s="90"/>
      <c r="I692" s="90"/>
      <c r="J692" s="90"/>
      <c r="K692" s="90"/>
      <c r="L692" s="90"/>
      <c r="M692" s="90"/>
      <c r="N692" s="90"/>
      <c r="O692" s="530"/>
      <c r="P692" s="530"/>
      <c r="Q692" s="530"/>
      <c r="R692" s="530"/>
      <c r="S692" s="530"/>
      <c r="T692" s="530"/>
      <c r="U692" s="530"/>
    </row>
    <row r="693" spans="1:21" ht="9.75" customHeight="1">
      <c r="A693" s="90"/>
      <c r="B693" s="90"/>
      <c r="C693" s="90"/>
      <c r="D693" s="90"/>
      <c r="E693" s="90"/>
      <c r="F693" s="90"/>
      <c r="G693" s="90"/>
      <c r="H693" s="90"/>
      <c r="I693" s="90"/>
      <c r="J693" s="90"/>
      <c r="K693" s="90"/>
      <c r="L693" s="90"/>
      <c r="M693" s="90"/>
      <c r="N693" s="90"/>
      <c r="O693" s="530"/>
      <c r="P693" s="530"/>
      <c r="Q693" s="530"/>
      <c r="R693" s="530"/>
      <c r="S693" s="530"/>
      <c r="T693" s="530"/>
      <c r="U693" s="530"/>
    </row>
    <row r="694" spans="1:21" ht="9.75" customHeight="1">
      <c r="A694" s="90"/>
      <c r="B694" s="90"/>
      <c r="C694" s="90"/>
      <c r="D694" s="90"/>
      <c r="E694" s="90"/>
      <c r="F694" s="90"/>
      <c r="G694" s="90"/>
      <c r="H694" s="90"/>
      <c r="I694" s="90"/>
      <c r="J694" s="90"/>
      <c r="K694" s="90"/>
      <c r="L694" s="90"/>
      <c r="M694" s="90"/>
      <c r="N694" s="90"/>
      <c r="O694" s="530"/>
      <c r="P694" s="530"/>
      <c r="Q694" s="530"/>
      <c r="R694" s="530"/>
      <c r="S694" s="530"/>
      <c r="T694" s="530"/>
      <c r="U694" s="530"/>
    </row>
    <row r="695" spans="1:21" ht="9.75" customHeight="1">
      <c r="A695" s="90"/>
      <c r="B695" s="90"/>
      <c r="C695" s="90"/>
      <c r="D695" s="90"/>
      <c r="E695" s="90"/>
      <c r="F695" s="90"/>
      <c r="G695" s="90"/>
      <c r="H695" s="90"/>
      <c r="I695" s="90"/>
      <c r="J695" s="90"/>
      <c r="K695" s="90"/>
      <c r="L695" s="90"/>
      <c r="M695" s="90"/>
      <c r="N695" s="90"/>
      <c r="O695" s="530"/>
      <c r="P695" s="530"/>
      <c r="Q695" s="530"/>
      <c r="R695" s="530"/>
      <c r="S695" s="530"/>
      <c r="T695" s="530"/>
      <c r="U695" s="530"/>
    </row>
    <row r="696" spans="1:21" ht="9.75" customHeight="1">
      <c r="A696" s="90"/>
      <c r="B696" s="90"/>
      <c r="C696" s="90"/>
      <c r="D696" s="90"/>
      <c r="E696" s="90"/>
      <c r="F696" s="90"/>
      <c r="G696" s="90"/>
      <c r="H696" s="90"/>
      <c r="I696" s="90"/>
      <c r="J696" s="90"/>
      <c r="K696" s="90"/>
      <c r="L696" s="90"/>
      <c r="M696" s="90"/>
      <c r="N696" s="90"/>
      <c r="O696" s="530"/>
      <c r="P696" s="530"/>
      <c r="Q696" s="530"/>
      <c r="R696" s="530"/>
      <c r="S696" s="530"/>
      <c r="T696" s="530"/>
      <c r="U696" s="530"/>
    </row>
    <row r="697" spans="1:21" ht="9.75" customHeight="1">
      <c r="A697" s="90"/>
      <c r="B697" s="90"/>
      <c r="C697" s="90"/>
      <c r="D697" s="90"/>
      <c r="E697" s="90"/>
      <c r="F697" s="90"/>
      <c r="G697" s="90"/>
      <c r="H697" s="90"/>
      <c r="I697" s="90"/>
      <c r="J697" s="90"/>
      <c r="K697" s="90"/>
      <c r="L697" s="90"/>
      <c r="M697" s="90"/>
      <c r="N697" s="90"/>
      <c r="O697" s="530"/>
      <c r="P697" s="530"/>
      <c r="Q697" s="530"/>
      <c r="R697" s="530"/>
      <c r="S697" s="530"/>
      <c r="T697" s="530"/>
      <c r="U697" s="530"/>
    </row>
    <row r="698" spans="1:21" ht="9.75" customHeight="1">
      <c r="A698" s="90"/>
      <c r="B698" s="90"/>
      <c r="C698" s="90"/>
      <c r="D698" s="90"/>
      <c r="E698" s="90"/>
      <c r="F698" s="90"/>
      <c r="G698" s="90"/>
      <c r="H698" s="90"/>
      <c r="I698" s="90"/>
      <c r="J698" s="90"/>
      <c r="K698" s="90"/>
      <c r="L698" s="90"/>
      <c r="M698" s="90"/>
      <c r="N698" s="90"/>
      <c r="O698" s="530"/>
      <c r="P698" s="530"/>
      <c r="Q698" s="530"/>
      <c r="R698" s="530"/>
      <c r="S698" s="530"/>
      <c r="T698" s="530"/>
      <c r="U698" s="530"/>
    </row>
    <row r="699" spans="1:21" ht="9.75" customHeight="1">
      <c r="A699" s="90"/>
      <c r="B699" s="90"/>
      <c r="C699" s="90"/>
      <c r="D699" s="90"/>
      <c r="E699" s="90"/>
      <c r="F699" s="90"/>
      <c r="G699" s="90"/>
      <c r="H699" s="90"/>
      <c r="I699" s="90"/>
      <c r="J699" s="90"/>
      <c r="K699" s="90"/>
      <c r="L699" s="90"/>
      <c r="M699" s="90"/>
      <c r="N699" s="90"/>
      <c r="O699" s="530"/>
      <c r="P699" s="530"/>
      <c r="Q699" s="530"/>
      <c r="R699" s="530"/>
      <c r="S699" s="530"/>
      <c r="T699" s="530"/>
      <c r="U699" s="530"/>
    </row>
    <row r="700" spans="1:21" ht="9.75" customHeight="1">
      <c r="A700" s="90"/>
      <c r="B700" s="90"/>
      <c r="C700" s="90"/>
      <c r="D700" s="90"/>
      <c r="E700" s="90"/>
      <c r="F700" s="90"/>
      <c r="G700" s="90"/>
      <c r="H700" s="90"/>
      <c r="I700" s="90"/>
      <c r="J700" s="90"/>
      <c r="K700" s="90"/>
      <c r="L700" s="90"/>
      <c r="M700" s="90"/>
      <c r="N700" s="90"/>
      <c r="O700" s="530"/>
      <c r="P700" s="530"/>
      <c r="Q700" s="530"/>
      <c r="R700" s="530"/>
      <c r="S700" s="530"/>
      <c r="T700" s="530"/>
      <c r="U700" s="530"/>
    </row>
    <row r="701" spans="1:21" ht="9.75" customHeight="1">
      <c r="A701" s="90"/>
      <c r="B701" s="90"/>
      <c r="C701" s="90"/>
      <c r="D701" s="90"/>
      <c r="E701" s="90"/>
      <c r="F701" s="90"/>
      <c r="G701" s="90"/>
      <c r="H701" s="90"/>
      <c r="I701" s="90"/>
      <c r="J701" s="90"/>
      <c r="K701" s="90"/>
      <c r="L701" s="90"/>
      <c r="M701" s="90"/>
      <c r="N701" s="90"/>
      <c r="O701" s="530"/>
      <c r="P701" s="530"/>
      <c r="Q701" s="530"/>
      <c r="R701" s="530"/>
      <c r="S701" s="530"/>
      <c r="T701" s="530"/>
      <c r="U701" s="530"/>
    </row>
    <row r="702" spans="1:21" ht="9.75" customHeight="1">
      <c r="A702" s="90"/>
      <c r="B702" s="90"/>
      <c r="C702" s="90"/>
      <c r="D702" s="90"/>
      <c r="E702" s="90"/>
      <c r="F702" s="90"/>
      <c r="G702" s="90"/>
      <c r="H702" s="90"/>
      <c r="I702" s="90"/>
      <c r="J702" s="90"/>
      <c r="K702" s="90"/>
      <c r="L702" s="90"/>
      <c r="M702" s="90"/>
      <c r="N702" s="90"/>
      <c r="O702" s="530"/>
      <c r="P702" s="530"/>
      <c r="Q702" s="530"/>
      <c r="R702" s="530"/>
      <c r="S702" s="530"/>
      <c r="T702" s="530"/>
      <c r="U702" s="530"/>
    </row>
    <row r="703" spans="1:21" ht="9.75" customHeight="1">
      <c r="A703" s="90"/>
      <c r="B703" s="90"/>
      <c r="C703" s="90"/>
      <c r="D703" s="90"/>
      <c r="E703" s="90"/>
      <c r="F703" s="90"/>
      <c r="G703" s="90"/>
      <c r="H703" s="90"/>
      <c r="I703" s="90"/>
      <c r="J703" s="90"/>
      <c r="K703" s="90"/>
      <c r="L703" s="90"/>
      <c r="M703" s="90"/>
      <c r="N703" s="90"/>
      <c r="O703" s="530"/>
      <c r="P703" s="530"/>
      <c r="Q703" s="530"/>
      <c r="R703" s="530"/>
      <c r="S703" s="530"/>
      <c r="T703" s="530"/>
      <c r="U703" s="530"/>
    </row>
    <row r="704" spans="1:21" ht="9.75" customHeight="1">
      <c r="A704" s="90"/>
      <c r="B704" s="90"/>
      <c r="C704" s="90"/>
      <c r="D704" s="90"/>
      <c r="E704" s="90"/>
      <c r="F704" s="90"/>
      <c r="G704" s="90"/>
      <c r="H704" s="90"/>
      <c r="I704" s="90"/>
      <c r="J704" s="90"/>
      <c r="K704" s="90"/>
      <c r="L704" s="90"/>
      <c r="M704" s="90"/>
      <c r="N704" s="90"/>
      <c r="O704" s="530"/>
      <c r="P704" s="530"/>
      <c r="Q704" s="530"/>
      <c r="R704" s="530"/>
      <c r="S704" s="530"/>
      <c r="T704" s="530"/>
      <c r="U704" s="530"/>
    </row>
    <row r="705" spans="1:21" ht="9.75" customHeight="1">
      <c r="A705" s="90"/>
      <c r="B705" s="90"/>
      <c r="C705" s="90"/>
      <c r="D705" s="90"/>
      <c r="E705" s="90"/>
      <c r="F705" s="90"/>
      <c r="G705" s="90"/>
      <c r="H705" s="90"/>
      <c r="I705" s="90"/>
      <c r="J705" s="90"/>
      <c r="K705" s="90"/>
      <c r="L705" s="90"/>
      <c r="M705" s="90"/>
      <c r="N705" s="90"/>
      <c r="O705" s="530"/>
      <c r="P705" s="530"/>
      <c r="Q705" s="530"/>
      <c r="R705" s="530"/>
      <c r="S705" s="530"/>
      <c r="T705" s="530"/>
      <c r="U705" s="530"/>
    </row>
    <row r="706" spans="1:21" ht="9.75" customHeight="1">
      <c r="A706" s="90"/>
      <c r="B706" s="90"/>
      <c r="C706" s="90"/>
      <c r="D706" s="90"/>
      <c r="E706" s="90"/>
      <c r="F706" s="90"/>
      <c r="G706" s="90"/>
      <c r="H706" s="90"/>
      <c r="I706" s="90"/>
      <c r="J706" s="90"/>
      <c r="K706" s="90"/>
      <c r="L706" s="90"/>
      <c r="M706" s="90"/>
      <c r="N706" s="90"/>
      <c r="O706" s="530"/>
      <c r="P706" s="530"/>
      <c r="Q706" s="530"/>
      <c r="R706" s="530"/>
      <c r="S706" s="530"/>
      <c r="T706" s="530"/>
      <c r="U706" s="530"/>
    </row>
    <row r="707" spans="1:21" ht="9.75" customHeight="1">
      <c r="A707" s="90"/>
      <c r="B707" s="90"/>
      <c r="C707" s="90"/>
      <c r="D707" s="90"/>
      <c r="E707" s="90"/>
      <c r="F707" s="90"/>
      <c r="G707" s="90"/>
      <c r="H707" s="90"/>
      <c r="I707" s="90"/>
      <c r="J707" s="90"/>
      <c r="K707" s="90"/>
      <c r="L707" s="90"/>
      <c r="M707" s="90"/>
      <c r="N707" s="90"/>
      <c r="O707" s="530"/>
      <c r="P707" s="530"/>
      <c r="Q707" s="530"/>
      <c r="R707" s="530"/>
      <c r="S707" s="530"/>
      <c r="T707" s="530"/>
      <c r="U707" s="530"/>
    </row>
    <row r="708" spans="1:21" ht="9.75" customHeight="1">
      <c r="A708" s="90"/>
      <c r="B708" s="90"/>
      <c r="C708" s="90"/>
      <c r="D708" s="90"/>
      <c r="E708" s="90"/>
      <c r="F708" s="90"/>
      <c r="G708" s="90"/>
      <c r="H708" s="90"/>
      <c r="I708" s="90"/>
      <c r="J708" s="90"/>
      <c r="K708" s="90"/>
      <c r="L708" s="90"/>
      <c r="M708" s="90"/>
      <c r="N708" s="90"/>
      <c r="O708" s="530"/>
      <c r="P708" s="530"/>
      <c r="Q708" s="530"/>
      <c r="R708" s="530"/>
      <c r="S708" s="530"/>
      <c r="T708" s="530"/>
      <c r="U708" s="530"/>
    </row>
    <row r="709" spans="1:21" ht="9.75" customHeight="1">
      <c r="A709" s="90"/>
      <c r="B709" s="90"/>
      <c r="C709" s="90"/>
      <c r="D709" s="90"/>
      <c r="E709" s="90"/>
      <c r="F709" s="90"/>
      <c r="G709" s="90"/>
      <c r="H709" s="90"/>
      <c r="I709" s="90"/>
      <c r="J709" s="90"/>
      <c r="K709" s="90"/>
      <c r="L709" s="90"/>
      <c r="M709" s="90"/>
      <c r="N709" s="90"/>
      <c r="O709" s="530"/>
      <c r="P709" s="530"/>
      <c r="Q709" s="530"/>
      <c r="R709" s="530"/>
      <c r="S709" s="530"/>
      <c r="T709" s="530"/>
      <c r="U709" s="530"/>
    </row>
    <row r="710" spans="1:21" ht="9.75" customHeight="1">
      <c r="A710" s="90"/>
      <c r="B710" s="90"/>
      <c r="C710" s="90"/>
      <c r="D710" s="90"/>
      <c r="E710" s="90"/>
      <c r="F710" s="90"/>
      <c r="G710" s="90"/>
      <c r="H710" s="90"/>
      <c r="I710" s="90"/>
      <c r="J710" s="90"/>
      <c r="K710" s="90"/>
      <c r="L710" s="90"/>
      <c r="M710" s="90"/>
      <c r="N710" s="90"/>
      <c r="O710" s="530"/>
      <c r="P710" s="530"/>
      <c r="Q710" s="530"/>
      <c r="R710" s="530"/>
      <c r="S710" s="530"/>
      <c r="T710" s="530"/>
      <c r="U710" s="530"/>
    </row>
    <row r="711" spans="1:21" ht="9.75" customHeight="1">
      <c r="A711" s="90"/>
      <c r="B711" s="90"/>
      <c r="C711" s="90"/>
      <c r="D711" s="90"/>
      <c r="E711" s="90"/>
      <c r="F711" s="90"/>
      <c r="G711" s="90"/>
      <c r="H711" s="90"/>
      <c r="I711" s="90"/>
      <c r="J711" s="90"/>
      <c r="K711" s="90"/>
      <c r="L711" s="90"/>
      <c r="M711" s="90"/>
      <c r="N711" s="90"/>
      <c r="O711" s="530"/>
      <c r="P711" s="530"/>
      <c r="Q711" s="530"/>
      <c r="R711" s="530"/>
      <c r="S711" s="530"/>
      <c r="T711" s="530"/>
      <c r="U711" s="530"/>
    </row>
    <row r="712" spans="1:21" ht="9.75" customHeight="1">
      <c r="A712" s="90"/>
      <c r="B712" s="90"/>
      <c r="C712" s="90"/>
      <c r="D712" s="90"/>
      <c r="E712" s="90"/>
      <c r="F712" s="90"/>
      <c r="G712" s="90"/>
      <c r="H712" s="90"/>
      <c r="I712" s="90"/>
      <c r="J712" s="90"/>
      <c r="K712" s="90"/>
      <c r="L712" s="90"/>
      <c r="M712" s="90"/>
      <c r="N712" s="90"/>
      <c r="O712" s="530"/>
      <c r="P712" s="530"/>
      <c r="Q712" s="530"/>
      <c r="R712" s="530"/>
      <c r="S712" s="530"/>
      <c r="T712" s="530"/>
      <c r="U712" s="530"/>
    </row>
    <row r="713" spans="1:21" ht="9.75" customHeight="1">
      <c r="A713" s="90"/>
      <c r="B713" s="90"/>
      <c r="C713" s="90"/>
      <c r="D713" s="90"/>
      <c r="E713" s="90"/>
      <c r="F713" s="90"/>
      <c r="G713" s="90"/>
      <c r="H713" s="90"/>
      <c r="I713" s="90"/>
      <c r="J713" s="90"/>
      <c r="K713" s="90"/>
      <c r="L713" s="90"/>
      <c r="M713" s="90"/>
      <c r="N713" s="90"/>
      <c r="O713" s="530"/>
      <c r="P713" s="530"/>
      <c r="Q713" s="530"/>
      <c r="R713" s="530"/>
      <c r="S713" s="530"/>
      <c r="T713" s="530"/>
      <c r="U713" s="530"/>
    </row>
    <row r="714" spans="1:21" ht="9.75" customHeight="1">
      <c r="A714" s="90"/>
      <c r="B714" s="90"/>
      <c r="C714" s="90"/>
      <c r="D714" s="90"/>
      <c r="E714" s="90"/>
      <c r="F714" s="90"/>
      <c r="G714" s="90"/>
      <c r="H714" s="90"/>
      <c r="I714" s="90"/>
      <c r="J714" s="90"/>
      <c r="K714" s="90"/>
      <c r="L714" s="90"/>
      <c r="M714" s="90"/>
      <c r="N714" s="90"/>
      <c r="O714" s="530"/>
      <c r="P714" s="530"/>
      <c r="Q714" s="530"/>
      <c r="R714" s="530"/>
      <c r="S714" s="530"/>
      <c r="T714" s="530"/>
      <c r="U714" s="530"/>
    </row>
    <row r="715" spans="1:21" ht="9.75" customHeight="1">
      <c r="A715" s="90"/>
      <c r="B715" s="90"/>
      <c r="C715" s="90"/>
      <c r="D715" s="90"/>
      <c r="E715" s="90"/>
      <c r="F715" s="90"/>
      <c r="G715" s="90"/>
      <c r="H715" s="90"/>
      <c r="I715" s="90"/>
      <c r="J715" s="90"/>
      <c r="K715" s="90"/>
      <c r="L715" s="90"/>
      <c r="M715" s="90"/>
      <c r="N715" s="90"/>
      <c r="O715" s="530"/>
      <c r="P715" s="530"/>
      <c r="Q715" s="530"/>
      <c r="R715" s="530"/>
      <c r="S715" s="530"/>
      <c r="T715" s="530"/>
      <c r="U715" s="530"/>
    </row>
    <row r="716" spans="1:21" ht="9.75" customHeight="1">
      <c r="A716" s="90"/>
      <c r="B716" s="90"/>
      <c r="C716" s="90"/>
      <c r="D716" s="90"/>
      <c r="E716" s="90"/>
      <c r="F716" s="90"/>
      <c r="G716" s="90"/>
      <c r="H716" s="90"/>
      <c r="I716" s="90"/>
      <c r="J716" s="90"/>
      <c r="K716" s="90"/>
      <c r="L716" s="90"/>
      <c r="M716" s="90"/>
      <c r="N716" s="90"/>
      <c r="O716" s="530"/>
      <c r="P716" s="530"/>
      <c r="Q716" s="530"/>
      <c r="R716" s="530"/>
      <c r="S716" s="530"/>
      <c r="T716" s="530"/>
      <c r="U716" s="530"/>
    </row>
    <row r="717" spans="1:21" ht="9.75" customHeight="1">
      <c r="A717" s="90"/>
      <c r="B717" s="90"/>
      <c r="C717" s="90"/>
      <c r="D717" s="90"/>
      <c r="E717" s="90"/>
      <c r="F717" s="90"/>
      <c r="G717" s="90"/>
      <c r="H717" s="90"/>
      <c r="I717" s="90"/>
      <c r="J717" s="90"/>
      <c r="K717" s="90"/>
      <c r="L717" s="90"/>
      <c r="M717" s="90"/>
      <c r="N717" s="90"/>
      <c r="O717" s="530"/>
      <c r="P717" s="530"/>
      <c r="Q717" s="530"/>
      <c r="R717" s="530"/>
      <c r="S717" s="530"/>
      <c r="T717" s="530"/>
      <c r="U717" s="530"/>
    </row>
    <row r="718" spans="1:21" ht="9.75" customHeight="1">
      <c r="A718" s="90"/>
      <c r="B718" s="90"/>
      <c r="C718" s="90"/>
      <c r="D718" s="90"/>
      <c r="E718" s="90"/>
      <c r="F718" s="90"/>
      <c r="G718" s="90"/>
      <c r="H718" s="90"/>
      <c r="I718" s="90"/>
      <c r="J718" s="90"/>
      <c r="K718" s="90"/>
      <c r="L718" s="90"/>
      <c r="M718" s="90"/>
      <c r="N718" s="90"/>
      <c r="O718" s="530"/>
      <c r="P718" s="530"/>
      <c r="Q718" s="530"/>
      <c r="R718" s="530"/>
      <c r="S718" s="530"/>
      <c r="T718" s="530"/>
      <c r="U718" s="530"/>
    </row>
    <row r="719" spans="1:21" ht="9.75" customHeight="1">
      <c r="A719" s="90"/>
      <c r="B719" s="90"/>
      <c r="C719" s="90"/>
      <c r="D719" s="90"/>
      <c r="E719" s="90"/>
      <c r="F719" s="90"/>
      <c r="G719" s="90"/>
      <c r="H719" s="90"/>
      <c r="I719" s="90"/>
      <c r="J719" s="90"/>
      <c r="K719" s="90"/>
      <c r="L719" s="90"/>
      <c r="M719" s="90"/>
      <c r="N719" s="90"/>
      <c r="O719" s="530"/>
      <c r="P719" s="530"/>
      <c r="Q719" s="530"/>
      <c r="R719" s="530"/>
      <c r="S719" s="530"/>
      <c r="T719" s="530"/>
      <c r="U719" s="530"/>
    </row>
    <row r="720" spans="1:21" ht="9.75" customHeight="1">
      <c r="A720" s="90"/>
      <c r="B720" s="90"/>
      <c r="C720" s="90"/>
      <c r="D720" s="90"/>
      <c r="E720" s="90"/>
      <c r="F720" s="90"/>
      <c r="G720" s="90"/>
      <c r="H720" s="90"/>
      <c r="I720" s="90"/>
      <c r="J720" s="90"/>
      <c r="K720" s="90"/>
      <c r="L720" s="90"/>
      <c r="M720" s="90"/>
      <c r="N720" s="90"/>
      <c r="O720" s="530"/>
      <c r="P720" s="530"/>
      <c r="Q720" s="530"/>
      <c r="R720" s="530"/>
      <c r="S720" s="530"/>
      <c r="T720" s="530"/>
      <c r="U720" s="530"/>
    </row>
    <row r="721" spans="1:21" ht="9.75" customHeight="1">
      <c r="A721" s="90"/>
      <c r="B721" s="90"/>
      <c r="C721" s="90"/>
      <c r="D721" s="90"/>
      <c r="E721" s="90"/>
      <c r="F721" s="90"/>
      <c r="G721" s="90"/>
      <c r="H721" s="90"/>
      <c r="I721" s="90"/>
      <c r="J721" s="90"/>
      <c r="K721" s="90"/>
      <c r="L721" s="90"/>
      <c r="M721" s="90"/>
      <c r="N721" s="90"/>
      <c r="O721" s="530"/>
      <c r="P721" s="530"/>
      <c r="Q721" s="530"/>
      <c r="R721" s="530"/>
      <c r="S721" s="530"/>
      <c r="T721" s="530"/>
      <c r="U721" s="530"/>
    </row>
    <row r="722" spans="1:21" ht="9.75" customHeight="1">
      <c r="A722" s="90"/>
      <c r="B722" s="90"/>
      <c r="C722" s="90"/>
      <c r="D722" s="90"/>
      <c r="E722" s="90"/>
      <c r="F722" s="90"/>
      <c r="G722" s="90"/>
      <c r="H722" s="90"/>
      <c r="I722" s="90"/>
      <c r="J722" s="90"/>
      <c r="K722" s="90"/>
      <c r="L722" s="90"/>
      <c r="M722" s="90"/>
      <c r="N722" s="90"/>
      <c r="O722" s="530"/>
      <c r="P722" s="530"/>
      <c r="Q722" s="530"/>
      <c r="R722" s="530"/>
      <c r="S722" s="530"/>
      <c r="T722" s="530"/>
      <c r="U722" s="530"/>
    </row>
    <row r="723" spans="1:21" ht="9.75" customHeight="1">
      <c r="A723" s="90"/>
      <c r="B723" s="90"/>
      <c r="C723" s="90"/>
      <c r="D723" s="90"/>
      <c r="E723" s="90"/>
      <c r="F723" s="90"/>
      <c r="G723" s="90"/>
      <c r="H723" s="90"/>
      <c r="I723" s="90"/>
      <c r="J723" s="90"/>
      <c r="K723" s="90"/>
      <c r="L723" s="90"/>
      <c r="M723" s="90"/>
      <c r="N723" s="90"/>
      <c r="O723" s="530"/>
      <c r="P723" s="530"/>
      <c r="Q723" s="530"/>
      <c r="R723" s="530"/>
      <c r="S723" s="530"/>
      <c r="T723" s="530"/>
      <c r="U723" s="530"/>
    </row>
    <row r="724" spans="1:21" ht="9.75" customHeight="1">
      <c r="A724" s="90"/>
      <c r="B724" s="90"/>
      <c r="C724" s="90"/>
      <c r="D724" s="90"/>
      <c r="E724" s="90"/>
      <c r="F724" s="90"/>
      <c r="G724" s="90"/>
      <c r="H724" s="90"/>
      <c r="I724" s="90"/>
      <c r="J724" s="90"/>
      <c r="K724" s="90"/>
      <c r="L724" s="90"/>
      <c r="M724" s="90"/>
      <c r="N724" s="90"/>
      <c r="O724" s="530"/>
      <c r="P724" s="530"/>
      <c r="Q724" s="530"/>
      <c r="R724" s="530"/>
      <c r="S724" s="530"/>
      <c r="T724" s="530"/>
      <c r="U724" s="530"/>
    </row>
    <row r="725" spans="1:21" ht="9.75" customHeight="1">
      <c r="A725" s="90"/>
      <c r="B725" s="90"/>
      <c r="C725" s="90"/>
      <c r="D725" s="90"/>
      <c r="E725" s="90"/>
      <c r="F725" s="90"/>
      <c r="G725" s="90"/>
      <c r="H725" s="90"/>
      <c r="I725" s="90"/>
      <c r="J725" s="90"/>
      <c r="K725" s="90"/>
      <c r="L725" s="90"/>
      <c r="M725" s="90"/>
      <c r="N725" s="90"/>
      <c r="O725" s="530"/>
      <c r="P725" s="530"/>
      <c r="Q725" s="530"/>
      <c r="R725" s="530"/>
      <c r="S725" s="530"/>
      <c r="T725" s="530"/>
      <c r="U725" s="530"/>
    </row>
    <row r="726" spans="1:21" ht="9.75" customHeight="1">
      <c r="A726" s="90"/>
      <c r="B726" s="90"/>
      <c r="C726" s="90"/>
      <c r="D726" s="90"/>
      <c r="E726" s="90"/>
      <c r="F726" s="90"/>
      <c r="G726" s="90"/>
      <c r="H726" s="90"/>
      <c r="I726" s="90"/>
      <c r="J726" s="90"/>
      <c r="K726" s="90"/>
      <c r="L726" s="90"/>
      <c r="M726" s="90"/>
      <c r="N726" s="90"/>
      <c r="O726" s="530"/>
      <c r="P726" s="530"/>
      <c r="Q726" s="530"/>
      <c r="R726" s="530"/>
      <c r="S726" s="530"/>
      <c r="T726" s="530"/>
      <c r="U726" s="530"/>
    </row>
    <row r="727" spans="1:21" ht="9.75" customHeight="1">
      <c r="A727" s="90"/>
      <c r="B727" s="90"/>
      <c r="C727" s="90"/>
      <c r="D727" s="90"/>
      <c r="E727" s="90"/>
      <c r="F727" s="90"/>
      <c r="G727" s="90"/>
      <c r="H727" s="90"/>
      <c r="I727" s="90"/>
      <c r="J727" s="90"/>
      <c r="K727" s="90"/>
      <c r="L727" s="90"/>
      <c r="M727" s="90"/>
      <c r="N727" s="90"/>
      <c r="O727" s="530"/>
      <c r="P727" s="530"/>
      <c r="Q727" s="530"/>
      <c r="R727" s="530"/>
      <c r="S727" s="530"/>
      <c r="T727" s="530"/>
      <c r="U727" s="530"/>
    </row>
    <row r="728" spans="1:21" ht="9.75" customHeight="1">
      <c r="A728" s="90"/>
      <c r="B728" s="90"/>
      <c r="C728" s="90"/>
      <c r="D728" s="90"/>
      <c r="E728" s="90"/>
      <c r="F728" s="90"/>
      <c r="G728" s="90"/>
      <c r="H728" s="90"/>
      <c r="I728" s="90"/>
      <c r="J728" s="90"/>
      <c r="K728" s="90"/>
      <c r="L728" s="90"/>
      <c r="M728" s="90"/>
      <c r="N728" s="90"/>
      <c r="O728" s="530"/>
      <c r="P728" s="530"/>
      <c r="Q728" s="530"/>
      <c r="R728" s="530"/>
      <c r="S728" s="530"/>
      <c r="T728" s="530"/>
      <c r="U728" s="530"/>
    </row>
    <row r="729" spans="1:21" ht="9.75" customHeight="1">
      <c r="A729" s="90"/>
      <c r="B729" s="90"/>
      <c r="C729" s="90"/>
      <c r="D729" s="90"/>
      <c r="E729" s="90"/>
      <c r="F729" s="90"/>
      <c r="G729" s="90"/>
      <c r="H729" s="90"/>
      <c r="I729" s="90"/>
      <c r="J729" s="90"/>
      <c r="K729" s="90"/>
      <c r="L729" s="90"/>
      <c r="M729" s="90"/>
      <c r="N729" s="90"/>
      <c r="O729" s="530"/>
      <c r="P729" s="530"/>
      <c r="Q729" s="530"/>
      <c r="R729" s="530"/>
      <c r="S729" s="530"/>
      <c r="T729" s="530"/>
      <c r="U729" s="530"/>
    </row>
    <row r="730" spans="1:21" ht="9.75" customHeight="1">
      <c r="A730" s="90"/>
      <c r="B730" s="90"/>
      <c r="C730" s="90"/>
      <c r="D730" s="90"/>
      <c r="E730" s="90"/>
      <c r="F730" s="90"/>
      <c r="G730" s="90"/>
      <c r="H730" s="90"/>
      <c r="I730" s="90"/>
      <c r="J730" s="90"/>
      <c r="K730" s="90"/>
      <c r="L730" s="90"/>
      <c r="M730" s="90"/>
      <c r="N730" s="90"/>
      <c r="O730" s="530"/>
      <c r="P730" s="530"/>
      <c r="Q730" s="530"/>
      <c r="R730" s="530"/>
      <c r="S730" s="530"/>
      <c r="T730" s="530"/>
      <c r="U730" s="530"/>
    </row>
    <row r="731" spans="1:21" ht="9.75" customHeight="1">
      <c r="A731" s="90"/>
      <c r="B731" s="90"/>
      <c r="C731" s="90"/>
      <c r="D731" s="90"/>
      <c r="E731" s="90"/>
      <c r="F731" s="90"/>
      <c r="G731" s="90"/>
      <c r="H731" s="90"/>
      <c r="I731" s="90"/>
      <c r="J731" s="90"/>
      <c r="K731" s="90"/>
      <c r="L731" s="90"/>
      <c r="M731" s="90"/>
      <c r="N731" s="90"/>
      <c r="O731" s="530"/>
      <c r="P731" s="530"/>
      <c r="Q731" s="530"/>
      <c r="R731" s="530"/>
      <c r="S731" s="530"/>
      <c r="T731" s="530"/>
      <c r="U731" s="530"/>
    </row>
    <row r="732" spans="1:21" ht="9.75" customHeight="1">
      <c r="A732" s="90"/>
      <c r="B732" s="90"/>
      <c r="C732" s="90"/>
      <c r="D732" s="90"/>
      <c r="E732" s="90"/>
      <c r="F732" s="90"/>
      <c r="G732" s="90"/>
      <c r="H732" s="90"/>
      <c r="I732" s="90"/>
      <c r="J732" s="90"/>
      <c r="K732" s="90"/>
      <c r="L732" s="90"/>
      <c r="M732" s="90"/>
      <c r="N732" s="90"/>
      <c r="O732" s="530"/>
      <c r="P732" s="530"/>
      <c r="Q732" s="530"/>
      <c r="R732" s="530"/>
      <c r="S732" s="530"/>
      <c r="T732" s="530"/>
      <c r="U732" s="530"/>
    </row>
    <row r="733" spans="1:21" ht="9.75" customHeight="1">
      <c r="A733" s="90"/>
      <c r="B733" s="90"/>
      <c r="C733" s="90"/>
      <c r="D733" s="90"/>
      <c r="E733" s="90"/>
      <c r="F733" s="90"/>
      <c r="G733" s="90"/>
      <c r="H733" s="90"/>
      <c r="I733" s="90"/>
      <c r="J733" s="90"/>
      <c r="K733" s="90"/>
      <c r="L733" s="90"/>
      <c r="M733" s="90"/>
      <c r="N733" s="90"/>
      <c r="O733" s="530"/>
      <c r="P733" s="530"/>
      <c r="Q733" s="530"/>
      <c r="R733" s="530"/>
      <c r="S733" s="530"/>
      <c r="T733" s="530"/>
      <c r="U733" s="530"/>
    </row>
    <row r="734" spans="1:21" ht="9.75" customHeight="1">
      <c r="A734" s="90"/>
      <c r="B734" s="90"/>
      <c r="C734" s="90"/>
      <c r="D734" s="90"/>
      <c r="E734" s="90"/>
      <c r="F734" s="90"/>
      <c r="G734" s="90"/>
      <c r="H734" s="90"/>
      <c r="I734" s="90"/>
      <c r="J734" s="90"/>
      <c r="K734" s="90"/>
      <c r="L734" s="90"/>
      <c r="M734" s="90"/>
      <c r="N734" s="90"/>
      <c r="O734" s="530"/>
      <c r="P734" s="530"/>
      <c r="Q734" s="530"/>
      <c r="R734" s="530"/>
      <c r="S734" s="530"/>
      <c r="T734" s="530"/>
      <c r="U734" s="530"/>
    </row>
    <row r="735" spans="1:21" ht="9.75" customHeight="1">
      <c r="A735" s="90"/>
      <c r="B735" s="90"/>
      <c r="C735" s="90"/>
      <c r="D735" s="90"/>
      <c r="E735" s="90"/>
      <c r="F735" s="90"/>
      <c r="G735" s="90"/>
      <c r="H735" s="90"/>
      <c r="I735" s="90"/>
      <c r="J735" s="90"/>
      <c r="K735" s="90"/>
      <c r="L735" s="90"/>
      <c r="M735" s="90"/>
      <c r="N735" s="90"/>
      <c r="O735" s="530"/>
      <c r="P735" s="530"/>
      <c r="Q735" s="530"/>
      <c r="R735" s="530"/>
      <c r="S735" s="530"/>
      <c r="T735" s="530"/>
      <c r="U735" s="530"/>
    </row>
    <row r="736" spans="1:21" ht="9.75" customHeight="1">
      <c r="A736" s="90"/>
      <c r="B736" s="90"/>
      <c r="C736" s="90"/>
      <c r="D736" s="90"/>
      <c r="E736" s="90"/>
      <c r="F736" s="90"/>
      <c r="G736" s="90"/>
      <c r="H736" s="90"/>
      <c r="I736" s="90"/>
      <c r="J736" s="90"/>
      <c r="K736" s="90"/>
      <c r="L736" s="90"/>
      <c r="M736" s="90"/>
      <c r="N736" s="90"/>
      <c r="O736" s="530"/>
      <c r="P736" s="530"/>
      <c r="Q736" s="530"/>
      <c r="R736" s="530"/>
      <c r="S736" s="530"/>
      <c r="T736" s="530"/>
      <c r="U736" s="530"/>
    </row>
    <row r="737" spans="1:21" ht="9.75" customHeight="1">
      <c r="A737" s="90"/>
      <c r="B737" s="90"/>
      <c r="C737" s="90"/>
      <c r="D737" s="90"/>
      <c r="E737" s="90"/>
      <c r="F737" s="90"/>
      <c r="G737" s="90"/>
      <c r="H737" s="90"/>
      <c r="I737" s="90"/>
      <c r="J737" s="90"/>
      <c r="K737" s="90"/>
      <c r="L737" s="90"/>
      <c r="M737" s="90"/>
      <c r="N737" s="90"/>
      <c r="O737" s="530"/>
      <c r="P737" s="530"/>
      <c r="Q737" s="530"/>
      <c r="R737" s="530"/>
      <c r="S737" s="530"/>
      <c r="T737" s="530"/>
      <c r="U737" s="530"/>
    </row>
    <row r="738" spans="1:21" ht="9.75" customHeight="1">
      <c r="A738" s="90"/>
      <c r="B738" s="90"/>
      <c r="C738" s="90"/>
      <c r="D738" s="90"/>
      <c r="E738" s="90"/>
      <c r="F738" s="90"/>
      <c r="G738" s="90"/>
      <c r="H738" s="90"/>
      <c r="I738" s="90"/>
      <c r="J738" s="90"/>
      <c r="K738" s="90"/>
      <c r="L738" s="90"/>
      <c r="M738" s="90"/>
      <c r="N738" s="90"/>
      <c r="O738" s="530"/>
      <c r="P738" s="530"/>
      <c r="Q738" s="530"/>
      <c r="R738" s="530"/>
      <c r="S738" s="530"/>
      <c r="T738" s="530"/>
      <c r="U738" s="530"/>
    </row>
    <row r="739" spans="1:21" ht="9.75" customHeight="1">
      <c r="A739" s="90"/>
      <c r="B739" s="90"/>
      <c r="C739" s="90"/>
      <c r="D739" s="90"/>
      <c r="E739" s="90"/>
      <c r="F739" s="90"/>
      <c r="G739" s="90"/>
      <c r="H739" s="90"/>
      <c r="I739" s="90"/>
      <c r="J739" s="90"/>
      <c r="K739" s="90"/>
      <c r="L739" s="90"/>
      <c r="M739" s="90"/>
      <c r="N739" s="90"/>
      <c r="O739" s="530"/>
      <c r="P739" s="530"/>
      <c r="Q739" s="530"/>
      <c r="R739" s="530"/>
      <c r="S739" s="530"/>
      <c r="T739" s="530"/>
      <c r="U739" s="530"/>
    </row>
    <row r="740" spans="1:21" ht="9.75" customHeight="1">
      <c r="A740" s="90"/>
      <c r="B740" s="90"/>
      <c r="C740" s="90"/>
      <c r="D740" s="90"/>
      <c r="E740" s="90"/>
      <c r="F740" s="90"/>
      <c r="G740" s="90"/>
      <c r="H740" s="90"/>
      <c r="I740" s="90"/>
      <c r="J740" s="90"/>
      <c r="K740" s="90"/>
      <c r="L740" s="90"/>
      <c r="M740" s="90"/>
      <c r="N740" s="90"/>
      <c r="O740" s="530"/>
      <c r="P740" s="530"/>
      <c r="Q740" s="530"/>
      <c r="R740" s="530"/>
      <c r="S740" s="530"/>
      <c r="T740" s="530"/>
      <c r="U740" s="530"/>
    </row>
    <row r="741" spans="1:21" ht="9.75" customHeight="1">
      <c r="A741" s="90"/>
      <c r="B741" s="90"/>
      <c r="C741" s="90"/>
      <c r="D741" s="90"/>
      <c r="E741" s="90"/>
      <c r="F741" s="90"/>
      <c r="G741" s="90"/>
      <c r="H741" s="90"/>
      <c r="I741" s="90"/>
      <c r="J741" s="90"/>
      <c r="K741" s="90"/>
      <c r="L741" s="90"/>
      <c r="M741" s="90"/>
      <c r="N741" s="90"/>
      <c r="O741" s="530"/>
      <c r="P741" s="530"/>
      <c r="Q741" s="530"/>
      <c r="R741" s="530"/>
      <c r="S741" s="530"/>
      <c r="T741" s="530"/>
      <c r="U741" s="530"/>
    </row>
    <row r="742" spans="1:21" ht="9.75" customHeight="1">
      <c r="A742" s="90"/>
      <c r="B742" s="90"/>
      <c r="C742" s="90"/>
      <c r="D742" s="90"/>
      <c r="E742" s="90"/>
      <c r="F742" s="90"/>
      <c r="G742" s="90"/>
      <c r="H742" s="90"/>
      <c r="I742" s="90"/>
      <c r="J742" s="90"/>
      <c r="K742" s="90"/>
      <c r="L742" s="90"/>
      <c r="M742" s="90"/>
      <c r="N742" s="90"/>
      <c r="O742" s="530"/>
      <c r="P742" s="530"/>
      <c r="Q742" s="530"/>
      <c r="R742" s="530"/>
      <c r="S742" s="530"/>
      <c r="T742" s="530"/>
      <c r="U742" s="530"/>
    </row>
    <row r="743" spans="1:21" ht="9.75" customHeight="1">
      <c r="A743" s="90"/>
      <c r="B743" s="90"/>
      <c r="C743" s="90"/>
      <c r="D743" s="90"/>
      <c r="E743" s="90"/>
      <c r="F743" s="90"/>
      <c r="G743" s="90"/>
      <c r="H743" s="90"/>
      <c r="I743" s="90"/>
      <c r="J743" s="90"/>
      <c r="K743" s="90"/>
      <c r="L743" s="90"/>
      <c r="M743" s="90"/>
      <c r="N743" s="90"/>
      <c r="O743" s="530"/>
      <c r="P743" s="530"/>
      <c r="Q743" s="530"/>
      <c r="R743" s="530"/>
      <c r="S743" s="530"/>
      <c r="T743" s="530"/>
      <c r="U743" s="530"/>
    </row>
    <row r="744" spans="1:21" ht="9.75" customHeight="1">
      <c r="A744" s="90"/>
      <c r="B744" s="90"/>
      <c r="C744" s="90"/>
      <c r="D744" s="90"/>
      <c r="E744" s="90"/>
      <c r="F744" s="90"/>
      <c r="G744" s="90"/>
      <c r="H744" s="90"/>
      <c r="I744" s="90"/>
      <c r="J744" s="90"/>
      <c r="K744" s="90"/>
      <c r="L744" s="90"/>
      <c r="M744" s="90"/>
      <c r="N744" s="90"/>
      <c r="O744" s="530"/>
      <c r="P744" s="530"/>
      <c r="Q744" s="530"/>
      <c r="R744" s="530"/>
      <c r="S744" s="530"/>
      <c r="T744" s="530"/>
      <c r="U744" s="530"/>
    </row>
    <row r="745" spans="1:21" ht="9.75" customHeight="1">
      <c r="A745" s="90"/>
      <c r="B745" s="90"/>
      <c r="C745" s="90"/>
      <c r="D745" s="90"/>
      <c r="E745" s="90"/>
      <c r="F745" s="90"/>
      <c r="G745" s="90"/>
      <c r="H745" s="90"/>
      <c r="I745" s="90"/>
      <c r="J745" s="90"/>
      <c r="K745" s="90"/>
      <c r="L745" s="90"/>
      <c r="M745" s="90"/>
      <c r="N745" s="90"/>
      <c r="O745" s="530"/>
      <c r="P745" s="530"/>
      <c r="Q745" s="530"/>
      <c r="R745" s="530"/>
      <c r="S745" s="530"/>
      <c r="T745" s="530"/>
      <c r="U745" s="530"/>
    </row>
    <row r="746" spans="1:21" ht="9.75" customHeight="1">
      <c r="A746" s="90"/>
      <c r="B746" s="90"/>
      <c r="C746" s="90"/>
      <c r="D746" s="90"/>
      <c r="E746" s="90"/>
      <c r="F746" s="90"/>
      <c r="G746" s="90"/>
      <c r="H746" s="90"/>
      <c r="I746" s="90"/>
      <c r="J746" s="90"/>
      <c r="K746" s="90"/>
      <c r="L746" s="90"/>
      <c r="M746" s="90"/>
      <c r="N746" s="90"/>
      <c r="O746" s="530"/>
      <c r="P746" s="530"/>
      <c r="Q746" s="530"/>
      <c r="R746" s="530"/>
      <c r="S746" s="530"/>
      <c r="T746" s="530"/>
      <c r="U746" s="530"/>
    </row>
    <row r="747" spans="1:21" ht="9.75" customHeight="1">
      <c r="A747" s="90"/>
      <c r="B747" s="90"/>
      <c r="C747" s="90"/>
      <c r="D747" s="90"/>
      <c r="E747" s="90"/>
      <c r="F747" s="90"/>
      <c r="G747" s="90"/>
      <c r="H747" s="90"/>
      <c r="I747" s="90"/>
      <c r="J747" s="90"/>
      <c r="K747" s="90"/>
      <c r="L747" s="90"/>
      <c r="M747" s="90"/>
      <c r="N747" s="90"/>
      <c r="O747" s="530"/>
      <c r="P747" s="530"/>
      <c r="Q747" s="530"/>
      <c r="R747" s="530"/>
      <c r="S747" s="530"/>
      <c r="T747" s="530"/>
      <c r="U747" s="530"/>
    </row>
    <row r="748" spans="1:21" ht="9.75" customHeight="1">
      <c r="A748" s="90"/>
      <c r="B748" s="90"/>
      <c r="C748" s="90"/>
      <c r="D748" s="90"/>
      <c r="E748" s="90"/>
      <c r="F748" s="90"/>
      <c r="G748" s="90"/>
      <c r="H748" s="90"/>
      <c r="I748" s="90"/>
      <c r="J748" s="90"/>
      <c r="K748" s="90"/>
      <c r="L748" s="90"/>
      <c r="M748" s="90"/>
      <c r="N748" s="90"/>
      <c r="O748" s="530"/>
      <c r="P748" s="530"/>
      <c r="Q748" s="530"/>
      <c r="R748" s="530"/>
      <c r="S748" s="530"/>
      <c r="T748" s="530"/>
      <c r="U748" s="530"/>
    </row>
    <row r="749" spans="1:21" ht="9.75" customHeight="1">
      <c r="A749" s="90"/>
      <c r="B749" s="90"/>
      <c r="C749" s="90"/>
      <c r="D749" s="90"/>
      <c r="E749" s="90"/>
      <c r="F749" s="90"/>
      <c r="G749" s="90"/>
      <c r="H749" s="90"/>
      <c r="I749" s="90"/>
      <c r="J749" s="90"/>
      <c r="K749" s="90"/>
      <c r="L749" s="90"/>
      <c r="M749" s="90"/>
      <c r="N749" s="90"/>
      <c r="O749" s="530"/>
      <c r="P749" s="530"/>
      <c r="Q749" s="530"/>
      <c r="R749" s="530"/>
      <c r="S749" s="530"/>
      <c r="T749" s="530"/>
      <c r="U749" s="530"/>
    </row>
    <row r="750" spans="1:21" ht="9.75" customHeight="1">
      <c r="A750" s="90"/>
      <c r="B750" s="90"/>
      <c r="C750" s="90"/>
      <c r="D750" s="90"/>
      <c r="E750" s="90"/>
      <c r="F750" s="90"/>
      <c r="G750" s="90"/>
      <c r="H750" s="90"/>
      <c r="I750" s="90"/>
      <c r="J750" s="90"/>
      <c r="K750" s="90"/>
      <c r="L750" s="90"/>
      <c r="M750" s="90"/>
      <c r="N750" s="90"/>
      <c r="O750" s="530"/>
      <c r="P750" s="530"/>
      <c r="Q750" s="530"/>
      <c r="R750" s="530"/>
      <c r="S750" s="530"/>
      <c r="T750" s="530"/>
      <c r="U750" s="530"/>
    </row>
    <row r="751" spans="1:21" ht="9.75" customHeight="1">
      <c r="A751" s="90"/>
      <c r="B751" s="90"/>
      <c r="C751" s="90"/>
      <c r="D751" s="90"/>
      <c r="E751" s="90"/>
      <c r="F751" s="90"/>
      <c r="G751" s="90"/>
      <c r="H751" s="90"/>
      <c r="I751" s="90"/>
      <c r="J751" s="90"/>
      <c r="K751" s="90"/>
      <c r="L751" s="90"/>
      <c r="M751" s="90"/>
      <c r="N751" s="90"/>
      <c r="O751" s="530"/>
      <c r="P751" s="530"/>
      <c r="Q751" s="530"/>
      <c r="R751" s="530"/>
      <c r="S751" s="530"/>
      <c r="T751" s="530"/>
      <c r="U751" s="530"/>
    </row>
    <row r="752" spans="1:21" ht="9.75" customHeight="1">
      <c r="A752" s="90"/>
      <c r="B752" s="90"/>
      <c r="C752" s="90"/>
      <c r="D752" s="90"/>
      <c r="E752" s="90"/>
      <c r="F752" s="90"/>
      <c r="G752" s="90"/>
      <c r="H752" s="90"/>
      <c r="I752" s="90"/>
      <c r="J752" s="90"/>
      <c r="K752" s="90"/>
      <c r="L752" s="90"/>
      <c r="M752" s="90"/>
      <c r="N752" s="90"/>
      <c r="O752" s="530"/>
      <c r="P752" s="530"/>
      <c r="Q752" s="530"/>
      <c r="R752" s="530"/>
      <c r="S752" s="530"/>
      <c r="T752" s="530"/>
      <c r="U752" s="530"/>
    </row>
    <row r="753" spans="1:21" ht="9.75" customHeight="1">
      <c r="A753" s="90"/>
      <c r="B753" s="90"/>
      <c r="C753" s="90"/>
      <c r="D753" s="90"/>
      <c r="E753" s="90"/>
      <c r="F753" s="90"/>
      <c r="G753" s="90"/>
      <c r="H753" s="90"/>
      <c r="I753" s="90"/>
      <c r="J753" s="90"/>
      <c r="K753" s="90"/>
      <c r="L753" s="90"/>
      <c r="M753" s="90"/>
      <c r="N753" s="90"/>
      <c r="O753" s="530"/>
      <c r="P753" s="530"/>
      <c r="Q753" s="530"/>
      <c r="R753" s="530"/>
      <c r="S753" s="530"/>
      <c r="T753" s="530"/>
      <c r="U753" s="530"/>
    </row>
    <row r="754" spans="1:21" ht="9.75" customHeight="1">
      <c r="A754" s="90"/>
      <c r="B754" s="90"/>
      <c r="C754" s="90"/>
      <c r="D754" s="90"/>
      <c r="E754" s="90"/>
      <c r="F754" s="90"/>
      <c r="G754" s="90"/>
      <c r="H754" s="90"/>
      <c r="I754" s="90"/>
      <c r="J754" s="90"/>
      <c r="K754" s="90"/>
      <c r="L754" s="90"/>
      <c r="M754" s="90"/>
      <c r="N754" s="90"/>
      <c r="O754" s="530"/>
      <c r="P754" s="530"/>
      <c r="Q754" s="530"/>
      <c r="R754" s="530"/>
      <c r="S754" s="530"/>
      <c r="T754" s="530"/>
      <c r="U754" s="530"/>
    </row>
    <row r="755" spans="1:21" ht="9.75" customHeight="1">
      <c r="A755" s="90"/>
      <c r="B755" s="90"/>
      <c r="C755" s="90"/>
      <c r="D755" s="90"/>
      <c r="E755" s="90"/>
      <c r="F755" s="90"/>
      <c r="G755" s="90"/>
      <c r="H755" s="90"/>
      <c r="I755" s="90"/>
      <c r="J755" s="90"/>
      <c r="K755" s="90"/>
      <c r="L755" s="90"/>
      <c r="M755" s="90"/>
      <c r="N755" s="90"/>
      <c r="O755" s="530"/>
      <c r="P755" s="530"/>
      <c r="Q755" s="530"/>
      <c r="R755" s="530"/>
      <c r="S755" s="530"/>
      <c r="T755" s="530"/>
      <c r="U755" s="530"/>
    </row>
    <row r="756" spans="1:21" ht="9.75" customHeight="1">
      <c r="A756" s="90"/>
      <c r="B756" s="90"/>
      <c r="C756" s="90"/>
      <c r="D756" s="90"/>
      <c r="E756" s="90"/>
      <c r="F756" s="90"/>
      <c r="G756" s="90"/>
      <c r="H756" s="90"/>
      <c r="I756" s="90"/>
      <c r="J756" s="90"/>
      <c r="K756" s="90"/>
      <c r="L756" s="90"/>
      <c r="M756" s="90"/>
      <c r="N756" s="90"/>
      <c r="O756" s="530"/>
      <c r="P756" s="530"/>
      <c r="Q756" s="530"/>
      <c r="R756" s="530"/>
      <c r="S756" s="530"/>
      <c r="T756" s="530"/>
      <c r="U756" s="530"/>
    </row>
    <row r="757" spans="1:21" ht="9.75" customHeight="1">
      <c r="A757" s="90"/>
      <c r="B757" s="90"/>
      <c r="C757" s="90"/>
      <c r="D757" s="90"/>
      <c r="E757" s="90"/>
      <c r="F757" s="90"/>
      <c r="G757" s="90"/>
      <c r="H757" s="90"/>
      <c r="I757" s="90"/>
      <c r="J757" s="90"/>
      <c r="K757" s="90"/>
      <c r="L757" s="90"/>
      <c r="M757" s="90"/>
      <c r="N757" s="90"/>
      <c r="O757" s="530"/>
      <c r="P757" s="530"/>
      <c r="Q757" s="530"/>
      <c r="R757" s="530"/>
      <c r="S757" s="530"/>
      <c r="T757" s="530"/>
      <c r="U757" s="530"/>
    </row>
    <row r="758" spans="1:21" ht="9.75" customHeight="1">
      <c r="A758" s="90"/>
      <c r="B758" s="90"/>
      <c r="C758" s="90"/>
      <c r="D758" s="90"/>
      <c r="E758" s="90"/>
      <c r="F758" s="90"/>
      <c r="G758" s="90"/>
      <c r="H758" s="90"/>
      <c r="I758" s="90"/>
      <c r="J758" s="90"/>
      <c r="K758" s="90"/>
      <c r="L758" s="90"/>
      <c r="M758" s="90"/>
      <c r="N758" s="90"/>
      <c r="O758" s="530"/>
      <c r="P758" s="530"/>
      <c r="Q758" s="530"/>
      <c r="R758" s="530"/>
      <c r="S758" s="530"/>
      <c r="T758" s="530"/>
      <c r="U758" s="530"/>
    </row>
    <row r="759" spans="1:21" ht="9.75" customHeight="1">
      <c r="A759" s="90"/>
      <c r="B759" s="90"/>
      <c r="C759" s="90"/>
      <c r="D759" s="90"/>
      <c r="E759" s="90"/>
      <c r="F759" s="90"/>
      <c r="G759" s="90"/>
      <c r="H759" s="90"/>
      <c r="I759" s="90"/>
      <c r="J759" s="90"/>
      <c r="K759" s="90"/>
      <c r="L759" s="90"/>
      <c r="M759" s="90"/>
      <c r="N759" s="90"/>
      <c r="O759" s="530"/>
      <c r="P759" s="530"/>
      <c r="Q759" s="530"/>
      <c r="R759" s="530"/>
      <c r="S759" s="530"/>
      <c r="T759" s="530"/>
      <c r="U759" s="530"/>
    </row>
    <row r="760" spans="1:21" ht="9.75" customHeight="1">
      <c r="A760" s="90"/>
      <c r="B760" s="90"/>
      <c r="C760" s="90"/>
      <c r="D760" s="90"/>
      <c r="E760" s="90"/>
      <c r="F760" s="90"/>
      <c r="G760" s="90"/>
      <c r="H760" s="90"/>
      <c r="I760" s="90"/>
      <c r="J760" s="90"/>
      <c r="K760" s="90"/>
      <c r="L760" s="90"/>
      <c r="M760" s="90"/>
      <c r="N760" s="90"/>
      <c r="O760" s="530"/>
      <c r="P760" s="530"/>
      <c r="Q760" s="530"/>
      <c r="R760" s="530"/>
      <c r="S760" s="530"/>
      <c r="T760" s="530"/>
      <c r="U760" s="530"/>
    </row>
    <row r="761" spans="1:21" ht="9.75" customHeight="1">
      <c r="A761" s="90"/>
      <c r="B761" s="90"/>
      <c r="C761" s="90"/>
      <c r="D761" s="90"/>
      <c r="E761" s="90"/>
      <c r="F761" s="90"/>
      <c r="G761" s="90"/>
      <c r="H761" s="90"/>
      <c r="I761" s="90"/>
      <c r="J761" s="90"/>
      <c r="K761" s="90"/>
      <c r="L761" s="90"/>
      <c r="M761" s="90"/>
      <c r="N761" s="90"/>
      <c r="O761" s="530"/>
      <c r="P761" s="530"/>
      <c r="Q761" s="530"/>
      <c r="R761" s="530"/>
      <c r="S761" s="530"/>
      <c r="T761" s="530"/>
      <c r="U761" s="530"/>
    </row>
    <row r="762" spans="1:21" ht="9.75" customHeight="1">
      <c r="A762" s="90"/>
      <c r="B762" s="90"/>
      <c r="C762" s="90"/>
      <c r="D762" s="90"/>
      <c r="E762" s="90"/>
      <c r="F762" s="90"/>
      <c r="G762" s="90"/>
      <c r="H762" s="90"/>
      <c r="I762" s="90"/>
      <c r="J762" s="90"/>
      <c r="K762" s="90"/>
      <c r="L762" s="90"/>
      <c r="M762" s="90"/>
      <c r="N762" s="90"/>
      <c r="O762" s="530"/>
      <c r="P762" s="530"/>
      <c r="Q762" s="530"/>
      <c r="R762" s="530"/>
      <c r="S762" s="530"/>
      <c r="T762" s="530"/>
      <c r="U762" s="530"/>
    </row>
    <row r="763" spans="1:21" ht="9.75" customHeight="1">
      <c r="A763" s="90"/>
      <c r="B763" s="90"/>
      <c r="C763" s="90"/>
      <c r="D763" s="90"/>
      <c r="E763" s="90"/>
      <c r="F763" s="90"/>
      <c r="G763" s="90"/>
      <c r="H763" s="90"/>
      <c r="I763" s="90"/>
      <c r="J763" s="90"/>
      <c r="K763" s="90"/>
      <c r="L763" s="90"/>
      <c r="M763" s="90"/>
      <c r="N763" s="90"/>
      <c r="O763" s="530"/>
      <c r="P763" s="530"/>
      <c r="Q763" s="530"/>
      <c r="R763" s="530"/>
      <c r="S763" s="530"/>
      <c r="T763" s="530"/>
      <c r="U763" s="530"/>
    </row>
    <row r="764" spans="1:21" ht="9.75" customHeight="1">
      <c r="A764" s="90"/>
      <c r="B764" s="90"/>
      <c r="C764" s="90"/>
      <c r="D764" s="90"/>
      <c r="E764" s="90"/>
      <c r="F764" s="90"/>
      <c r="G764" s="90"/>
      <c r="H764" s="90"/>
      <c r="I764" s="90"/>
      <c r="J764" s="90"/>
      <c r="K764" s="90"/>
      <c r="L764" s="90"/>
      <c r="M764" s="90"/>
      <c r="N764" s="90"/>
      <c r="O764" s="530"/>
      <c r="P764" s="530"/>
      <c r="Q764" s="530"/>
      <c r="R764" s="530"/>
      <c r="S764" s="530"/>
      <c r="T764" s="530"/>
      <c r="U764" s="530"/>
    </row>
    <row r="765" spans="1:21" ht="9.75" customHeight="1">
      <c r="A765" s="90"/>
      <c r="B765" s="90"/>
      <c r="C765" s="90"/>
      <c r="D765" s="90"/>
      <c r="E765" s="90"/>
      <c r="F765" s="90"/>
      <c r="G765" s="90"/>
      <c r="H765" s="90"/>
      <c r="I765" s="90"/>
      <c r="J765" s="90"/>
      <c r="K765" s="90"/>
      <c r="L765" s="90"/>
      <c r="M765" s="90"/>
      <c r="N765" s="90"/>
      <c r="O765" s="530"/>
      <c r="P765" s="530"/>
      <c r="Q765" s="530"/>
      <c r="R765" s="530"/>
      <c r="S765" s="530"/>
      <c r="T765" s="530"/>
      <c r="U765" s="530"/>
    </row>
    <row r="766" spans="1:21" ht="9.75" customHeight="1">
      <c r="A766" s="90"/>
      <c r="B766" s="90"/>
      <c r="C766" s="90"/>
      <c r="D766" s="90"/>
      <c r="E766" s="90"/>
      <c r="F766" s="90"/>
      <c r="G766" s="90"/>
      <c r="H766" s="90"/>
      <c r="I766" s="90"/>
      <c r="J766" s="90"/>
      <c r="K766" s="90"/>
      <c r="L766" s="90"/>
      <c r="M766" s="90"/>
      <c r="N766" s="90"/>
      <c r="O766" s="530"/>
      <c r="P766" s="530"/>
      <c r="Q766" s="530"/>
      <c r="R766" s="530"/>
      <c r="S766" s="530"/>
      <c r="T766" s="530"/>
      <c r="U766" s="530"/>
    </row>
    <row r="767" spans="1:21" ht="9.75" customHeight="1">
      <c r="A767" s="90"/>
      <c r="B767" s="90"/>
      <c r="C767" s="90"/>
      <c r="D767" s="90"/>
      <c r="E767" s="90"/>
      <c r="F767" s="90"/>
      <c r="G767" s="90"/>
      <c r="H767" s="90"/>
      <c r="I767" s="90"/>
      <c r="J767" s="90"/>
      <c r="K767" s="90"/>
      <c r="L767" s="90"/>
      <c r="M767" s="90"/>
      <c r="N767" s="90"/>
      <c r="O767" s="530"/>
      <c r="P767" s="530"/>
      <c r="Q767" s="530"/>
      <c r="R767" s="530"/>
      <c r="S767" s="530"/>
      <c r="T767" s="530"/>
      <c r="U767" s="530"/>
    </row>
    <row r="768" spans="1:21" ht="9.75" customHeight="1">
      <c r="A768" s="90"/>
      <c r="B768" s="90"/>
      <c r="C768" s="90"/>
      <c r="D768" s="90"/>
      <c r="E768" s="90"/>
      <c r="F768" s="90"/>
      <c r="G768" s="90"/>
      <c r="H768" s="90"/>
      <c r="I768" s="90"/>
      <c r="J768" s="90"/>
      <c r="K768" s="90"/>
      <c r="L768" s="90"/>
      <c r="M768" s="90"/>
      <c r="N768" s="90"/>
      <c r="O768" s="530"/>
      <c r="P768" s="530"/>
      <c r="Q768" s="530"/>
      <c r="R768" s="530"/>
      <c r="S768" s="530"/>
      <c r="T768" s="530"/>
      <c r="U768" s="530"/>
    </row>
    <row r="769" spans="1:21" ht="9.75" customHeight="1">
      <c r="A769" s="90"/>
      <c r="B769" s="90"/>
      <c r="C769" s="90"/>
      <c r="D769" s="90"/>
      <c r="E769" s="90"/>
      <c r="F769" s="90"/>
      <c r="G769" s="90"/>
      <c r="H769" s="90"/>
      <c r="I769" s="90"/>
      <c r="J769" s="90"/>
      <c r="K769" s="90"/>
      <c r="L769" s="90"/>
      <c r="M769" s="90"/>
      <c r="N769" s="90"/>
      <c r="O769" s="530"/>
      <c r="P769" s="530"/>
      <c r="Q769" s="530"/>
      <c r="R769" s="530"/>
      <c r="S769" s="530"/>
      <c r="T769" s="530"/>
      <c r="U769" s="530"/>
    </row>
    <row r="770" spans="1:21" ht="9.75" customHeight="1">
      <c r="A770" s="90"/>
      <c r="B770" s="90"/>
      <c r="C770" s="90"/>
      <c r="D770" s="90"/>
      <c r="E770" s="90"/>
      <c r="F770" s="90"/>
      <c r="G770" s="90"/>
      <c r="H770" s="90"/>
      <c r="I770" s="90"/>
      <c r="J770" s="90"/>
      <c r="K770" s="90"/>
      <c r="L770" s="90"/>
      <c r="M770" s="90"/>
      <c r="N770" s="90"/>
      <c r="O770" s="530"/>
      <c r="P770" s="530"/>
      <c r="Q770" s="530"/>
      <c r="R770" s="530"/>
      <c r="S770" s="530"/>
      <c r="T770" s="530"/>
      <c r="U770" s="530"/>
    </row>
    <row r="771" spans="1:21" ht="9.75" customHeight="1">
      <c r="A771" s="90"/>
      <c r="B771" s="90"/>
      <c r="C771" s="90"/>
      <c r="D771" s="90"/>
      <c r="E771" s="90"/>
      <c r="F771" s="90"/>
      <c r="G771" s="90"/>
      <c r="H771" s="90"/>
      <c r="I771" s="90"/>
      <c r="J771" s="90"/>
      <c r="K771" s="90"/>
      <c r="L771" s="90"/>
      <c r="M771" s="90"/>
      <c r="N771" s="90"/>
      <c r="O771" s="530"/>
      <c r="P771" s="530"/>
      <c r="Q771" s="530"/>
      <c r="R771" s="530"/>
      <c r="S771" s="530"/>
      <c r="T771" s="530"/>
      <c r="U771" s="530"/>
    </row>
    <row r="772" spans="1:21" ht="9.75" customHeight="1">
      <c r="A772" s="90"/>
      <c r="B772" s="90"/>
      <c r="C772" s="90"/>
      <c r="D772" s="90"/>
      <c r="E772" s="90"/>
      <c r="F772" s="90"/>
      <c r="G772" s="90"/>
      <c r="H772" s="90"/>
      <c r="I772" s="90"/>
      <c r="J772" s="90"/>
      <c r="K772" s="90"/>
      <c r="L772" s="90"/>
      <c r="M772" s="90"/>
      <c r="N772" s="90"/>
      <c r="O772" s="530"/>
      <c r="P772" s="530"/>
      <c r="Q772" s="530"/>
      <c r="R772" s="530"/>
      <c r="S772" s="530"/>
      <c r="T772" s="530"/>
      <c r="U772" s="530"/>
    </row>
    <row r="773" spans="1:21" ht="9.75" customHeight="1">
      <c r="A773" s="90"/>
      <c r="B773" s="90"/>
      <c r="C773" s="90"/>
      <c r="D773" s="90"/>
      <c r="E773" s="90"/>
      <c r="F773" s="90"/>
      <c r="G773" s="90"/>
      <c r="H773" s="90"/>
      <c r="I773" s="90"/>
      <c r="J773" s="90"/>
      <c r="K773" s="90"/>
      <c r="L773" s="90"/>
      <c r="M773" s="90"/>
      <c r="N773" s="90"/>
      <c r="O773" s="530"/>
      <c r="P773" s="530"/>
      <c r="Q773" s="530"/>
      <c r="R773" s="530"/>
      <c r="S773" s="530"/>
      <c r="T773" s="530"/>
      <c r="U773" s="530"/>
    </row>
    <row r="774" spans="1:21" ht="9.75" customHeight="1">
      <c r="A774" s="90"/>
      <c r="B774" s="90"/>
      <c r="C774" s="90"/>
      <c r="D774" s="90"/>
      <c r="E774" s="90"/>
      <c r="F774" s="90"/>
      <c r="G774" s="90"/>
      <c r="H774" s="90"/>
      <c r="I774" s="90"/>
      <c r="J774" s="90"/>
      <c r="K774" s="90"/>
      <c r="L774" s="90"/>
      <c r="M774" s="90"/>
      <c r="N774" s="90"/>
      <c r="O774" s="530"/>
      <c r="P774" s="530"/>
      <c r="Q774" s="530"/>
      <c r="R774" s="530"/>
      <c r="S774" s="530"/>
      <c r="T774" s="530"/>
      <c r="U774" s="530"/>
    </row>
    <row r="775" spans="1:21" ht="9.75" customHeight="1">
      <c r="A775" s="90"/>
      <c r="B775" s="90"/>
      <c r="C775" s="90"/>
      <c r="D775" s="90"/>
      <c r="E775" s="90"/>
      <c r="F775" s="90"/>
      <c r="G775" s="90"/>
      <c r="H775" s="90"/>
      <c r="I775" s="90"/>
      <c r="J775" s="90"/>
      <c r="K775" s="90"/>
      <c r="L775" s="90"/>
      <c r="M775" s="90"/>
      <c r="N775" s="90"/>
      <c r="O775" s="530"/>
      <c r="P775" s="530"/>
      <c r="Q775" s="530"/>
      <c r="R775" s="530"/>
      <c r="S775" s="530"/>
      <c r="T775" s="530"/>
      <c r="U775" s="530"/>
    </row>
    <row r="776" spans="1:21" ht="9.75" customHeight="1">
      <c r="A776" s="90"/>
      <c r="B776" s="90"/>
      <c r="C776" s="90"/>
      <c r="D776" s="90"/>
      <c r="E776" s="90"/>
      <c r="F776" s="90"/>
      <c r="G776" s="90"/>
      <c r="H776" s="90"/>
      <c r="I776" s="90"/>
      <c r="J776" s="90"/>
      <c r="K776" s="90"/>
      <c r="L776" s="90"/>
      <c r="M776" s="90"/>
      <c r="N776" s="90"/>
      <c r="O776" s="530"/>
      <c r="P776" s="530"/>
      <c r="Q776" s="530"/>
      <c r="R776" s="530"/>
      <c r="S776" s="530"/>
      <c r="T776" s="530"/>
      <c r="U776" s="530"/>
    </row>
    <row r="777" spans="1:21" ht="9.75" customHeight="1">
      <c r="A777" s="90"/>
      <c r="B777" s="90"/>
      <c r="C777" s="90"/>
      <c r="D777" s="90"/>
      <c r="E777" s="90"/>
      <c r="F777" s="90"/>
      <c r="G777" s="90"/>
      <c r="H777" s="90"/>
      <c r="I777" s="90"/>
      <c r="J777" s="90"/>
      <c r="K777" s="90"/>
      <c r="L777" s="90"/>
      <c r="M777" s="90"/>
      <c r="N777" s="90"/>
      <c r="O777" s="530"/>
      <c r="P777" s="530"/>
      <c r="Q777" s="530"/>
      <c r="R777" s="530"/>
      <c r="S777" s="530"/>
      <c r="T777" s="530"/>
      <c r="U777" s="530"/>
    </row>
    <row r="778" spans="1:21" ht="9.75" customHeight="1">
      <c r="A778" s="90"/>
      <c r="B778" s="90"/>
      <c r="C778" s="90"/>
      <c r="D778" s="90"/>
      <c r="E778" s="90"/>
      <c r="F778" s="90"/>
      <c r="G778" s="90"/>
      <c r="H778" s="90"/>
      <c r="I778" s="90"/>
      <c r="J778" s="90"/>
      <c r="K778" s="90"/>
      <c r="L778" s="90"/>
      <c r="M778" s="90"/>
      <c r="N778" s="90"/>
      <c r="O778" s="530"/>
      <c r="P778" s="530"/>
      <c r="Q778" s="530"/>
      <c r="R778" s="530"/>
      <c r="S778" s="530"/>
      <c r="T778" s="530"/>
      <c r="U778" s="530"/>
    </row>
    <row r="779" spans="1:21" ht="9.75" customHeight="1">
      <c r="A779" s="90"/>
      <c r="B779" s="90"/>
      <c r="C779" s="90"/>
      <c r="D779" s="90"/>
      <c r="E779" s="90"/>
      <c r="F779" s="90"/>
      <c r="G779" s="90"/>
      <c r="H779" s="90"/>
      <c r="I779" s="90"/>
      <c r="J779" s="90"/>
      <c r="K779" s="90"/>
      <c r="L779" s="90"/>
      <c r="M779" s="90"/>
      <c r="N779" s="90"/>
      <c r="O779" s="530"/>
      <c r="P779" s="530"/>
      <c r="Q779" s="530"/>
      <c r="R779" s="530"/>
      <c r="S779" s="530"/>
      <c r="T779" s="530"/>
      <c r="U779" s="530"/>
    </row>
    <row r="780" spans="1:21" ht="9.75" customHeight="1">
      <c r="A780" s="90"/>
      <c r="B780" s="90"/>
      <c r="C780" s="90"/>
      <c r="D780" s="90"/>
      <c r="E780" s="90"/>
      <c r="F780" s="90"/>
      <c r="G780" s="90"/>
      <c r="H780" s="90"/>
      <c r="I780" s="90"/>
      <c r="J780" s="90"/>
      <c r="K780" s="90"/>
      <c r="L780" s="90"/>
      <c r="M780" s="90"/>
      <c r="N780" s="90"/>
      <c r="O780" s="530"/>
      <c r="P780" s="530"/>
      <c r="Q780" s="530"/>
      <c r="R780" s="530"/>
      <c r="S780" s="530"/>
      <c r="T780" s="530"/>
      <c r="U780" s="530"/>
    </row>
    <row r="781" spans="1:21" ht="9.75" customHeight="1">
      <c r="A781" s="90"/>
      <c r="B781" s="90"/>
      <c r="C781" s="90"/>
      <c r="D781" s="90"/>
      <c r="E781" s="90"/>
      <c r="F781" s="90"/>
      <c r="G781" s="90"/>
      <c r="H781" s="90"/>
      <c r="I781" s="90"/>
      <c r="J781" s="90"/>
      <c r="K781" s="90"/>
      <c r="L781" s="90"/>
      <c r="M781" s="90"/>
      <c r="N781" s="90"/>
      <c r="O781" s="530"/>
      <c r="P781" s="530"/>
      <c r="Q781" s="530"/>
      <c r="R781" s="530"/>
      <c r="S781" s="530"/>
      <c r="T781" s="530"/>
      <c r="U781" s="530"/>
    </row>
    <row r="782" spans="1:21" ht="9.75" customHeight="1">
      <c r="A782" s="90"/>
      <c r="B782" s="90"/>
      <c r="C782" s="90"/>
      <c r="D782" s="90"/>
      <c r="E782" s="90"/>
      <c r="F782" s="90"/>
      <c r="G782" s="90"/>
      <c r="H782" s="90"/>
      <c r="I782" s="90"/>
      <c r="J782" s="90"/>
      <c r="K782" s="90"/>
      <c r="L782" s="90"/>
      <c r="M782" s="90"/>
      <c r="N782" s="90"/>
      <c r="O782" s="530"/>
      <c r="P782" s="530"/>
      <c r="Q782" s="530"/>
      <c r="R782" s="530"/>
      <c r="S782" s="530"/>
      <c r="T782" s="530"/>
      <c r="U782" s="530"/>
    </row>
    <row r="783" spans="1:21" ht="9.75" customHeight="1">
      <c r="A783" s="90"/>
      <c r="B783" s="90"/>
      <c r="C783" s="90"/>
      <c r="D783" s="90"/>
      <c r="E783" s="90"/>
      <c r="F783" s="90"/>
      <c r="G783" s="90"/>
      <c r="H783" s="90"/>
      <c r="I783" s="90"/>
      <c r="J783" s="90"/>
      <c r="K783" s="90"/>
      <c r="L783" s="90"/>
      <c r="M783" s="90"/>
      <c r="N783" s="90"/>
      <c r="O783" s="530"/>
      <c r="P783" s="530"/>
      <c r="Q783" s="530"/>
      <c r="R783" s="530"/>
      <c r="S783" s="530"/>
      <c r="T783" s="530"/>
      <c r="U783" s="530"/>
    </row>
    <row r="784" spans="1:21" ht="9.75" customHeight="1">
      <c r="A784" s="90"/>
      <c r="B784" s="90"/>
      <c r="C784" s="90"/>
      <c r="D784" s="90"/>
      <c r="E784" s="90"/>
      <c r="F784" s="90"/>
      <c r="G784" s="90"/>
      <c r="H784" s="90"/>
      <c r="I784" s="90"/>
      <c r="J784" s="90"/>
      <c r="K784" s="90"/>
      <c r="L784" s="90"/>
      <c r="M784" s="90"/>
      <c r="N784" s="90"/>
      <c r="O784" s="530"/>
      <c r="P784" s="530"/>
      <c r="Q784" s="530"/>
      <c r="R784" s="530"/>
      <c r="S784" s="530"/>
      <c r="T784" s="530"/>
      <c r="U784" s="530"/>
    </row>
    <row r="785" spans="1:21" ht="9.75" customHeight="1">
      <c r="A785" s="90"/>
      <c r="B785" s="90"/>
      <c r="C785" s="90"/>
      <c r="D785" s="90"/>
      <c r="E785" s="90"/>
      <c r="F785" s="90"/>
      <c r="G785" s="90"/>
      <c r="H785" s="90"/>
      <c r="I785" s="90"/>
      <c r="J785" s="90"/>
      <c r="K785" s="90"/>
      <c r="L785" s="90"/>
      <c r="M785" s="90"/>
      <c r="N785" s="90"/>
      <c r="O785" s="530"/>
      <c r="P785" s="530"/>
      <c r="Q785" s="530"/>
      <c r="R785" s="530"/>
      <c r="S785" s="530"/>
      <c r="T785" s="530"/>
      <c r="U785" s="530"/>
    </row>
    <row r="786" spans="1:21" ht="9.75" customHeight="1">
      <c r="A786" s="90"/>
      <c r="B786" s="90"/>
      <c r="C786" s="90"/>
      <c r="D786" s="90"/>
      <c r="E786" s="90"/>
      <c r="F786" s="90"/>
      <c r="G786" s="90"/>
      <c r="H786" s="90"/>
      <c r="I786" s="90"/>
      <c r="J786" s="90"/>
      <c r="K786" s="90"/>
      <c r="L786" s="90"/>
      <c r="M786" s="90"/>
      <c r="N786" s="90"/>
      <c r="O786" s="530"/>
      <c r="P786" s="530"/>
      <c r="Q786" s="530"/>
      <c r="R786" s="530"/>
      <c r="S786" s="530"/>
      <c r="T786" s="530"/>
      <c r="U786" s="530"/>
    </row>
    <row r="787" spans="1:21" ht="9.75" customHeight="1">
      <c r="A787" s="90"/>
      <c r="B787" s="90"/>
      <c r="C787" s="90"/>
      <c r="D787" s="90"/>
      <c r="E787" s="90"/>
      <c r="F787" s="90"/>
      <c r="G787" s="90"/>
      <c r="H787" s="90"/>
      <c r="I787" s="90"/>
      <c r="J787" s="90"/>
      <c r="K787" s="90"/>
      <c r="L787" s="90"/>
      <c r="M787" s="90"/>
      <c r="N787" s="90"/>
      <c r="O787" s="530"/>
      <c r="P787" s="530"/>
      <c r="Q787" s="530"/>
      <c r="R787" s="530"/>
      <c r="S787" s="530"/>
      <c r="T787" s="530"/>
      <c r="U787" s="530"/>
    </row>
    <row r="788" spans="1:21" ht="9.75" customHeight="1">
      <c r="A788" s="90"/>
      <c r="B788" s="90"/>
      <c r="C788" s="90"/>
      <c r="D788" s="90"/>
      <c r="E788" s="90"/>
      <c r="F788" s="90"/>
      <c r="G788" s="90"/>
      <c r="H788" s="90"/>
      <c r="I788" s="90"/>
      <c r="J788" s="90"/>
      <c r="K788" s="90"/>
      <c r="L788" s="90"/>
      <c r="M788" s="90"/>
      <c r="N788" s="90"/>
      <c r="O788" s="530"/>
      <c r="P788" s="530"/>
      <c r="Q788" s="530"/>
      <c r="R788" s="530"/>
      <c r="S788" s="530"/>
      <c r="T788" s="530"/>
      <c r="U788" s="530"/>
    </row>
    <row r="789" spans="1:21" ht="9.75" customHeight="1">
      <c r="A789" s="90"/>
      <c r="B789" s="90"/>
      <c r="C789" s="90"/>
      <c r="D789" s="90"/>
      <c r="E789" s="90"/>
      <c r="F789" s="90"/>
      <c r="G789" s="90"/>
      <c r="H789" s="90"/>
      <c r="I789" s="90"/>
      <c r="J789" s="90"/>
      <c r="K789" s="90"/>
      <c r="L789" s="90"/>
      <c r="M789" s="90"/>
      <c r="N789" s="90"/>
      <c r="O789" s="530"/>
      <c r="P789" s="530"/>
      <c r="Q789" s="530"/>
      <c r="R789" s="530"/>
      <c r="S789" s="530"/>
      <c r="T789" s="530"/>
      <c r="U789" s="530"/>
    </row>
    <row r="790" spans="1:21" ht="9.75" customHeight="1">
      <c r="A790" s="90"/>
      <c r="B790" s="90"/>
      <c r="C790" s="90"/>
      <c r="D790" s="90"/>
      <c r="E790" s="90"/>
      <c r="F790" s="90"/>
      <c r="G790" s="90"/>
      <c r="H790" s="90"/>
      <c r="I790" s="90"/>
      <c r="J790" s="90"/>
      <c r="K790" s="90"/>
      <c r="L790" s="90"/>
      <c r="M790" s="90"/>
      <c r="N790" s="90"/>
      <c r="O790" s="530"/>
      <c r="P790" s="530"/>
      <c r="Q790" s="530"/>
      <c r="R790" s="530"/>
      <c r="S790" s="530"/>
      <c r="T790" s="530"/>
      <c r="U790" s="530"/>
    </row>
    <row r="791" spans="1:21" ht="9.75" customHeight="1">
      <c r="A791" s="90"/>
      <c r="B791" s="90"/>
      <c r="C791" s="90"/>
      <c r="D791" s="90"/>
      <c r="E791" s="90"/>
      <c r="F791" s="90"/>
      <c r="G791" s="90"/>
      <c r="H791" s="90"/>
      <c r="I791" s="90"/>
      <c r="J791" s="90"/>
      <c r="K791" s="90"/>
      <c r="L791" s="90"/>
      <c r="M791" s="90"/>
      <c r="N791" s="90"/>
      <c r="O791" s="530"/>
      <c r="P791" s="530"/>
      <c r="Q791" s="530"/>
      <c r="R791" s="530"/>
      <c r="S791" s="530"/>
      <c r="T791" s="530"/>
      <c r="U791" s="530"/>
    </row>
    <row r="792" spans="1:21" ht="9.75" customHeight="1">
      <c r="A792" s="90"/>
      <c r="B792" s="90"/>
      <c r="C792" s="90"/>
      <c r="D792" s="90"/>
      <c r="E792" s="90"/>
      <c r="F792" s="90"/>
      <c r="G792" s="90"/>
      <c r="H792" s="90"/>
      <c r="I792" s="90"/>
      <c r="J792" s="90"/>
      <c r="K792" s="90"/>
      <c r="L792" s="90"/>
      <c r="M792" s="90"/>
      <c r="N792" s="90"/>
      <c r="O792" s="530"/>
      <c r="P792" s="530"/>
      <c r="Q792" s="530"/>
      <c r="R792" s="530"/>
      <c r="S792" s="530"/>
      <c r="T792" s="530"/>
      <c r="U792" s="530"/>
    </row>
    <row r="793" spans="1:21" ht="9.75" customHeight="1">
      <c r="A793" s="90"/>
      <c r="B793" s="90"/>
      <c r="C793" s="90"/>
      <c r="D793" s="90"/>
      <c r="E793" s="90"/>
      <c r="F793" s="90"/>
      <c r="G793" s="90"/>
      <c r="H793" s="90"/>
      <c r="I793" s="90"/>
      <c r="J793" s="90"/>
      <c r="K793" s="90"/>
      <c r="L793" s="90"/>
      <c r="M793" s="90"/>
      <c r="N793" s="90"/>
      <c r="O793" s="530"/>
      <c r="P793" s="530"/>
      <c r="Q793" s="530"/>
      <c r="R793" s="530"/>
      <c r="S793" s="530"/>
      <c r="T793" s="530"/>
      <c r="U793" s="530"/>
    </row>
    <row r="794" spans="1:21" ht="9.75" customHeight="1">
      <c r="A794" s="90"/>
      <c r="B794" s="90"/>
      <c r="C794" s="90"/>
      <c r="D794" s="90"/>
      <c r="E794" s="90"/>
      <c r="F794" s="90"/>
      <c r="G794" s="90"/>
      <c r="H794" s="90"/>
      <c r="I794" s="90"/>
      <c r="J794" s="90"/>
      <c r="K794" s="90"/>
      <c r="L794" s="90"/>
      <c r="M794" s="90"/>
      <c r="N794" s="90"/>
      <c r="O794" s="530"/>
      <c r="P794" s="530"/>
      <c r="Q794" s="530"/>
      <c r="R794" s="530"/>
      <c r="S794" s="530"/>
      <c r="T794" s="530"/>
      <c r="U794" s="530"/>
    </row>
    <row r="795" spans="1:21" ht="9.75" customHeight="1">
      <c r="A795" s="90"/>
      <c r="B795" s="90"/>
      <c r="C795" s="90"/>
      <c r="D795" s="90"/>
      <c r="E795" s="90"/>
      <c r="F795" s="90"/>
      <c r="G795" s="90"/>
      <c r="H795" s="90"/>
      <c r="I795" s="90"/>
      <c r="J795" s="90"/>
      <c r="K795" s="90"/>
      <c r="L795" s="90"/>
      <c r="M795" s="90"/>
      <c r="N795" s="90"/>
      <c r="O795" s="530"/>
      <c r="P795" s="530"/>
      <c r="Q795" s="530"/>
      <c r="R795" s="530"/>
      <c r="S795" s="530"/>
      <c r="T795" s="530"/>
      <c r="U795" s="530"/>
    </row>
    <row r="796" spans="1:21" ht="9.75" customHeight="1">
      <c r="A796" s="90"/>
      <c r="B796" s="90"/>
      <c r="C796" s="90"/>
      <c r="D796" s="90"/>
      <c r="E796" s="90"/>
      <c r="F796" s="90"/>
      <c r="G796" s="90"/>
      <c r="H796" s="90"/>
      <c r="I796" s="90"/>
      <c r="J796" s="90"/>
      <c r="K796" s="90"/>
      <c r="L796" s="90"/>
      <c r="M796" s="90"/>
      <c r="N796" s="90"/>
      <c r="O796" s="530"/>
      <c r="P796" s="530"/>
      <c r="Q796" s="530"/>
      <c r="R796" s="530"/>
      <c r="S796" s="530"/>
      <c r="T796" s="530"/>
      <c r="U796" s="530"/>
    </row>
    <row r="797" spans="1:21" ht="9.75" customHeight="1">
      <c r="A797" s="90"/>
      <c r="B797" s="90"/>
      <c r="C797" s="90"/>
      <c r="D797" s="90"/>
      <c r="E797" s="90"/>
      <c r="F797" s="90"/>
      <c r="G797" s="90"/>
      <c r="H797" s="90"/>
      <c r="I797" s="90"/>
      <c r="J797" s="90"/>
      <c r="K797" s="90"/>
      <c r="L797" s="90"/>
      <c r="M797" s="90"/>
      <c r="N797" s="90"/>
      <c r="O797" s="530"/>
      <c r="P797" s="530"/>
      <c r="Q797" s="530"/>
      <c r="R797" s="530"/>
      <c r="S797" s="530"/>
      <c r="T797" s="530"/>
      <c r="U797" s="530"/>
    </row>
    <row r="798" spans="1:21" ht="9.75" customHeight="1">
      <c r="A798" s="90"/>
      <c r="B798" s="90"/>
      <c r="C798" s="90"/>
      <c r="D798" s="90"/>
      <c r="E798" s="90"/>
      <c r="F798" s="90"/>
      <c r="G798" s="90"/>
      <c r="H798" s="90"/>
      <c r="I798" s="90"/>
      <c r="J798" s="90"/>
      <c r="K798" s="90"/>
      <c r="L798" s="90"/>
      <c r="M798" s="90"/>
      <c r="N798" s="90"/>
      <c r="O798" s="530"/>
      <c r="P798" s="530"/>
      <c r="Q798" s="530"/>
      <c r="R798" s="530"/>
      <c r="S798" s="530"/>
      <c r="T798" s="530"/>
      <c r="U798" s="530"/>
    </row>
    <row r="799" spans="1:21" ht="9.75" customHeight="1">
      <c r="A799" s="90"/>
      <c r="B799" s="90"/>
      <c r="C799" s="90"/>
      <c r="D799" s="90"/>
      <c r="E799" s="90"/>
      <c r="F799" s="90"/>
      <c r="G799" s="90"/>
      <c r="H799" s="90"/>
      <c r="I799" s="90"/>
      <c r="J799" s="90"/>
      <c r="K799" s="90"/>
      <c r="L799" s="90"/>
      <c r="M799" s="90"/>
      <c r="N799" s="90"/>
      <c r="O799" s="530"/>
      <c r="P799" s="530"/>
      <c r="Q799" s="530"/>
      <c r="R799" s="530"/>
      <c r="S799" s="530"/>
      <c r="T799" s="530"/>
      <c r="U799" s="530"/>
    </row>
    <row r="800" spans="1:21" ht="9.75" customHeight="1">
      <c r="A800" s="90"/>
      <c r="B800" s="90"/>
      <c r="C800" s="90"/>
      <c r="D800" s="90"/>
      <c r="E800" s="90"/>
      <c r="F800" s="90"/>
      <c r="G800" s="90"/>
      <c r="H800" s="90"/>
      <c r="I800" s="90"/>
      <c r="J800" s="90"/>
      <c r="K800" s="90"/>
      <c r="L800" s="90"/>
      <c r="M800" s="90"/>
      <c r="N800" s="90"/>
      <c r="O800" s="530"/>
      <c r="P800" s="530"/>
      <c r="Q800" s="530"/>
      <c r="R800" s="530"/>
      <c r="S800" s="530"/>
      <c r="T800" s="530"/>
      <c r="U800" s="530"/>
    </row>
    <row r="801" spans="1:21" ht="9.75" customHeight="1">
      <c r="A801" s="90"/>
      <c r="B801" s="90"/>
      <c r="C801" s="90"/>
      <c r="D801" s="90"/>
      <c r="E801" s="90"/>
      <c r="F801" s="90"/>
      <c r="G801" s="90"/>
      <c r="H801" s="90"/>
      <c r="I801" s="90"/>
      <c r="J801" s="90"/>
      <c r="K801" s="90"/>
      <c r="L801" s="90"/>
      <c r="M801" s="90"/>
      <c r="N801" s="90"/>
      <c r="O801" s="530"/>
      <c r="P801" s="530"/>
      <c r="Q801" s="530"/>
      <c r="R801" s="530"/>
      <c r="S801" s="530"/>
      <c r="T801" s="530"/>
      <c r="U801" s="530"/>
    </row>
    <row r="802" spans="1:21" ht="9.75" customHeight="1">
      <c r="A802" s="90"/>
      <c r="B802" s="90"/>
      <c r="C802" s="90"/>
      <c r="D802" s="90"/>
      <c r="E802" s="90"/>
      <c r="F802" s="90"/>
      <c r="G802" s="90"/>
      <c r="H802" s="90"/>
      <c r="I802" s="90"/>
      <c r="J802" s="90"/>
      <c r="K802" s="90"/>
      <c r="L802" s="90"/>
      <c r="M802" s="90"/>
      <c r="N802" s="90"/>
      <c r="O802" s="530"/>
      <c r="P802" s="530"/>
      <c r="Q802" s="530"/>
      <c r="R802" s="530"/>
      <c r="S802" s="530"/>
      <c r="T802" s="530"/>
      <c r="U802" s="530"/>
    </row>
    <row r="803" spans="1:21" ht="9.75" customHeight="1">
      <c r="A803" s="90"/>
      <c r="B803" s="90"/>
      <c r="C803" s="90"/>
      <c r="D803" s="90"/>
      <c r="E803" s="90"/>
      <c r="F803" s="90"/>
      <c r="G803" s="90"/>
      <c r="H803" s="90"/>
      <c r="I803" s="90"/>
      <c r="J803" s="90"/>
      <c r="K803" s="90"/>
      <c r="L803" s="90"/>
      <c r="M803" s="90"/>
      <c r="N803" s="90"/>
      <c r="O803" s="530"/>
      <c r="P803" s="530"/>
      <c r="Q803" s="530"/>
      <c r="R803" s="530"/>
      <c r="S803" s="530"/>
      <c r="T803" s="530"/>
      <c r="U803" s="530"/>
    </row>
    <row r="804" spans="1:21" ht="9.75" customHeight="1">
      <c r="A804" s="90"/>
      <c r="B804" s="90"/>
      <c r="C804" s="90"/>
      <c r="D804" s="90"/>
      <c r="E804" s="90"/>
      <c r="F804" s="90"/>
      <c r="G804" s="90"/>
      <c r="H804" s="90"/>
      <c r="I804" s="90"/>
      <c r="J804" s="90"/>
      <c r="K804" s="90"/>
      <c r="L804" s="90"/>
      <c r="M804" s="90"/>
      <c r="N804" s="90"/>
      <c r="O804" s="530"/>
      <c r="P804" s="530"/>
      <c r="Q804" s="530"/>
      <c r="R804" s="530"/>
      <c r="S804" s="530"/>
      <c r="T804" s="530"/>
      <c r="U804" s="530"/>
    </row>
    <row r="805" spans="1:21" ht="9.75" customHeight="1">
      <c r="A805" s="90"/>
      <c r="B805" s="90"/>
      <c r="C805" s="90"/>
      <c r="D805" s="90"/>
      <c r="E805" s="90"/>
      <c r="F805" s="90"/>
      <c r="G805" s="90"/>
      <c r="H805" s="90"/>
      <c r="I805" s="90"/>
      <c r="J805" s="90"/>
      <c r="K805" s="90"/>
      <c r="L805" s="90"/>
      <c r="M805" s="90"/>
      <c r="N805" s="90"/>
      <c r="O805" s="530"/>
      <c r="P805" s="530"/>
      <c r="Q805" s="530"/>
      <c r="R805" s="530"/>
      <c r="S805" s="530"/>
      <c r="T805" s="530"/>
      <c r="U805" s="530"/>
    </row>
    <row r="806" spans="1:21" ht="9.75" customHeight="1">
      <c r="A806" s="90"/>
      <c r="B806" s="90"/>
      <c r="C806" s="90"/>
      <c r="D806" s="90"/>
      <c r="E806" s="90"/>
      <c r="F806" s="90"/>
      <c r="G806" s="90"/>
      <c r="H806" s="90"/>
      <c r="I806" s="90"/>
      <c r="J806" s="90"/>
      <c r="K806" s="90"/>
      <c r="L806" s="90"/>
      <c r="M806" s="90"/>
      <c r="N806" s="90"/>
      <c r="O806" s="530"/>
      <c r="P806" s="530"/>
      <c r="Q806" s="530"/>
      <c r="R806" s="530"/>
      <c r="S806" s="530"/>
      <c r="T806" s="530"/>
      <c r="U806" s="530"/>
    </row>
    <row r="807" spans="1:21" ht="9.75" customHeight="1">
      <c r="A807" s="90"/>
      <c r="B807" s="90"/>
      <c r="C807" s="90"/>
      <c r="D807" s="90"/>
      <c r="E807" s="90"/>
      <c r="F807" s="90"/>
      <c r="G807" s="90"/>
      <c r="H807" s="90"/>
      <c r="I807" s="90"/>
      <c r="J807" s="90"/>
      <c r="K807" s="90"/>
      <c r="L807" s="90"/>
      <c r="M807" s="90"/>
      <c r="N807" s="90"/>
      <c r="O807" s="530"/>
      <c r="P807" s="530"/>
      <c r="Q807" s="530"/>
      <c r="R807" s="530"/>
      <c r="S807" s="530"/>
      <c r="T807" s="530"/>
      <c r="U807" s="530"/>
    </row>
    <row r="808" spans="1:21" ht="9.75" customHeight="1">
      <c r="A808" s="90"/>
      <c r="B808" s="90"/>
      <c r="C808" s="90"/>
      <c r="D808" s="90"/>
      <c r="E808" s="90"/>
      <c r="F808" s="90"/>
      <c r="G808" s="90"/>
      <c r="H808" s="90"/>
      <c r="I808" s="90"/>
      <c r="J808" s="90"/>
      <c r="K808" s="90"/>
      <c r="L808" s="90"/>
      <c r="M808" s="90"/>
      <c r="N808" s="90"/>
      <c r="O808" s="530"/>
      <c r="P808" s="530"/>
      <c r="Q808" s="530"/>
      <c r="R808" s="530"/>
      <c r="S808" s="530"/>
      <c r="T808" s="530"/>
      <c r="U808" s="530"/>
    </row>
    <row r="809" spans="1:21" ht="9.75" customHeight="1">
      <c r="A809" s="90"/>
      <c r="B809" s="90"/>
      <c r="C809" s="90"/>
      <c r="D809" s="90"/>
      <c r="E809" s="90"/>
      <c r="F809" s="90"/>
      <c r="G809" s="90"/>
      <c r="H809" s="90"/>
      <c r="I809" s="90"/>
      <c r="J809" s="90"/>
      <c r="K809" s="90"/>
      <c r="L809" s="90"/>
      <c r="M809" s="90"/>
      <c r="N809" s="90"/>
      <c r="O809" s="530"/>
      <c r="P809" s="530"/>
      <c r="Q809" s="530"/>
      <c r="R809" s="530"/>
      <c r="S809" s="530"/>
      <c r="T809" s="530"/>
      <c r="U809" s="530"/>
    </row>
    <row r="810" spans="1:21" ht="9.75" customHeight="1">
      <c r="A810" s="90"/>
      <c r="B810" s="90"/>
      <c r="C810" s="90"/>
      <c r="D810" s="90"/>
      <c r="E810" s="90"/>
      <c r="F810" s="90"/>
      <c r="G810" s="90"/>
      <c r="H810" s="90"/>
      <c r="I810" s="90"/>
      <c r="J810" s="90"/>
      <c r="K810" s="90"/>
      <c r="L810" s="90"/>
      <c r="M810" s="90"/>
      <c r="N810" s="90"/>
      <c r="O810" s="530"/>
      <c r="P810" s="530"/>
      <c r="Q810" s="530"/>
      <c r="R810" s="530"/>
      <c r="S810" s="530"/>
      <c r="T810" s="530"/>
      <c r="U810" s="530"/>
    </row>
    <row r="811" spans="1:21" ht="9.75" customHeight="1">
      <c r="A811" s="90"/>
      <c r="B811" s="90"/>
      <c r="C811" s="90"/>
      <c r="D811" s="90"/>
      <c r="E811" s="90"/>
      <c r="F811" s="90"/>
      <c r="G811" s="90"/>
      <c r="H811" s="90"/>
      <c r="I811" s="90"/>
      <c r="J811" s="90"/>
      <c r="K811" s="90"/>
      <c r="L811" s="90"/>
      <c r="M811" s="90"/>
      <c r="N811" s="90"/>
      <c r="O811" s="530"/>
      <c r="P811" s="530"/>
      <c r="Q811" s="530"/>
      <c r="R811" s="530"/>
      <c r="S811" s="530"/>
      <c r="T811" s="530"/>
      <c r="U811" s="530"/>
    </row>
    <row r="812" spans="1:21" ht="9.75" customHeight="1">
      <c r="A812" s="90"/>
      <c r="B812" s="90"/>
      <c r="C812" s="90"/>
      <c r="D812" s="90"/>
      <c r="E812" s="90"/>
      <c r="F812" s="90"/>
      <c r="G812" s="90"/>
      <c r="H812" s="90"/>
      <c r="I812" s="90"/>
      <c r="J812" s="90"/>
      <c r="K812" s="90"/>
      <c r="L812" s="90"/>
      <c r="M812" s="90"/>
      <c r="N812" s="90"/>
      <c r="O812" s="530"/>
      <c r="P812" s="530"/>
      <c r="Q812" s="530"/>
      <c r="R812" s="530"/>
      <c r="S812" s="530"/>
      <c r="T812" s="530"/>
      <c r="U812" s="530"/>
    </row>
    <row r="813" spans="1:21" ht="9.75" customHeight="1">
      <c r="A813" s="90"/>
      <c r="B813" s="90"/>
      <c r="C813" s="90"/>
      <c r="D813" s="90"/>
      <c r="E813" s="90"/>
      <c r="F813" s="90"/>
      <c r="G813" s="90"/>
      <c r="H813" s="90"/>
      <c r="I813" s="90"/>
      <c r="J813" s="90"/>
      <c r="K813" s="90"/>
      <c r="L813" s="90"/>
      <c r="M813" s="90"/>
      <c r="N813" s="90"/>
      <c r="O813" s="530"/>
      <c r="P813" s="530"/>
      <c r="Q813" s="530"/>
      <c r="R813" s="530"/>
      <c r="S813" s="530"/>
      <c r="T813" s="530"/>
      <c r="U813" s="530"/>
    </row>
    <row r="814" spans="1:21" ht="9.75" customHeight="1">
      <c r="A814" s="90"/>
      <c r="B814" s="90"/>
      <c r="C814" s="90"/>
      <c r="D814" s="90"/>
      <c r="E814" s="90"/>
      <c r="F814" s="90"/>
      <c r="G814" s="90"/>
      <c r="H814" s="90"/>
      <c r="I814" s="90"/>
      <c r="J814" s="90"/>
      <c r="K814" s="90"/>
      <c r="L814" s="90"/>
      <c r="M814" s="90"/>
      <c r="N814" s="90"/>
      <c r="O814" s="530"/>
      <c r="P814" s="530"/>
      <c r="Q814" s="530"/>
      <c r="R814" s="530"/>
      <c r="S814" s="530"/>
      <c r="T814" s="530"/>
      <c r="U814" s="530"/>
    </row>
    <row r="815" spans="1:21" ht="9.75" customHeight="1">
      <c r="A815" s="90"/>
      <c r="B815" s="90"/>
      <c r="C815" s="90"/>
      <c r="D815" s="90"/>
      <c r="E815" s="90"/>
      <c r="F815" s="90"/>
      <c r="G815" s="90"/>
      <c r="H815" s="90"/>
      <c r="I815" s="90"/>
      <c r="J815" s="90"/>
      <c r="K815" s="90"/>
      <c r="L815" s="90"/>
      <c r="M815" s="90"/>
      <c r="N815" s="90"/>
      <c r="O815" s="530"/>
      <c r="P815" s="530"/>
      <c r="Q815" s="530"/>
      <c r="R815" s="530"/>
      <c r="S815" s="530"/>
      <c r="T815" s="530"/>
      <c r="U815" s="530"/>
    </row>
    <row r="816" spans="1:21" ht="9.75" customHeight="1">
      <c r="A816" s="90"/>
      <c r="B816" s="90"/>
      <c r="C816" s="90"/>
      <c r="D816" s="90"/>
      <c r="E816" s="90"/>
      <c r="F816" s="90"/>
      <c r="G816" s="90"/>
      <c r="H816" s="90"/>
      <c r="I816" s="90"/>
      <c r="J816" s="90"/>
      <c r="K816" s="90"/>
      <c r="L816" s="90"/>
      <c r="M816" s="90"/>
      <c r="N816" s="90"/>
      <c r="O816" s="530"/>
      <c r="P816" s="530"/>
      <c r="Q816" s="530"/>
      <c r="R816" s="530"/>
      <c r="S816" s="530"/>
      <c r="T816" s="530"/>
      <c r="U816" s="530"/>
    </row>
    <row r="817" spans="1:21" ht="9.75" customHeight="1">
      <c r="A817" s="90"/>
      <c r="B817" s="90"/>
      <c r="C817" s="90"/>
      <c r="D817" s="90"/>
      <c r="E817" s="90"/>
      <c r="F817" s="90"/>
      <c r="G817" s="90"/>
      <c r="H817" s="90"/>
      <c r="I817" s="90"/>
      <c r="J817" s="90"/>
      <c r="K817" s="90"/>
      <c r="L817" s="90"/>
      <c r="M817" s="90"/>
      <c r="N817" s="90"/>
      <c r="O817" s="530"/>
      <c r="P817" s="530"/>
      <c r="Q817" s="530"/>
      <c r="R817" s="530"/>
      <c r="S817" s="530"/>
      <c r="T817" s="530"/>
      <c r="U817" s="530"/>
    </row>
    <row r="818" spans="1:21" ht="9.75" customHeight="1">
      <c r="A818" s="90"/>
      <c r="B818" s="90"/>
      <c r="C818" s="90"/>
      <c r="D818" s="90"/>
      <c r="E818" s="90"/>
      <c r="F818" s="90"/>
      <c r="G818" s="90"/>
      <c r="H818" s="90"/>
      <c r="I818" s="90"/>
      <c r="J818" s="90"/>
      <c r="K818" s="90"/>
      <c r="L818" s="90"/>
      <c r="M818" s="90"/>
      <c r="N818" s="90"/>
      <c r="O818" s="530"/>
      <c r="P818" s="530"/>
      <c r="Q818" s="530"/>
      <c r="R818" s="530"/>
      <c r="S818" s="530"/>
      <c r="T818" s="530"/>
      <c r="U818" s="530"/>
    </row>
    <row r="819" spans="1:21" ht="9.75" customHeight="1">
      <c r="A819" s="90"/>
      <c r="B819" s="90"/>
      <c r="C819" s="90"/>
      <c r="D819" s="90"/>
      <c r="E819" s="90"/>
      <c r="F819" s="90"/>
      <c r="G819" s="90"/>
      <c r="H819" s="90"/>
      <c r="I819" s="90"/>
      <c r="J819" s="90"/>
      <c r="K819" s="90"/>
      <c r="L819" s="90"/>
      <c r="M819" s="90"/>
      <c r="N819" s="90"/>
      <c r="O819" s="530"/>
      <c r="P819" s="530"/>
      <c r="Q819" s="530"/>
      <c r="R819" s="530"/>
      <c r="S819" s="530"/>
      <c r="T819" s="530"/>
      <c r="U819" s="530"/>
    </row>
    <row r="820" spans="1:21" ht="9.75" customHeight="1">
      <c r="A820" s="90"/>
      <c r="B820" s="90"/>
      <c r="C820" s="90"/>
      <c r="D820" s="90"/>
      <c r="E820" s="90"/>
      <c r="F820" s="90"/>
      <c r="G820" s="90"/>
      <c r="H820" s="90"/>
      <c r="I820" s="90"/>
      <c r="J820" s="90"/>
      <c r="K820" s="90"/>
      <c r="L820" s="90"/>
      <c r="M820" s="90"/>
      <c r="N820" s="90"/>
      <c r="O820" s="530"/>
      <c r="P820" s="530"/>
      <c r="Q820" s="530"/>
      <c r="R820" s="530"/>
      <c r="S820" s="530"/>
      <c r="T820" s="530"/>
      <c r="U820" s="530"/>
    </row>
    <row r="821" spans="1:21" ht="9.75" customHeight="1">
      <c r="A821" s="90"/>
      <c r="B821" s="90"/>
      <c r="C821" s="90"/>
      <c r="D821" s="90"/>
      <c r="E821" s="90"/>
      <c r="F821" s="90"/>
      <c r="G821" s="90"/>
      <c r="H821" s="90"/>
      <c r="I821" s="90"/>
      <c r="J821" s="90"/>
      <c r="K821" s="90"/>
      <c r="L821" s="90"/>
      <c r="M821" s="90"/>
      <c r="N821" s="90"/>
      <c r="O821" s="530"/>
      <c r="P821" s="530"/>
      <c r="Q821" s="530"/>
      <c r="R821" s="530"/>
      <c r="S821" s="530"/>
      <c r="T821" s="530"/>
      <c r="U821" s="530"/>
    </row>
    <row r="822" spans="1:21" ht="9.75" customHeight="1">
      <c r="A822" s="90"/>
      <c r="B822" s="90"/>
      <c r="C822" s="90"/>
      <c r="D822" s="90"/>
      <c r="E822" s="90"/>
      <c r="F822" s="90"/>
      <c r="G822" s="90"/>
      <c r="H822" s="90"/>
      <c r="I822" s="90"/>
      <c r="J822" s="90"/>
      <c r="K822" s="90"/>
      <c r="L822" s="90"/>
      <c r="M822" s="90"/>
      <c r="N822" s="90"/>
      <c r="O822" s="530"/>
      <c r="P822" s="530"/>
      <c r="Q822" s="530"/>
      <c r="R822" s="530"/>
      <c r="S822" s="530"/>
      <c r="T822" s="530"/>
      <c r="U822" s="530"/>
    </row>
    <row r="823" spans="1:21" ht="9.75" customHeight="1">
      <c r="A823" s="90"/>
      <c r="B823" s="90"/>
      <c r="C823" s="90"/>
      <c r="D823" s="90"/>
      <c r="E823" s="90"/>
      <c r="F823" s="90"/>
      <c r="G823" s="90"/>
      <c r="H823" s="90"/>
      <c r="I823" s="90"/>
      <c r="J823" s="90"/>
      <c r="K823" s="90"/>
      <c r="L823" s="90"/>
      <c r="M823" s="90"/>
      <c r="N823" s="90"/>
      <c r="O823" s="530"/>
      <c r="P823" s="530"/>
      <c r="Q823" s="530"/>
      <c r="R823" s="530"/>
      <c r="S823" s="530"/>
      <c r="T823" s="530"/>
      <c r="U823" s="530"/>
    </row>
    <row r="824" spans="1:21" ht="9.75" customHeight="1">
      <c r="A824" s="90"/>
      <c r="B824" s="90"/>
      <c r="C824" s="90"/>
      <c r="D824" s="90"/>
      <c r="E824" s="90"/>
      <c r="F824" s="90"/>
      <c r="G824" s="90"/>
      <c r="H824" s="90"/>
      <c r="I824" s="90"/>
      <c r="J824" s="90"/>
      <c r="K824" s="90"/>
      <c r="L824" s="90"/>
      <c r="M824" s="90"/>
      <c r="N824" s="90"/>
      <c r="O824" s="530"/>
      <c r="P824" s="530"/>
      <c r="Q824" s="530"/>
      <c r="R824" s="530"/>
      <c r="S824" s="530"/>
      <c r="T824" s="530"/>
      <c r="U824" s="530"/>
    </row>
    <row r="825" spans="1:21" ht="9.75" customHeight="1">
      <c r="A825" s="90"/>
      <c r="B825" s="90"/>
      <c r="C825" s="90"/>
      <c r="D825" s="90"/>
      <c r="E825" s="90"/>
      <c r="F825" s="90"/>
      <c r="G825" s="90"/>
      <c r="H825" s="90"/>
      <c r="I825" s="90"/>
      <c r="J825" s="90"/>
      <c r="K825" s="90"/>
      <c r="L825" s="90"/>
      <c r="M825" s="90"/>
      <c r="N825" s="90"/>
      <c r="O825" s="530"/>
      <c r="P825" s="530"/>
      <c r="Q825" s="530"/>
      <c r="R825" s="530"/>
      <c r="S825" s="530"/>
      <c r="T825" s="530"/>
      <c r="U825" s="530"/>
    </row>
    <row r="826" spans="1:21" ht="9.75" customHeight="1">
      <c r="A826" s="90"/>
      <c r="B826" s="90"/>
      <c r="C826" s="90"/>
      <c r="D826" s="90"/>
      <c r="E826" s="90"/>
      <c r="F826" s="90"/>
      <c r="G826" s="90"/>
      <c r="H826" s="90"/>
      <c r="I826" s="90"/>
      <c r="J826" s="90"/>
      <c r="K826" s="90"/>
      <c r="L826" s="90"/>
      <c r="M826" s="90"/>
      <c r="N826" s="90"/>
      <c r="O826" s="530"/>
      <c r="P826" s="530"/>
      <c r="Q826" s="530"/>
      <c r="R826" s="530"/>
      <c r="S826" s="530"/>
      <c r="T826" s="530"/>
      <c r="U826" s="530"/>
    </row>
    <row r="827" spans="1:21" ht="9.75" customHeight="1">
      <c r="A827" s="90"/>
      <c r="B827" s="90"/>
      <c r="C827" s="90"/>
      <c r="D827" s="90"/>
      <c r="E827" s="90"/>
      <c r="F827" s="90"/>
      <c r="G827" s="90"/>
      <c r="H827" s="90"/>
      <c r="I827" s="90"/>
      <c r="J827" s="90"/>
      <c r="K827" s="90"/>
      <c r="L827" s="90"/>
      <c r="M827" s="90"/>
      <c r="N827" s="90"/>
      <c r="O827" s="530"/>
      <c r="P827" s="530"/>
      <c r="Q827" s="530"/>
      <c r="R827" s="530"/>
      <c r="S827" s="530"/>
      <c r="T827" s="530"/>
      <c r="U827" s="530"/>
    </row>
    <row r="828" spans="1:21" ht="9.75" customHeight="1">
      <c r="A828" s="90"/>
      <c r="B828" s="90"/>
      <c r="C828" s="90"/>
      <c r="D828" s="90"/>
      <c r="E828" s="90"/>
      <c r="F828" s="90"/>
      <c r="G828" s="90"/>
      <c r="H828" s="90"/>
      <c r="I828" s="90"/>
      <c r="J828" s="90"/>
      <c r="K828" s="90"/>
      <c r="L828" s="90"/>
      <c r="M828" s="90"/>
      <c r="N828" s="90"/>
      <c r="O828" s="530"/>
      <c r="P828" s="530"/>
      <c r="Q828" s="530"/>
      <c r="R828" s="530"/>
      <c r="S828" s="530"/>
      <c r="T828" s="530"/>
      <c r="U828" s="530"/>
    </row>
    <row r="829" spans="1:21" ht="9.75" customHeight="1">
      <c r="A829" s="90"/>
      <c r="B829" s="90"/>
      <c r="C829" s="90"/>
      <c r="D829" s="90"/>
      <c r="E829" s="90"/>
      <c r="F829" s="90"/>
      <c r="G829" s="90"/>
      <c r="H829" s="90"/>
      <c r="I829" s="90"/>
      <c r="J829" s="90"/>
      <c r="K829" s="90"/>
      <c r="L829" s="90"/>
      <c r="M829" s="90"/>
      <c r="N829" s="90"/>
      <c r="O829" s="530"/>
      <c r="P829" s="530"/>
      <c r="Q829" s="530"/>
      <c r="R829" s="530"/>
      <c r="S829" s="530"/>
      <c r="T829" s="530"/>
      <c r="U829" s="530"/>
    </row>
    <row r="830" spans="1:21" ht="9.75" customHeight="1">
      <c r="A830" s="90"/>
      <c r="B830" s="90"/>
      <c r="C830" s="90"/>
      <c r="D830" s="90"/>
      <c r="E830" s="90"/>
      <c r="F830" s="90"/>
      <c r="G830" s="90"/>
      <c r="H830" s="90"/>
      <c r="I830" s="90"/>
      <c r="J830" s="90"/>
      <c r="K830" s="90"/>
      <c r="L830" s="90"/>
      <c r="M830" s="90"/>
      <c r="N830" s="90"/>
      <c r="O830" s="530"/>
      <c r="P830" s="530"/>
      <c r="Q830" s="530"/>
      <c r="R830" s="530"/>
      <c r="S830" s="530"/>
      <c r="T830" s="530"/>
      <c r="U830" s="530"/>
    </row>
    <row r="831" spans="1:21" ht="9.75" customHeight="1">
      <c r="A831" s="90"/>
      <c r="B831" s="90"/>
      <c r="C831" s="90"/>
      <c r="D831" s="90"/>
      <c r="E831" s="90"/>
      <c r="F831" s="90"/>
      <c r="G831" s="90"/>
      <c r="H831" s="90"/>
      <c r="I831" s="90"/>
      <c r="J831" s="90"/>
      <c r="K831" s="90"/>
      <c r="L831" s="90"/>
      <c r="M831" s="90"/>
      <c r="N831" s="90"/>
      <c r="O831" s="530"/>
      <c r="P831" s="530"/>
      <c r="Q831" s="530"/>
      <c r="R831" s="530"/>
      <c r="S831" s="530"/>
      <c r="T831" s="530"/>
      <c r="U831" s="530"/>
    </row>
    <row r="832" spans="1:21" ht="9.75" customHeight="1">
      <c r="A832" s="90"/>
      <c r="B832" s="90"/>
      <c r="C832" s="90"/>
      <c r="D832" s="90"/>
      <c r="E832" s="90"/>
      <c r="F832" s="90"/>
      <c r="G832" s="90"/>
      <c r="H832" s="90"/>
      <c r="I832" s="90"/>
      <c r="J832" s="90"/>
      <c r="K832" s="90"/>
      <c r="L832" s="90"/>
      <c r="M832" s="90"/>
      <c r="N832" s="90"/>
      <c r="O832" s="530"/>
      <c r="P832" s="530"/>
      <c r="Q832" s="530"/>
      <c r="R832" s="530"/>
      <c r="S832" s="530"/>
      <c r="T832" s="530"/>
      <c r="U832" s="530"/>
    </row>
    <row r="833" spans="1:21" ht="9.75" customHeight="1">
      <c r="A833" s="90"/>
      <c r="B833" s="90"/>
      <c r="C833" s="90"/>
      <c r="D833" s="90"/>
      <c r="E833" s="90"/>
      <c r="F833" s="90"/>
      <c r="G833" s="90"/>
      <c r="H833" s="90"/>
      <c r="I833" s="90"/>
      <c r="J833" s="90"/>
      <c r="K833" s="90"/>
      <c r="L833" s="90"/>
      <c r="M833" s="90"/>
      <c r="N833" s="90"/>
      <c r="O833" s="530"/>
      <c r="P833" s="530"/>
      <c r="Q833" s="530"/>
      <c r="R833" s="530"/>
      <c r="S833" s="530"/>
      <c r="T833" s="530"/>
      <c r="U833" s="530"/>
    </row>
    <row r="834" spans="1:21" ht="9.75" customHeight="1">
      <c r="A834" s="90"/>
      <c r="B834" s="90"/>
      <c r="C834" s="90"/>
      <c r="D834" s="90"/>
      <c r="E834" s="90"/>
      <c r="F834" s="90"/>
      <c r="G834" s="90"/>
      <c r="H834" s="90"/>
      <c r="I834" s="90"/>
      <c r="J834" s="90"/>
      <c r="K834" s="90"/>
      <c r="L834" s="90"/>
      <c r="M834" s="90"/>
      <c r="N834" s="90"/>
      <c r="O834" s="530"/>
      <c r="P834" s="530"/>
      <c r="Q834" s="530"/>
      <c r="R834" s="530"/>
      <c r="S834" s="530"/>
      <c r="T834" s="530"/>
      <c r="U834" s="530"/>
    </row>
    <row r="835" spans="1:21" ht="9.75" customHeight="1">
      <c r="A835" s="90"/>
      <c r="B835" s="90"/>
      <c r="C835" s="90"/>
      <c r="D835" s="90"/>
      <c r="E835" s="90"/>
      <c r="F835" s="90"/>
      <c r="G835" s="90"/>
      <c r="H835" s="90"/>
      <c r="I835" s="90"/>
      <c r="J835" s="90"/>
      <c r="K835" s="90"/>
      <c r="L835" s="90"/>
      <c r="M835" s="90"/>
      <c r="N835" s="90"/>
      <c r="O835" s="530"/>
      <c r="P835" s="530"/>
      <c r="Q835" s="530"/>
      <c r="R835" s="530"/>
      <c r="S835" s="530"/>
      <c r="T835" s="530"/>
      <c r="U835" s="530"/>
    </row>
    <row r="836" spans="1:21" ht="9.75" customHeight="1">
      <c r="A836" s="90"/>
      <c r="B836" s="90"/>
      <c r="C836" s="90"/>
      <c r="D836" s="90"/>
      <c r="E836" s="90"/>
      <c r="F836" s="90"/>
      <c r="G836" s="90"/>
      <c r="H836" s="90"/>
      <c r="I836" s="90"/>
      <c r="J836" s="90"/>
      <c r="K836" s="90"/>
      <c r="L836" s="90"/>
      <c r="M836" s="90"/>
      <c r="N836" s="90"/>
      <c r="O836" s="530"/>
      <c r="P836" s="530"/>
      <c r="Q836" s="530"/>
      <c r="R836" s="530"/>
      <c r="S836" s="530"/>
      <c r="T836" s="530"/>
      <c r="U836" s="530"/>
    </row>
    <row r="837" spans="1:21" ht="9.75" customHeight="1">
      <c r="A837" s="90"/>
      <c r="B837" s="90"/>
      <c r="C837" s="90"/>
      <c r="D837" s="90"/>
      <c r="E837" s="90"/>
      <c r="F837" s="90"/>
      <c r="G837" s="90"/>
      <c r="H837" s="90"/>
      <c r="I837" s="90"/>
      <c r="J837" s="90"/>
      <c r="K837" s="90"/>
      <c r="L837" s="90"/>
      <c r="M837" s="90"/>
      <c r="N837" s="90"/>
      <c r="O837" s="530"/>
      <c r="P837" s="530"/>
      <c r="Q837" s="530"/>
      <c r="R837" s="530"/>
      <c r="S837" s="530"/>
      <c r="T837" s="530"/>
      <c r="U837" s="530"/>
    </row>
    <row r="838" spans="1:21" ht="9.75" customHeight="1">
      <c r="A838" s="90"/>
      <c r="B838" s="90"/>
      <c r="C838" s="90"/>
      <c r="D838" s="90"/>
      <c r="E838" s="90"/>
      <c r="F838" s="90"/>
      <c r="G838" s="90"/>
      <c r="H838" s="90"/>
      <c r="I838" s="90"/>
      <c r="J838" s="90"/>
      <c r="K838" s="90"/>
      <c r="L838" s="90"/>
      <c r="M838" s="90"/>
      <c r="N838" s="90"/>
      <c r="O838" s="530"/>
      <c r="P838" s="530"/>
      <c r="Q838" s="530"/>
      <c r="R838" s="530"/>
      <c r="S838" s="530"/>
      <c r="T838" s="530"/>
      <c r="U838" s="530"/>
    </row>
    <row r="839" spans="1:21" ht="9.75" customHeight="1">
      <c r="A839" s="90"/>
      <c r="B839" s="90"/>
      <c r="C839" s="90"/>
      <c r="D839" s="90"/>
      <c r="E839" s="90"/>
      <c r="F839" s="90"/>
      <c r="G839" s="90"/>
      <c r="H839" s="90"/>
      <c r="I839" s="90"/>
      <c r="J839" s="90"/>
      <c r="K839" s="90"/>
      <c r="L839" s="90"/>
      <c r="M839" s="90"/>
      <c r="N839" s="90"/>
      <c r="O839" s="530"/>
      <c r="P839" s="530"/>
      <c r="Q839" s="530"/>
      <c r="R839" s="530"/>
      <c r="S839" s="530"/>
      <c r="T839" s="530"/>
      <c r="U839" s="530"/>
    </row>
    <row r="840" spans="1:21" ht="9.75" customHeight="1">
      <c r="A840" s="90"/>
      <c r="B840" s="90"/>
      <c r="C840" s="90"/>
      <c r="D840" s="90"/>
      <c r="E840" s="90"/>
      <c r="F840" s="90"/>
      <c r="G840" s="90"/>
      <c r="H840" s="90"/>
      <c r="I840" s="90"/>
      <c r="J840" s="90"/>
      <c r="K840" s="90"/>
      <c r="L840" s="90"/>
      <c r="M840" s="90"/>
      <c r="N840" s="90"/>
      <c r="O840" s="530"/>
      <c r="P840" s="530"/>
      <c r="Q840" s="530"/>
      <c r="R840" s="530"/>
      <c r="S840" s="530"/>
      <c r="T840" s="530"/>
      <c r="U840" s="530"/>
    </row>
    <row r="841" spans="1:21" ht="9.75" customHeight="1">
      <c r="A841" s="90"/>
      <c r="B841" s="90"/>
      <c r="C841" s="90"/>
      <c r="D841" s="90"/>
      <c r="E841" s="90"/>
      <c r="F841" s="90"/>
      <c r="G841" s="90"/>
      <c r="H841" s="90"/>
      <c r="I841" s="90"/>
      <c r="J841" s="90"/>
      <c r="K841" s="90"/>
      <c r="L841" s="90"/>
      <c r="M841" s="90"/>
      <c r="N841" s="90"/>
      <c r="O841" s="530"/>
      <c r="P841" s="530"/>
      <c r="Q841" s="530"/>
      <c r="R841" s="530"/>
      <c r="S841" s="530"/>
      <c r="T841" s="530"/>
      <c r="U841" s="530"/>
    </row>
    <row r="842" spans="1:21" ht="9.75" customHeight="1">
      <c r="A842" s="90"/>
      <c r="B842" s="90"/>
      <c r="C842" s="90"/>
      <c r="D842" s="90"/>
      <c r="E842" s="90"/>
      <c r="F842" s="90"/>
      <c r="G842" s="90"/>
      <c r="H842" s="90"/>
      <c r="I842" s="90"/>
      <c r="J842" s="90"/>
      <c r="K842" s="90"/>
      <c r="L842" s="90"/>
      <c r="M842" s="90"/>
      <c r="N842" s="90"/>
      <c r="O842" s="530"/>
      <c r="P842" s="530"/>
      <c r="Q842" s="530"/>
      <c r="R842" s="530"/>
      <c r="S842" s="530"/>
      <c r="T842" s="530"/>
      <c r="U842" s="530"/>
    </row>
    <row r="843" spans="1:21" ht="9.75" customHeight="1">
      <c r="A843" s="90"/>
      <c r="B843" s="90"/>
      <c r="C843" s="90"/>
      <c r="D843" s="90"/>
      <c r="E843" s="90"/>
      <c r="F843" s="90"/>
      <c r="G843" s="90"/>
      <c r="H843" s="90"/>
      <c r="I843" s="90"/>
      <c r="J843" s="90"/>
      <c r="K843" s="90"/>
      <c r="L843" s="90"/>
      <c r="M843" s="90"/>
      <c r="N843" s="90"/>
      <c r="O843" s="530"/>
      <c r="P843" s="530"/>
      <c r="Q843" s="530"/>
      <c r="R843" s="530"/>
      <c r="S843" s="530"/>
      <c r="T843" s="530"/>
      <c r="U843" s="530"/>
    </row>
    <row r="844" spans="1:21" ht="9.75" customHeight="1">
      <c r="A844" s="90"/>
      <c r="B844" s="90"/>
      <c r="C844" s="90"/>
      <c r="D844" s="90"/>
      <c r="E844" s="90"/>
      <c r="F844" s="90"/>
      <c r="G844" s="90"/>
      <c r="H844" s="90"/>
      <c r="I844" s="90"/>
      <c r="J844" s="90"/>
      <c r="K844" s="90"/>
      <c r="L844" s="90"/>
      <c r="M844" s="90"/>
      <c r="N844" s="90"/>
      <c r="O844" s="530"/>
      <c r="P844" s="530"/>
      <c r="Q844" s="530"/>
      <c r="R844" s="530"/>
      <c r="S844" s="530"/>
      <c r="T844" s="530"/>
      <c r="U844" s="530"/>
    </row>
    <row r="845" spans="1:21" ht="9.75" customHeight="1">
      <c r="A845" s="90"/>
      <c r="B845" s="90"/>
      <c r="C845" s="90"/>
      <c r="D845" s="90"/>
      <c r="E845" s="90"/>
      <c r="F845" s="90"/>
      <c r="G845" s="90"/>
      <c r="H845" s="90"/>
      <c r="I845" s="90"/>
      <c r="J845" s="90"/>
      <c r="K845" s="90"/>
      <c r="L845" s="90"/>
      <c r="M845" s="90"/>
      <c r="N845" s="90"/>
      <c r="O845" s="530"/>
      <c r="P845" s="530"/>
      <c r="Q845" s="530"/>
      <c r="R845" s="530"/>
      <c r="S845" s="530"/>
      <c r="T845" s="530"/>
      <c r="U845" s="530"/>
    </row>
    <row r="846" spans="1:21" ht="9.75" customHeight="1">
      <c r="A846" s="90"/>
      <c r="B846" s="90"/>
      <c r="C846" s="90"/>
      <c r="D846" s="90"/>
      <c r="E846" s="90"/>
      <c r="F846" s="90"/>
      <c r="G846" s="90"/>
      <c r="H846" s="90"/>
      <c r="I846" s="90"/>
      <c r="J846" s="90"/>
      <c r="K846" s="90"/>
      <c r="L846" s="90"/>
      <c r="M846" s="90"/>
      <c r="N846" s="90"/>
      <c r="O846" s="530"/>
      <c r="P846" s="530"/>
      <c r="Q846" s="530"/>
      <c r="R846" s="530"/>
      <c r="S846" s="530"/>
      <c r="T846" s="530"/>
      <c r="U846" s="530"/>
    </row>
    <row r="847" spans="1:21" ht="9.75" customHeight="1">
      <c r="A847" s="90"/>
      <c r="B847" s="90"/>
      <c r="C847" s="90"/>
      <c r="D847" s="90"/>
      <c r="E847" s="90"/>
      <c r="F847" s="90"/>
      <c r="G847" s="90"/>
      <c r="H847" s="90"/>
      <c r="I847" s="90"/>
      <c r="J847" s="90"/>
      <c r="K847" s="90"/>
      <c r="L847" s="90"/>
      <c r="M847" s="90"/>
      <c r="N847" s="90"/>
      <c r="O847" s="530"/>
      <c r="P847" s="530"/>
      <c r="Q847" s="530"/>
      <c r="R847" s="530"/>
      <c r="S847" s="530"/>
      <c r="T847" s="530"/>
      <c r="U847" s="530"/>
    </row>
    <row r="848" spans="1:21" ht="9.75" customHeight="1">
      <c r="A848" s="90"/>
      <c r="B848" s="90"/>
      <c r="C848" s="90"/>
      <c r="D848" s="90"/>
      <c r="E848" s="90"/>
      <c r="F848" s="90"/>
      <c r="G848" s="90"/>
      <c r="H848" s="90"/>
      <c r="I848" s="90"/>
      <c r="J848" s="90"/>
      <c r="K848" s="90"/>
      <c r="L848" s="90"/>
      <c r="M848" s="90"/>
      <c r="N848" s="90"/>
      <c r="O848" s="530"/>
      <c r="P848" s="530"/>
      <c r="Q848" s="530"/>
      <c r="R848" s="530"/>
      <c r="S848" s="530"/>
      <c r="T848" s="530"/>
      <c r="U848" s="530"/>
    </row>
    <row r="849" spans="1:21" ht="9.75" customHeight="1">
      <c r="A849" s="90"/>
      <c r="B849" s="90"/>
      <c r="C849" s="90"/>
      <c r="D849" s="90"/>
      <c r="E849" s="90"/>
      <c r="F849" s="90"/>
      <c r="G849" s="90"/>
      <c r="H849" s="90"/>
      <c r="I849" s="90"/>
      <c r="J849" s="90"/>
      <c r="K849" s="90"/>
      <c r="L849" s="90"/>
      <c r="M849" s="90"/>
      <c r="N849" s="90"/>
      <c r="O849" s="530"/>
      <c r="P849" s="530"/>
      <c r="Q849" s="530"/>
      <c r="R849" s="530"/>
      <c r="S849" s="530"/>
      <c r="T849" s="530"/>
      <c r="U849" s="530"/>
    </row>
    <row r="850" spans="1:21" ht="9.75" customHeight="1">
      <c r="A850" s="90"/>
      <c r="B850" s="90"/>
      <c r="C850" s="90"/>
      <c r="D850" s="90"/>
      <c r="E850" s="90"/>
      <c r="F850" s="90"/>
      <c r="G850" s="90"/>
      <c r="H850" s="90"/>
      <c r="I850" s="90"/>
      <c r="J850" s="90"/>
      <c r="K850" s="90"/>
      <c r="L850" s="90"/>
      <c r="M850" s="90"/>
      <c r="N850" s="90"/>
      <c r="O850" s="530"/>
      <c r="P850" s="530"/>
      <c r="Q850" s="530"/>
      <c r="R850" s="530"/>
      <c r="S850" s="530"/>
      <c r="T850" s="530"/>
      <c r="U850" s="530"/>
    </row>
    <row r="851" spans="1:21" ht="9.75" customHeight="1">
      <c r="A851" s="90"/>
      <c r="B851" s="90"/>
      <c r="C851" s="90"/>
      <c r="D851" s="90"/>
      <c r="E851" s="90"/>
      <c r="F851" s="90"/>
      <c r="G851" s="90"/>
      <c r="H851" s="90"/>
      <c r="I851" s="90"/>
      <c r="J851" s="90"/>
      <c r="K851" s="90"/>
      <c r="L851" s="90"/>
      <c r="M851" s="90"/>
      <c r="N851" s="90"/>
      <c r="O851" s="530"/>
      <c r="P851" s="530"/>
      <c r="Q851" s="530"/>
      <c r="R851" s="530"/>
      <c r="S851" s="530"/>
      <c r="T851" s="530"/>
      <c r="U851" s="530"/>
    </row>
    <row r="852" spans="1:21" ht="9.75" customHeight="1">
      <c r="A852" s="90"/>
      <c r="B852" s="90"/>
      <c r="C852" s="90"/>
      <c r="D852" s="90"/>
      <c r="E852" s="90"/>
      <c r="F852" s="90"/>
      <c r="G852" s="90"/>
      <c r="H852" s="90"/>
      <c r="I852" s="90"/>
      <c r="J852" s="90"/>
      <c r="K852" s="90"/>
      <c r="L852" s="90"/>
      <c r="M852" s="90"/>
      <c r="N852" s="90"/>
      <c r="O852" s="530"/>
      <c r="P852" s="530"/>
      <c r="Q852" s="530"/>
      <c r="R852" s="530"/>
      <c r="S852" s="530"/>
      <c r="T852" s="530"/>
      <c r="U852" s="530"/>
    </row>
    <row r="853" spans="1:21" ht="9.75" customHeight="1">
      <c r="A853" s="90"/>
      <c r="B853" s="90"/>
      <c r="C853" s="90"/>
      <c r="D853" s="90"/>
      <c r="E853" s="90"/>
      <c r="F853" s="90"/>
      <c r="G853" s="90"/>
      <c r="H853" s="90"/>
      <c r="I853" s="90"/>
      <c r="J853" s="90"/>
      <c r="K853" s="90"/>
      <c r="L853" s="90"/>
      <c r="M853" s="90"/>
      <c r="N853" s="90"/>
      <c r="O853" s="530"/>
      <c r="P853" s="530"/>
      <c r="Q853" s="530"/>
      <c r="R853" s="530"/>
      <c r="S853" s="530"/>
      <c r="T853" s="530"/>
      <c r="U853" s="530"/>
    </row>
    <row r="854" spans="1:21" ht="9.75" customHeight="1">
      <c r="A854" s="90"/>
      <c r="B854" s="90"/>
      <c r="C854" s="90"/>
      <c r="D854" s="90"/>
      <c r="E854" s="90"/>
      <c r="F854" s="90"/>
      <c r="G854" s="90"/>
      <c r="H854" s="90"/>
      <c r="I854" s="90"/>
      <c r="J854" s="90"/>
      <c r="K854" s="90"/>
      <c r="L854" s="90"/>
      <c r="M854" s="90"/>
      <c r="N854" s="90"/>
      <c r="O854" s="530"/>
      <c r="P854" s="530"/>
      <c r="Q854" s="530"/>
      <c r="R854" s="530"/>
      <c r="S854" s="530"/>
      <c r="T854" s="530"/>
      <c r="U854" s="530"/>
    </row>
    <row r="855" spans="1:21" ht="9.75" customHeight="1">
      <c r="A855" s="90"/>
      <c r="B855" s="90"/>
      <c r="C855" s="90"/>
      <c r="D855" s="90"/>
      <c r="E855" s="90"/>
      <c r="F855" s="90"/>
      <c r="G855" s="90"/>
      <c r="H855" s="90"/>
      <c r="I855" s="90"/>
      <c r="J855" s="90"/>
      <c r="K855" s="90"/>
      <c r="L855" s="90"/>
      <c r="M855" s="90"/>
      <c r="N855" s="90"/>
      <c r="O855" s="530"/>
      <c r="P855" s="530"/>
      <c r="Q855" s="530"/>
      <c r="R855" s="530"/>
      <c r="S855" s="530"/>
      <c r="T855" s="530"/>
      <c r="U855" s="530"/>
    </row>
    <row r="856" spans="1:21" ht="9.75" customHeight="1">
      <c r="A856" s="90"/>
      <c r="B856" s="90"/>
      <c r="C856" s="90"/>
      <c r="D856" s="90"/>
      <c r="E856" s="90"/>
      <c r="F856" s="90"/>
      <c r="G856" s="90"/>
      <c r="H856" s="90"/>
      <c r="I856" s="90"/>
      <c r="J856" s="90"/>
      <c r="K856" s="90"/>
      <c r="L856" s="90"/>
      <c r="M856" s="90"/>
      <c r="N856" s="90"/>
      <c r="O856" s="530"/>
      <c r="P856" s="530"/>
      <c r="Q856" s="530"/>
      <c r="R856" s="530"/>
      <c r="S856" s="530"/>
      <c r="T856" s="530"/>
      <c r="U856" s="530"/>
    </row>
    <row r="857" spans="1:21" ht="9.75" customHeight="1">
      <c r="A857" s="90"/>
      <c r="B857" s="90"/>
      <c r="C857" s="90"/>
      <c r="D857" s="90"/>
      <c r="E857" s="90"/>
      <c r="F857" s="90"/>
      <c r="G857" s="90"/>
      <c r="H857" s="90"/>
      <c r="I857" s="90"/>
      <c r="J857" s="90"/>
      <c r="K857" s="90"/>
      <c r="L857" s="90"/>
      <c r="M857" s="90"/>
      <c r="N857" s="90"/>
      <c r="O857" s="530"/>
      <c r="P857" s="530"/>
      <c r="Q857" s="530"/>
      <c r="R857" s="530"/>
      <c r="S857" s="530"/>
      <c r="T857" s="530"/>
      <c r="U857" s="530"/>
    </row>
    <row r="858" spans="1:21" ht="9.75" customHeight="1">
      <c r="A858" s="90"/>
      <c r="B858" s="90"/>
      <c r="C858" s="90"/>
      <c r="D858" s="90"/>
      <c r="E858" s="90"/>
      <c r="F858" s="90"/>
      <c r="G858" s="90"/>
      <c r="H858" s="90"/>
      <c r="I858" s="90"/>
      <c r="J858" s="90"/>
      <c r="K858" s="90"/>
      <c r="L858" s="90"/>
      <c r="M858" s="90"/>
      <c r="N858" s="90"/>
      <c r="O858" s="530"/>
      <c r="P858" s="530"/>
      <c r="Q858" s="530"/>
      <c r="R858" s="530"/>
      <c r="S858" s="530"/>
      <c r="T858" s="530"/>
      <c r="U858" s="530"/>
    </row>
    <row r="859" spans="1:21" ht="9.75" customHeight="1">
      <c r="A859" s="90"/>
      <c r="B859" s="90"/>
      <c r="C859" s="90"/>
      <c r="D859" s="90"/>
      <c r="E859" s="90"/>
      <c r="F859" s="90"/>
      <c r="G859" s="90"/>
      <c r="H859" s="90"/>
      <c r="I859" s="90"/>
      <c r="J859" s="90"/>
      <c r="K859" s="90"/>
      <c r="L859" s="90"/>
      <c r="M859" s="90"/>
      <c r="N859" s="90"/>
      <c r="O859" s="530"/>
      <c r="P859" s="530"/>
      <c r="Q859" s="530"/>
      <c r="R859" s="530"/>
      <c r="S859" s="530"/>
      <c r="T859" s="530"/>
      <c r="U859" s="530"/>
    </row>
    <row r="860" spans="1:21" ht="9.75" customHeight="1">
      <c r="A860" s="90"/>
      <c r="B860" s="90"/>
      <c r="C860" s="90"/>
      <c r="D860" s="90"/>
      <c r="E860" s="90"/>
      <c r="F860" s="90"/>
      <c r="G860" s="90"/>
      <c r="H860" s="90"/>
      <c r="I860" s="90"/>
      <c r="J860" s="90"/>
      <c r="K860" s="90"/>
      <c r="L860" s="90"/>
      <c r="M860" s="90"/>
      <c r="N860" s="90"/>
      <c r="O860" s="530"/>
      <c r="P860" s="530"/>
      <c r="Q860" s="530"/>
      <c r="R860" s="530"/>
      <c r="S860" s="530"/>
      <c r="T860" s="530"/>
      <c r="U860" s="530"/>
    </row>
    <row r="861" spans="1:21" ht="9.75" customHeight="1">
      <c r="A861" s="90"/>
      <c r="B861" s="90"/>
      <c r="C861" s="90"/>
      <c r="D861" s="90"/>
      <c r="E861" s="90"/>
      <c r="F861" s="90"/>
      <c r="G861" s="90"/>
      <c r="H861" s="90"/>
      <c r="I861" s="90"/>
      <c r="J861" s="90"/>
      <c r="K861" s="90"/>
      <c r="L861" s="90"/>
      <c r="M861" s="90"/>
      <c r="N861" s="90"/>
      <c r="O861" s="530"/>
      <c r="P861" s="530"/>
      <c r="Q861" s="530"/>
      <c r="R861" s="530"/>
      <c r="S861" s="530"/>
      <c r="T861" s="530"/>
      <c r="U861" s="530"/>
    </row>
    <row r="862" spans="1:21" ht="9.75" customHeight="1">
      <c r="A862" s="90"/>
      <c r="B862" s="90"/>
      <c r="C862" s="90"/>
      <c r="D862" s="90"/>
      <c r="E862" s="90"/>
      <c r="F862" s="90"/>
      <c r="G862" s="90"/>
      <c r="H862" s="90"/>
      <c r="I862" s="90"/>
      <c r="J862" s="90"/>
      <c r="K862" s="90"/>
      <c r="L862" s="90"/>
      <c r="M862" s="90"/>
      <c r="N862" s="90"/>
      <c r="O862" s="530"/>
      <c r="P862" s="530"/>
      <c r="Q862" s="530"/>
      <c r="R862" s="530"/>
      <c r="S862" s="530"/>
      <c r="T862" s="530"/>
      <c r="U862" s="530"/>
    </row>
    <row r="863" spans="1:21" ht="9.75" customHeight="1">
      <c r="A863" s="90"/>
      <c r="B863" s="90"/>
      <c r="C863" s="90"/>
      <c r="D863" s="90"/>
      <c r="E863" s="90"/>
      <c r="F863" s="90"/>
      <c r="G863" s="90"/>
      <c r="H863" s="90"/>
      <c r="I863" s="90"/>
      <c r="J863" s="90"/>
      <c r="K863" s="90"/>
      <c r="L863" s="90"/>
      <c r="M863" s="90"/>
      <c r="N863" s="90"/>
      <c r="O863" s="530"/>
      <c r="P863" s="530"/>
      <c r="Q863" s="530"/>
      <c r="R863" s="530"/>
      <c r="S863" s="530"/>
      <c r="T863" s="530"/>
      <c r="U863" s="530"/>
    </row>
    <row r="864" spans="1:21" ht="9.75" customHeight="1">
      <c r="A864" s="90"/>
      <c r="B864" s="90"/>
      <c r="C864" s="90"/>
      <c r="D864" s="90"/>
      <c r="E864" s="90"/>
      <c r="F864" s="90"/>
      <c r="G864" s="90"/>
      <c r="H864" s="90"/>
      <c r="I864" s="90"/>
      <c r="J864" s="90"/>
      <c r="K864" s="90"/>
      <c r="L864" s="90"/>
      <c r="M864" s="90"/>
      <c r="N864" s="90"/>
      <c r="O864" s="530"/>
      <c r="P864" s="530"/>
      <c r="Q864" s="530"/>
      <c r="R864" s="530"/>
      <c r="S864" s="530"/>
      <c r="T864" s="530"/>
      <c r="U864" s="530"/>
    </row>
    <row r="865" spans="1:21" ht="9.75" customHeight="1">
      <c r="A865" s="90"/>
      <c r="B865" s="90"/>
      <c r="C865" s="90"/>
      <c r="D865" s="90"/>
      <c r="E865" s="90"/>
      <c r="F865" s="90"/>
      <c r="G865" s="90"/>
      <c r="H865" s="90"/>
      <c r="I865" s="90"/>
      <c r="J865" s="90"/>
      <c r="K865" s="90"/>
      <c r="L865" s="90"/>
      <c r="M865" s="90"/>
      <c r="N865" s="90"/>
      <c r="O865" s="530"/>
      <c r="P865" s="530"/>
      <c r="Q865" s="530"/>
      <c r="R865" s="530"/>
      <c r="S865" s="530"/>
      <c r="T865" s="530"/>
      <c r="U865" s="530"/>
    </row>
    <row r="866" spans="1:21" ht="9.75" customHeight="1">
      <c r="A866" s="90"/>
      <c r="B866" s="90"/>
      <c r="C866" s="90"/>
      <c r="D866" s="90"/>
      <c r="E866" s="90"/>
      <c r="F866" s="90"/>
      <c r="G866" s="90"/>
      <c r="H866" s="90"/>
      <c r="I866" s="90"/>
      <c r="J866" s="90"/>
      <c r="K866" s="90"/>
      <c r="L866" s="90"/>
      <c r="M866" s="90"/>
      <c r="N866" s="90"/>
      <c r="O866" s="530"/>
      <c r="P866" s="530"/>
      <c r="Q866" s="530"/>
      <c r="R866" s="530"/>
      <c r="S866" s="530"/>
      <c r="T866" s="530"/>
      <c r="U866" s="530"/>
    </row>
    <row r="867" spans="1:21" ht="9.75" customHeight="1">
      <c r="A867" s="90"/>
      <c r="B867" s="90"/>
      <c r="C867" s="90"/>
      <c r="D867" s="90"/>
      <c r="E867" s="90"/>
      <c r="F867" s="90"/>
      <c r="G867" s="90"/>
      <c r="H867" s="90"/>
      <c r="I867" s="90"/>
      <c r="J867" s="90"/>
      <c r="K867" s="90"/>
      <c r="L867" s="90"/>
      <c r="M867" s="90"/>
      <c r="N867" s="90"/>
      <c r="O867" s="530"/>
      <c r="P867" s="530"/>
      <c r="Q867" s="530"/>
      <c r="R867" s="530"/>
      <c r="S867" s="530"/>
      <c r="T867" s="530"/>
      <c r="U867" s="530"/>
    </row>
    <row r="868" spans="1:21" ht="9.75" customHeight="1">
      <c r="A868" s="90"/>
      <c r="B868" s="90"/>
      <c r="C868" s="90"/>
      <c r="D868" s="90"/>
      <c r="E868" s="90"/>
      <c r="F868" s="90"/>
      <c r="G868" s="90"/>
      <c r="H868" s="90"/>
      <c r="I868" s="90"/>
      <c r="J868" s="90"/>
      <c r="K868" s="90"/>
      <c r="L868" s="90"/>
      <c r="M868" s="90"/>
      <c r="N868" s="90"/>
      <c r="O868" s="530"/>
      <c r="P868" s="530"/>
      <c r="Q868" s="530"/>
      <c r="R868" s="530"/>
      <c r="S868" s="530"/>
      <c r="T868" s="530"/>
      <c r="U868" s="530"/>
    </row>
    <row r="869" spans="1:21" ht="9.75" customHeight="1">
      <c r="A869" s="90"/>
      <c r="B869" s="90"/>
      <c r="C869" s="90"/>
      <c r="D869" s="90"/>
      <c r="E869" s="90"/>
      <c r="F869" s="90"/>
      <c r="G869" s="90"/>
      <c r="H869" s="90"/>
      <c r="I869" s="90"/>
      <c r="J869" s="90"/>
      <c r="K869" s="90"/>
      <c r="L869" s="90"/>
      <c r="M869" s="90"/>
      <c r="N869" s="90"/>
      <c r="O869" s="530"/>
      <c r="P869" s="530"/>
      <c r="Q869" s="530"/>
      <c r="R869" s="530"/>
      <c r="S869" s="530"/>
      <c r="T869" s="530"/>
      <c r="U869" s="530"/>
    </row>
    <row r="870" spans="1:21" ht="9.75" customHeight="1">
      <c r="A870" s="90"/>
      <c r="B870" s="90"/>
      <c r="C870" s="90"/>
      <c r="D870" s="90"/>
      <c r="E870" s="90"/>
      <c r="F870" s="90"/>
      <c r="G870" s="90"/>
      <c r="H870" s="90"/>
      <c r="I870" s="90"/>
      <c r="J870" s="90"/>
      <c r="K870" s="90"/>
      <c r="L870" s="90"/>
      <c r="M870" s="90"/>
      <c r="N870" s="90"/>
      <c r="O870" s="530"/>
      <c r="P870" s="530"/>
      <c r="Q870" s="530"/>
      <c r="R870" s="530"/>
      <c r="S870" s="530"/>
      <c r="T870" s="530"/>
      <c r="U870" s="530"/>
    </row>
    <row r="871" spans="1:21" ht="9.75" customHeight="1">
      <c r="A871" s="90"/>
      <c r="B871" s="90"/>
      <c r="C871" s="90"/>
      <c r="D871" s="90"/>
      <c r="E871" s="90"/>
      <c r="F871" s="90"/>
      <c r="G871" s="90"/>
      <c r="H871" s="90"/>
      <c r="I871" s="90"/>
      <c r="J871" s="90"/>
      <c r="K871" s="90"/>
      <c r="L871" s="90"/>
      <c r="M871" s="90"/>
      <c r="N871" s="90"/>
      <c r="O871" s="530"/>
      <c r="P871" s="530"/>
      <c r="Q871" s="530"/>
      <c r="R871" s="530"/>
      <c r="S871" s="530"/>
      <c r="T871" s="530"/>
      <c r="U871" s="530"/>
    </row>
    <row r="872" spans="1:21" ht="9.75" customHeight="1">
      <c r="A872" s="90"/>
      <c r="B872" s="90"/>
      <c r="C872" s="90"/>
      <c r="D872" s="90"/>
      <c r="E872" s="90"/>
      <c r="F872" s="90"/>
      <c r="G872" s="90"/>
      <c r="H872" s="90"/>
      <c r="I872" s="90"/>
      <c r="J872" s="90"/>
      <c r="K872" s="90"/>
      <c r="L872" s="90"/>
      <c r="M872" s="90"/>
      <c r="N872" s="90"/>
      <c r="O872" s="530"/>
      <c r="P872" s="530"/>
      <c r="Q872" s="530"/>
      <c r="R872" s="530"/>
      <c r="S872" s="530"/>
      <c r="T872" s="530"/>
      <c r="U872" s="530"/>
    </row>
    <row r="873" spans="1:21" ht="9.75" customHeight="1">
      <c r="A873" s="90"/>
      <c r="B873" s="90"/>
      <c r="C873" s="90"/>
      <c r="D873" s="90"/>
      <c r="E873" s="90"/>
      <c r="F873" s="90"/>
      <c r="G873" s="90"/>
      <c r="H873" s="90"/>
      <c r="I873" s="90"/>
      <c r="J873" s="90"/>
      <c r="K873" s="90"/>
      <c r="L873" s="90"/>
      <c r="M873" s="90"/>
      <c r="N873" s="90"/>
      <c r="O873" s="530"/>
      <c r="P873" s="530"/>
      <c r="Q873" s="530"/>
      <c r="R873" s="530"/>
      <c r="S873" s="530"/>
      <c r="T873" s="530"/>
      <c r="U873" s="530"/>
    </row>
    <row r="874" spans="1:21" ht="9.75" customHeight="1">
      <c r="A874" s="90"/>
      <c r="B874" s="90"/>
      <c r="C874" s="90"/>
      <c r="D874" s="90"/>
      <c r="E874" s="90"/>
      <c r="F874" s="90"/>
      <c r="G874" s="90"/>
      <c r="H874" s="90"/>
      <c r="I874" s="90"/>
      <c r="J874" s="90"/>
      <c r="K874" s="90"/>
      <c r="L874" s="90"/>
      <c r="M874" s="90"/>
      <c r="N874" s="90"/>
      <c r="O874" s="530"/>
      <c r="P874" s="530"/>
      <c r="Q874" s="530"/>
      <c r="R874" s="530"/>
      <c r="S874" s="530"/>
      <c r="T874" s="530"/>
      <c r="U874" s="530"/>
    </row>
    <row r="875" spans="1:21" ht="9.75" customHeight="1">
      <c r="A875" s="90"/>
      <c r="B875" s="90"/>
      <c r="C875" s="90"/>
      <c r="D875" s="90"/>
      <c r="E875" s="90"/>
      <c r="F875" s="90"/>
      <c r="G875" s="90"/>
      <c r="H875" s="90"/>
      <c r="I875" s="90"/>
      <c r="J875" s="90"/>
      <c r="K875" s="90"/>
      <c r="L875" s="90"/>
      <c r="M875" s="90"/>
      <c r="N875" s="90"/>
      <c r="O875" s="530"/>
      <c r="P875" s="530"/>
      <c r="Q875" s="530"/>
      <c r="R875" s="530"/>
      <c r="S875" s="530"/>
      <c r="T875" s="530"/>
      <c r="U875" s="530"/>
    </row>
    <row r="876" spans="1:21" ht="9.75" customHeight="1">
      <c r="A876" s="90"/>
      <c r="B876" s="90"/>
      <c r="C876" s="90"/>
      <c r="D876" s="90"/>
      <c r="E876" s="90"/>
      <c r="F876" s="90"/>
      <c r="G876" s="90"/>
      <c r="H876" s="90"/>
      <c r="I876" s="90"/>
      <c r="J876" s="90"/>
      <c r="K876" s="90"/>
      <c r="L876" s="90"/>
      <c r="M876" s="90"/>
      <c r="N876" s="90"/>
      <c r="O876" s="530"/>
      <c r="P876" s="530"/>
      <c r="Q876" s="530"/>
      <c r="R876" s="530"/>
      <c r="S876" s="530"/>
      <c r="T876" s="530"/>
      <c r="U876" s="530"/>
    </row>
    <row r="877" spans="1:21" ht="9.75" customHeight="1">
      <c r="A877" s="90"/>
      <c r="B877" s="90"/>
      <c r="C877" s="90"/>
      <c r="D877" s="90"/>
      <c r="E877" s="90"/>
      <c r="F877" s="90"/>
      <c r="G877" s="90"/>
      <c r="H877" s="90"/>
      <c r="I877" s="90"/>
      <c r="J877" s="90"/>
      <c r="K877" s="90"/>
      <c r="L877" s="90"/>
      <c r="M877" s="90"/>
      <c r="N877" s="90"/>
      <c r="O877" s="530"/>
      <c r="P877" s="530"/>
      <c r="Q877" s="530"/>
      <c r="R877" s="530"/>
      <c r="S877" s="530"/>
      <c r="T877" s="530"/>
      <c r="U877" s="530"/>
    </row>
    <row r="878" spans="1:21" ht="9.75" customHeight="1">
      <c r="A878" s="90"/>
      <c r="B878" s="90"/>
      <c r="C878" s="90"/>
      <c r="D878" s="90"/>
      <c r="E878" s="90"/>
      <c r="F878" s="90"/>
      <c r="G878" s="90"/>
      <c r="H878" s="90"/>
      <c r="I878" s="90"/>
      <c r="J878" s="90"/>
      <c r="K878" s="90"/>
      <c r="L878" s="90"/>
      <c r="M878" s="90"/>
      <c r="N878" s="90"/>
      <c r="O878" s="530"/>
      <c r="P878" s="530"/>
      <c r="Q878" s="530"/>
      <c r="R878" s="530"/>
      <c r="S878" s="530"/>
      <c r="T878" s="530"/>
      <c r="U878" s="530"/>
    </row>
    <row r="879" spans="1:21" ht="9.75" customHeight="1">
      <c r="A879" s="90"/>
      <c r="B879" s="90"/>
      <c r="C879" s="90"/>
      <c r="D879" s="90"/>
      <c r="E879" s="90"/>
      <c r="F879" s="90"/>
      <c r="G879" s="90"/>
      <c r="H879" s="90"/>
      <c r="I879" s="90"/>
      <c r="J879" s="90"/>
      <c r="K879" s="90"/>
      <c r="L879" s="90"/>
      <c r="M879" s="90"/>
      <c r="N879" s="90"/>
      <c r="O879" s="530"/>
      <c r="P879" s="530"/>
      <c r="Q879" s="530"/>
      <c r="R879" s="530"/>
      <c r="S879" s="530"/>
      <c r="T879" s="530"/>
      <c r="U879" s="530"/>
    </row>
    <row r="880" spans="1:21" ht="9.75" customHeight="1">
      <c r="A880" s="90"/>
      <c r="B880" s="90"/>
      <c r="C880" s="90"/>
      <c r="D880" s="90"/>
      <c r="E880" s="90"/>
      <c r="F880" s="90"/>
      <c r="G880" s="90"/>
      <c r="H880" s="90"/>
      <c r="I880" s="90"/>
      <c r="J880" s="90"/>
      <c r="K880" s="90"/>
      <c r="L880" s="90"/>
      <c r="M880" s="90"/>
      <c r="N880" s="90"/>
      <c r="O880" s="530"/>
      <c r="P880" s="530"/>
      <c r="Q880" s="530"/>
      <c r="R880" s="530"/>
      <c r="S880" s="530"/>
      <c r="T880" s="530"/>
      <c r="U880" s="530"/>
    </row>
    <row r="881" spans="1:21" ht="9.75" customHeight="1">
      <c r="A881" s="90"/>
      <c r="B881" s="90"/>
      <c r="C881" s="90"/>
      <c r="D881" s="90"/>
      <c r="E881" s="90"/>
      <c r="F881" s="90"/>
      <c r="G881" s="90"/>
      <c r="H881" s="90"/>
      <c r="I881" s="90"/>
      <c r="J881" s="90"/>
      <c r="K881" s="90"/>
      <c r="L881" s="90"/>
      <c r="M881" s="90"/>
      <c r="N881" s="90"/>
      <c r="O881" s="530"/>
      <c r="P881" s="530"/>
      <c r="Q881" s="530"/>
      <c r="R881" s="530"/>
      <c r="S881" s="530"/>
      <c r="T881" s="530"/>
      <c r="U881" s="530"/>
    </row>
    <row r="882" spans="1:21" ht="9.75" customHeight="1">
      <c r="A882" s="90"/>
      <c r="B882" s="90"/>
      <c r="C882" s="90"/>
      <c r="D882" s="90"/>
      <c r="E882" s="90"/>
      <c r="F882" s="90"/>
      <c r="G882" s="90"/>
      <c r="H882" s="90"/>
      <c r="I882" s="90"/>
      <c r="J882" s="90"/>
      <c r="K882" s="90"/>
      <c r="L882" s="90"/>
      <c r="M882" s="90"/>
      <c r="N882" s="90"/>
      <c r="O882" s="530"/>
      <c r="P882" s="530"/>
      <c r="Q882" s="530"/>
      <c r="R882" s="530"/>
      <c r="S882" s="530"/>
      <c r="T882" s="530"/>
      <c r="U882" s="530"/>
    </row>
    <row r="883" spans="1:21" ht="9.75" customHeight="1">
      <c r="A883" s="90"/>
      <c r="B883" s="90"/>
      <c r="C883" s="90"/>
      <c r="D883" s="90"/>
      <c r="E883" s="90"/>
      <c r="F883" s="90"/>
      <c r="G883" s="90"/>
      <c r="H883" s="90"/>
      <c r="I883" s="90"/>
      <c r="J883" s="90"/>
      <c r="K883" s="90"/>
      <c r="L883" s="90"/>
      <c r="M883" s="90"/>
      <c r="N883" s="90"/>
      <c r="O883" s="530"/>
      <c r="P883" s="530"/>
      <c r="Q883" s="530"/>
      <c r="R883" s="530"/>
      <c r="S883" s="530"/>
      <c r="T883" s="530"/>
      <c r="U883" s="530"/>
    </row>
    <row r="884" spans="1:21" ht="9.75" customHeight="1">
      <c r="A884" s="90"/>
      <c r="B884" s="90"/>
      <c r="C884" s="90"/>
      <c r="D884" s="90"/>
      <c r="E884" s="90"/>
      <c r="F884" s="90"/>
      <c r="G884" s="90"/>
      <c r="H884" s="90"/>
      <c r="I884" s="90"/>
      <c r="J884" s="90"/>
      <c r="K884" s="90"/>
      <c r="L884" s="90"/>
      <c r="M884" s="90"/>
      <c r="N884" s="90"/>
      <c r="O884" s="530"/>
      <c r="P884" s="530"/>
      <c r="Q884" s="530"/>
      <c r="R884" s="530"/>
      <c r="S884" s="530"/>
      <c r="T884" s="530"/>
      <c r="U884" s="530"/>
    </row>
    <row r="885" spans="1:21" ht="9.75" customHeight="1">
      <c r="A885" s="90"/>
      <c r="B885" s="90"/>
      <c r="C885" s="90"/>
      <c r="D885" s="90"/>
      <c r="E885" s="90"/>
      <c r="F885" s="90"/>
      <c r="G885" s="90"/>
      <c r="H885" s="90"/>
      <c r="I885" s="90"/>
      <c r="J885" s="90"/>
      <c r="K885" s="90"/>
      <c r="L885" s="90"/>
      <c r="M885" s="90"/>
      <c r="N885" s="90"/>
      <c r="O885" s="530"/>
      <c r="P885" s="530"/>
      <c r="Q885" s="530"/>
      <c r="R885" s="530"/>
      <c r="S885" s="530"/>
      <c r="T885" s="530"/>
      <c r="U885" s="530"/>
    </row>
    <row r="886" spans="1:21" ht="9.75" customHeight="1">
      <c r="A886" s="90"/>
      <c r="B886" s="90"/>
      <c r="C886" s="90"/>
      <c r="D886" s="90"/>
      <c r="E886" s="90"/>
      <c r="F886" s="90"/>
      <c r="G886" s="90"/>
      <c r="H886" s="90"/>
      <c r="I886" s="90"/>
      <c r="J886" s="90"/>
      <c r="K886" s="90"/>
      <c r="L886" s="90"/>
      <c r="M886" s="90"/>
      <c r="N886" s="90"/>
      <c r="O886" s="530"/>
      <c r="P886" s="530"/>
      <c r="Q886" s="530"/>
      <c r="R886" s="530"/>
      <c r="S886" s="530"/>
      <c r="T886" s="530"/>
      <c r="U886" s="530"/>
    </row>
    <row r="887" spans="1:21" ht="9.75" customHeight="1">
      <c r="A887" s="90"/>
      <c r="B887" s="90"/>
      <c r="C887" s="90"/>
      <c r="D887" s="90"/>
      <c r="E887" s="90"/>
      <c r="F887" s="90"/>
      <c r="G887" s="90"/>
      <c r="H887" s="90"/>
      <c r="I887" s="90"/>
      <c r="J887" s="90"/>
      <c r="K887" s="90"/>
      <c r="L887" s="90"/>
      <c r="M887" s="90"/>
      <c r="N887" s="90"/>
      <c r="O887" s="530"/>
      <c r="P887" s="530"/>
      <c r="Q887" s="530"/>
      <c r="R887" s="530"/>
      <c r="S887" s="530"/>
      <c r="T887" s="530"/>
      <c r="U887" s="530"/>
    </row>
    <row r="888" spans="1:21" ht="9.75" customHeight="1">
      <c r="A888" s="90"/>
      <c r="B888" s="90"/>
      <c r="C888" s="90"/>
      <c r="D888" s="90"/>
      <c r="E888" s="90"/>
      <c r="F888" s="90"/>
      <c r="G888" s="90"/>
      <c r="H888" s="90"/>
      <c r="I888" s="90"/>
      <c r="J888" s="90"/>
      <c r="K888" s="90"/>
      <c r="L888" s="90"/>
      <c r="M888" s="90"/>
      <c r="N888" s="90"/>
      <c r="O888" s="530"/>
      <c r="P888" s="530"/>
      <c r="Q888" s="530"/>
      <c r="R888" s="530"/>
      <c r="S888" s="530"/>
      <c r="T888" s="530"/>
      <c r="U888" s="530"/>
    </row>
    <row r="889" spans="1:21" ht="9.75" customHeight="1">
      <c r="A889" s="90"/>
      <c r="B889" s="90"/>
      <c r="C889" s="90"/>
      <c r="D889" s="90"/>
      <c r="E889" s="90"/>
      <c r="F889" s="90"/>
      <c r="G889" s="90"/>
      <c r="H889" s="90"/>
      <c r="I889" s="90"/>
      <c r="J889" s="90"/>
      <c r="K889" s="90"/>
      <c r="L889" s="90"/>
      <c r="M889" s="90"/>
      <c r="N889" s="90"/>
      <c r="O889" s="530"/>
      <c r="P889" s="530"/>
      <c r="Q889" s="530"/>
      <c r="R889" s="530"/>
      <c r="S889" s="530"/>
      <c r="T889" s="530"/>
      <c r="U889" s="530"/>
    </row>
    <row r="890" spans="1:21" ht="9.75" customHeight="1">
      <c r="A890" s="90"/>
      <c r="B890" s="90"/>
      <c r="C890" s="90"/>
      <c r="D890" s="90"/>
      <c r="E890" s="90"/>
      <c r="F890" s="90"/>
      <c r="G890" s="90"/>
      <c r="H890" s="90"/>
      <c r="I890" s="90"/>
      <c r="J890" s="90"/>
      <c r="K890" s="90"/>
      <c r="L890" s="90"/>
      <c r="M890" s="90"/>
      <c r="N890" s="90"/>
      <c r="O890" s="530"/>
      <c r="P890" s="530"/>
      <c r="Q890" s="530"/>
      <c r="R890" s="530"/>
      <c r="S890" s="530"/>
      <c r="T890" s="530"/>
      <c r="U890" s="530"/>
    </row>
    <row r="891" spans="1:21" ht="9.75" customHeight="1">
      <c r="A891" s="90"/>
      <c r="B891" s="90"/>
      <c r="C891" s="90"/>
      <c r="D891" s="90"/>
      <c r="E891" s="90"/>
      <c r="F891" s="90"/>
      <c r="G891" s="90"/>
      <c r="H891" s="90"/>
      <c r="I891" s="90"/>
      <c r="J891" s="90"/>
      <c r="K891" s="90"/>
      <c r="L891" s="90"/>
      <c r="M891" s="90"/>
      <c r="N891" s="90"/>
      <c r="O891" s="530"/>
      <c r="P891" s="530"/>
      <c r="Q891" s="530"/>
      <c r="R891" s="530"/>
      <c r="S891" s="530"/>
      <c r="T891" s="530"/>
      <c r="U891" s="530"/>
    </row>
    <row r="892" spans="1:21" ht="9.75" customHeight="1">
      <c r="A892" s="90"/>
      <c r="B892" s="90"/>
      <c r="C892" s="90"/>
      <c r="D892" s="90"/>
      <c r="E892" s="90"/>
      <c r="F892" s="90"/>
      <c r="G892" s="90"/>
      <c r="H892" s="90"/>
      <c r="I892" s="90"/>
      <c r="J892" s="90"/>
      <c r="K892" s="90"/>
      <c r="L892" s="90"/>
      <c r="M892" s="90"/>
      <c r="N892" s="90"/>
      <c r="O892" s="530"/>
      <c r="P892" s="530"/>
      <c r="Q892" s="530"/>
      <c r="R892" s="530"/>
      <c r="S892" s="530"/>
      <c r="T892" s="530"/>
      <c r="U892" s="530"/>
    </row>
    <row r="893" spans="1:21" ht="9.75" customHeight="1">
      <c r="A893" s="90"/>
      <c r="B893" s="90"/>
      <c r="C893" s="90"/>
      <c r="D893" s="90"/>
      <c r="E893" s="90"/>
      <c r="F893" s="90"/>
      <c r="G893" s="90"/>
      <c r="H893" s="90"/>
      <c r="I893" s="90"/>
      <c r="J893" s="90"/>
      <c r="K893" s="90"/>
      <c r="L893" s="90"/>
      <c r="M893" s="90"/>
      <c r="N893" s="90"/>
      <c r="O893" s="530"/>
      <c r="P893" s="530"/>
      <c r="Q893" s="530"/>
      <c r="R893" s="530"/>
      <c r="S893" s="530"/>
      <c r="T893" s="530"/>
      <c r="U893" s="530"/>
    </row>
    <row r="894" spans="1:21" ht="9.75" customHeight="1">
      <c r="A894" s="90"/>
      <c r="B894" s="90"/>
      <c r="C894" s="90"/>
      <c r="D894" s="90"/>
      <c r="E894" s="90"/>
      <c r="F894" s="90"/>
      <c r="G894" s="90"/>
      <c r="H894" s="90"/>
      <c r="I894" s="90"/>
      <c r="J894" s="90"/>
      <c r="K894" s="90"/>
      <c r="L894" s="90"/>
      <c r="M894" s="90"/>
      <c r="N894" s="90"/>
      <c r="O894" s="530"/>
      <c r="P894" s="530"/>
      <c r="Q894" s="530"/>
      <c r="R894" s="530"/>
      <c r="S894" s="530"/>
      <c r="T894" s="530"/>
      <c r="U894" s="530"/>
    </row>
    <row r="895" spans="1:21" ht="9.75" customHeight="1">
      <c r="A895" s="90"/>
      <c r="B895" s="90"/>
      <c r="C895" s="90"/>
      <c r="D895" s="90"/>
      <c r="E895" s="90"/>
      <c r="F895" s="90"/>
      <c r="G895" s="90"/>
      <c r="H895" s="90"/>
      <c r="I895" s="90"/>
      <c r="J895" s="90"/>
      <c r="K895" s="90"/>
      <c r="L895" s="90"/>
      <c r="M895" s="90"/>
      <c r="N895" s="90"/>
      <c r="O895" s="530"/>
      <c r="P895" s="530"/>
      <c r="Q895" s="530"/>
      <c r="R895" s="530"/>
      <c r="S895" s="530"/>
      <c r="T895" s="530"/>
      <c r="U895" s="530"/>
    </row>
    <row r="896" spans="1:21" ht="9.75" customHeight="1">
      <c r="A896" s="90"/>
      <c r="B896" s="90"/>
      <c r="C896" s="90"/>
      <c r="D896" s="90"/>
      <c r="E896" s="90"/>
      <c r="F896" s="90"/>
      <c r="G896" s="90"/>
      <c r="H896" s="90"/>
      <c r="I896" s="90"/>
      <c r="J896" s="90"/>
      <c r="K896" s="90"/>
      <c r="L896" s="90"/>
      <c r="M896" s="90"/>
      <c r="N896" s="90"/>
      <c r="O896" s="530"/>
      <c r="P896" s="530"/>
      <c r="Q896" s="530"/>
      <c r="R896" s="530"/>
      <c r="S896" s="530"/>
      <c r="T896" s="530"/>
      <c r="U896" s="530"/>
    </row>
    <row r="897" spans="1:21" ht="9.75" customHeight="1">
      <c r="A897" s="90"/>
      <c r="B897" s="90"/>
      <c r="C897" s="90"/>
      <c r="D897" s="90"/>
      <c r="E897" s="90"/>
      <c r="F897" s="90"/>
      <c r="G897" s="90"/>
      <c r="H897" s="90"/>
      <c r="I897" s="90"/>
      <c r="J897" s="90"/>
      <c r="K897" s="90"/>
      <c r="L897" s="90"/>
      <c r="M897" s="90"/>
      <c r="N897" s="90"/>
      <c r="O897" s="530"/>
      <c r="P897" s="530"/>
      <c r="Q897" s="530"/>
      <c r="R897" s="530"/>
      <c r="S897" s="530"/>
      <c r="T897" s="530"/>
      <c r="U897" s="530"/>
    </row>
    <row r="898" spans="1:21" ht="9.75" customHeight="1">
      <c r="A898" s="90"/>
      <c r="B898" s="90"/>
      <c r="C898" s="90"/>
      <c r="D898" s="90"/>
      <c r="E898" s="90"/>
      <c r="F898" s="90"/>
      <c r="G898" s="90"/>
      <c r="H898" s="90"/>
      <c r="I898" s="90"/>
      <c r="J898" s="90"/>
      <c r="K898" s="90"/>
      <c r="L898" s="90"/>
      <c r="M898" s="90"/>
      <c r="N898" s="90"/>
      <c r="O898" s="530"/>
      <c r="P898" s="530"/>
      <c r="Q898" s="530"/>
      <c r="R898" s="530"/>
      <c r="S898" s="530"/>
      <c r="T898" s="530"/>
      <c r="U898" s="530"/>
    </row>
    <row r="899" spans="1:21" ht="9.75" customHeight="1">
      <c r="A899" s="90"/>
      <c r="B899" s="90"/>
      <c r="C899" s="90"/>
      <c r="D899" s="90"/>
      <c r="E899" s="90"/>
      <c r="F899" s="90"/>
      <c r="G899" s="90"/>
      <c r="H899" s="90"/>
      <c r="I899" s="90"/>
      <c r="J899" s="90"/>
      <c r="K899" s="90"/>
      <c r="L899" s="90"/>
      <c r="M899" s="90"/>
      <c r="N899" s="90"/>
      <c r="O899" s="530"/>
      <c r="P899" s="530"/>
      <c r="Q899" s="530"/>
      <c r="R899" s="530"/>
      <c r="S899" s="530"/>
      <c r="T899" s="530"/>
      <c r="U899" s="530"/>
    </row>
    <row r="900" spans="1:21" ht="9.75" customHeight="1">
      <c r="A900" s="90"/>
      <c r="B900" s="90"/>
      <c r="C900" s="90"/>
      <c r="D900" s="90"/>
      <c r="E900" s="90"/>
      <c r="F900" s="90"/>
      <c r="G900" s="90"/>
      <c r="H900" s="90"/>
      <c r="I900" s="90"/>
      <c r="J900" s="90"/>
      <c r="K900" s="90"/>
      <c r="L900" s="90"/>
      <c r="M900" s="90"/>
      <c r="N900" s="90"/>
      <c r="O900" s="530"/>
      <c r="P900" s="530"/>
      <c r="Q900" s="530"/>
      <c r="R900" s="530"/>
      <c r="S900" s="530"/>
      <c r="T900" s="530"/>
      <c r="U900" s="530"/>
    </row>
    <row r="901" spans="1:21" ht="9.75" customHeight="1">
      <c r="A901" s="90"/>
      <c r="B901" s="90"/>
      <c r="C901" s="90"/>
      <c r="D901" s="90"/>
      <c r="E901" s="90"/>
      <c r="F901" s="90"/>
      <c r="G901" s="90"/>
      <c r="H901" s="90"/>
      <c r="I901" s="90"/>
      <c r="J901" s="90"/>
      <c r="K901" s="90"/>
      <c r="L901" s="90"/>
      <c r="M901" s="90"/>
      <c r="N901" s="90"/>
      <c r="O901" s="530"/>
      <c r="P901" s="530"/>
      <c r="Q901" s="530"/>
      <c r="R901" s="530"/>
      <c r="S901" s="530"/>
      <c r="T901" s="530"/>
      <c r="U901" s="530"/>
    </row>
    <row r="902" spans="1:21" ht="9.75" customHeight="1">
      <c r="A902" s="90"/>
      <c r="B902" s="90"/>
      <c r="C902" s="90"/>
      <c r="D902" s="90"/>
      <c r="E902" s="90"/>
      <c r="F902" s="90"/>
      <c r="G902" s="90"/>
      <c r="H902" s="90"/>
      <c r="I902" s="90"/>
      <c r="J902" s="90"/>
      <c r="K902" s="90"/>
      <c r="L902" s="90"/>
      <c r="M902" s="90"/>
      <c r="N902" s="90"/>
      <c r="O902" s="530"/>
      <c r="P902" s="530"/>
      <c r="Q902" s="530"/>
      <c r="R902" s="530"/>
      <c r="S902" s="530"/>
      <c r="T902" s="530"/>
      <c r="U902" s="530"/>
    </row>
    <row r="903" spans="1:21" ht="9.75" customHeight="1">
      <c r="A903" s="90"/>
      <c r="B903" s="90"/>
      <c r="C903" s="90"/>
      <c r="D903" s="90"/>
      <c r="E903" s="90"/>
      <c r="F903" s="90"/>
      <c r="G903" s="90"/>
      <c r="H903" s="90"/>
      <c r="I903" s="90"/>
      <c r="J903" s="90"/>
      <c r="K903" s="90"/>
      <c r="L903" s="90"/>
      <c r="M903" s="90"/>
      <c r="N903" s="90"/>
      <c r="O903" s="530"/>
      <c r="P903" s="530"/>
      <c r="Q903" s="530"/>
      <c r="R903" s="530"/>
      <c r="S903" s="530"/>
      <c r="T903" s="530"/>
      <c r="U903" s="530"/>
    </row>
    <row r="904" spans="1:21" ht="9.75" customHeight="1">
      <c r="A904" s="90"/>
      <c r="B904" s="90"/>
      <c r="C904" s="90"/>
      <c r="D904" s="90"/>
      <c r="E904" s="90"/>
      <c r="F904" s="90"/>
      <c r="G904" s="90"/>
      <c r="H904" s="90"/>
      <c r="I904" s="90"/>
      <c r="J904" s="90"/>
      <c r="K904" s="90"/>
      <c r="L904" s="90"/>
      <c r="M904" s="90"/>
      <c r="N904" s="90"/>
      <c r="O904" s="530"/>
      <c r="P904" s="530"/>
      <c r="Q904" s="530"/>
      <c r="R904" s="530"/>
      <c r="S904" s="530"/>
      <c r="T904" s="530"/>
      <c r="U904" s="530"/>
    </row>
    <row r="905" spans="1:21" ht="9.75" customHeight="1">
      <c r="A905" s="90"/>
      <c r="B905" s="90"/>
      <c r="C905" s="90"/>
      <c r="D905" s="90"/>
      <c r="E905" s="90"/>
      <c r="F905" s="90"/>
      <c r="G905" s="90"/>
      <c r="H905" s="90"/>
      <c r="I905" s="90"/>
      <c r="J905" s="90"/>
      <c r="K905" s="90"/>
      <c r="L905" s="90"/>
      <c r="M905" s="90"/>
      <c r="N905" s="90"/>
      <c r="O905" s="530"/>
      <c r="P905" s="530"/>
      <c r="Q905" s="530"/>
      <c r="R905" s="530"/>
      <c r="S905" s="530"/>
      <c r="T905" s="530"/>
      <c r="U905" s="530"/>
    </row>
    <row r="906" spans="1:21" ht="9.75" customHeight="1">
      <c r="A906" s="90"/>
      <c r="B906" s="90"/>
      <c r="C906" s="90"/>
      <c r="D906" s="90"/>
      <c r="E906" s="90"/>
      <c r="F906" s="90"/>
      <c r="G906" s="90"/>
      <c r="H906" s="90"/>
      <c r="I906" s="90"/>
      <c r="J906" s="90"/>
      <c r="K906" s="90"/>
      <c r="L906" s="90"/>
      <c r="M906" s="90"/>
      <c r="N906" s="90"/>
      <c r="O906" s="530"/>
      <c r="P906" s="530"/>
      <c r="Q906" s="530"/>
      <c r="R906" s="530"/>
      <c r="S906" s="530"/>
      <c r="T906" s="530"/>
      <c r="U906" s="530"/>
    </row>
    <row r="907" spans="1:21" ht="9.75" customHeight="1">
      <c r="A907" s="90"/>
      <c r="B907" s="90"/>
      <c r="C907" s="90"/>
      <c r="D907" s="90"/>
      <c r="E907" s="90"/>
      <c r="F907" s="90"/>
      <c r="G907" s="90"/>
      <c r="H907" s="90"/>
      <c r="I907" s="90"/>
      <c r="J907" s="90"/>
      <c r="K907" s="90"/>
      <c r="L907" s="90"/>
      <c r="M907" s="90"/>
      <c r="N907" s="90"/>
      <c r="O907" s="530"/>
      <c r="P907" s="530"/>
      <c r="Q907" s="530"/>
      <c r="R907" s="530"/>
      <c r="S907" s="530"/>
      <c r="T907" s="530"/>
      <c r="U907" s="530"/>
    </row>
    <row r="908" spans="1:21" ht="9.75" customHeight="1">
      <c r="A908" s="90"/>
      <c r="B908" s="90"/>
      <c r="C908" s="90"/>
      <c r="D908" s="90"/>
      <c r="E908" s="90"/>
      <c r="F908" s="90"/>
      <c r="G908" s="90"/>
      <c r="H908" s="90"/>
      <c r="I908" s="90"/>
      <c r="J908" s="90"/>
      <c r="K908" s="90"/>
      <c r="L908" s="90"/>
      <c r="M908" s="90"/>
      <c r="N908" s="90"/>
      <c r="O908" s="530"/>
      <c r="P908" s="530"/>
      <c r="Q908" s="530"/>
      <c r="R908" s="530"/>
      <c r="S908" s="530"/>
      <c r="T908" s="530"/>
      <c r="U908" s="530"/>
    </row>
    <row r="909" spans="1:21" ht="9.75" customHeight="1">
      <c r="A909" s="90"/>
      <c r="B909" s="90"/>
      <c r="C909" s="90"/>
      <c r="D909" s="90"/>
      <c r="E909" s="90"/>
      <c r="F909" s="90"/>
      <c r="G909" s="90"/>
      <c r="H909" s="90"/>
      <c r="I909" s="90"/>
      <c r="J909" s="90"/>
      <c r="K909" s="90"/>
      <c r="L909" s="90"/>
      <c r="M909" s="90"/>
      <c r="N909" s="90"/>
      <c r="O909" s="530"/>
      <c r="P909" s="530"/>
      <c r="Q909" s="530"/>
      <c r="R909" s="530"/>
      <c r="S909" s="530"/>
      <c r="T909" s="530"/>
      <c r="U909" s="530"/>
    </row>
    <row r="910" spans="1:21" ht="9.75" customHeight="1">
      <c r="A910" s="90"/>
      <c r="B910" s="90"/>
      <c r="C910" s="90"/>
      <c r="D910" s="90"/>
      <c r="E910" s="90"/>
      <c r="F910" s="90"/>
      <c r="G910" s="90"/>
      <c r="H910" s="90"/>
      <c r="I910" s="90"/>
      <c r="J910" s="90"/>
      <c r="K910" s="90"/>
      <c r="L910" s="90"/>
      <c r="M910" s="90"/>
      <c r="N910" s="90"/>
      <c r="O910" s="530"/>
      <c r="P910" s="530"/>
      <c r="Q910" s="530"/>
      <c r="R910" s="530"/>
      <c r="S910" s="530"/>
      <c r="T910" s="530"/>
      <c r="U910" s="530"/>
    </row>
    <row r="911" spans="1:21" ht="9.75" customHeight="1">
      <c r="A911" s="90"/>
      <c r="B911" s="90"/>
      <c r="C911" s="90"/>
      <c r="D911" s="90"/>
      <c r="E911" s="90"/>
      <c r="F911" s="90"/>
      <c r="G911" s="90"/>
      <c r="H911" s="90"/>
      <c r="I911" s="90"/>
      <c r="J911" s="90"/>
      <c r="K911" s="90"/>
      <c r="L911" s="90"/>
      <c r="M911" s="90"/>
      <c r="N911" s="90"/>
      <c r="O911" s="530"/>
      <c r="P911" s="530"/>
      <c r="Q911" s="530"/>
      <c r="R911" s="530"/>
      <c r="S911" s="530"/>
      <c r="T911" s="530"/>
      <c r="U911" s="530"/>
    </row>
    <row r="912" spans="1:21" ht="9.75" customHeight="1">
      <c r="A912" s="90"/>
      <c r="B912" s="90"/>
      <c r="C912" s="90"/>
      <c r="D912" s="90"/>
      <c r="E912" s="90"/>
      <c r="F912" s="90"/>
      <c r="G912" s="90"/>
      <c r="H912" s="90"/>
      <c r="I912" s="90"/>
      <c r="J912" s="90"/>
      <c r="K912" s="90"/>
      <c r="L912" s="90"/>
      <c r="M912" s="90"/>
      <c r="N912" s="90"/>
      <c r="O912" s="530"/>
      <c r="P912" s="530"/>
      <c r="Q912" s="530"/>
      <c r="R912" s="530"/>
      <c r="S912" s="530"/>
      <c r="T912" s="530"/>
      <c r="U912" s="530"/>
    </row>
    <row r="913" spans="1:21" ht="9.75" customHeight="1">
      <c r="A913" s="90"/>
      <c r="B913" s="90"/>
      <c r="C913" s="90"/>
      <c r="D913" s="90"/>
      <c r="E913" s="90"/>
      <c r="F913" s="90"/>
      <c r="G913" s="90"/>
      <c r="H913" s="90"/>
      <c r="I913" s="90"/>
      <c r="J913" s="90"/>
      <c r="K913" s="90"/>
      <c r="L913" s="90"/>
      <c r="M913" s="90"/>
      <c r="N913" s="90"/>
      <c r="O913" s="530"/>
      <c r="P913" s="530"/>
      <c r="Q913" s="530"/>
      <c r="R913" s="530"/>
      <c r="S913" s="530"/>
      <c r="T913" s="530"/>
      <c r="U913" s="530"/>
    </row>
    <row r="914" spans="1:21" ht="9.75" customHeight="1">
      <c r="A914" s="90"/>
      <c r="B914" s="90"/>
      <c r="C914" s="90"/>
      <c r="D914" s="90"/>
      <c r="E914" s="90"/>
      <c r="F914" s="90"/>
      <c r="G914" s="90"/>
      <c r="H914" s="90"/>
      <c r="I914" s="90"/>
      <c r="J914" s="90"/>
      <c r="K914" s="90"/>
      <c r="L914" s="90"/>
      <c r="M914" s="90"/>
      <c r="N914" s="90"/>
      <c r="O914" s="530"/>
      <c r="P914" s="530"/>
      <c r="Q914" s="530"/>
      <c r="R914" s="530"/>
      <c r="S914" s="530"/>
      <c r="T914" s="530"/>
      <c r="U914" s="530"/>
    </row>
    <row r="915" spans="1:21" ht="9.75" customHeight="1">
      <c r="A915" s="90"/>
      <c r="B915" s="90"/>
      <c r="C915" s="90"/>
      <c r="D915" s="90"/>
      <c r="E915" s="90"/>
      <c r="F915" s="90"/>
      <c r="G915" s="90"/>
      <c r="H915" s="90"/>
      <c r="I915" s="90"/>
      <c r="J915" s="90"/>
      <c r="K915" s="90"/>
      <c r="L915" s="90"/>
      <c r="M915" s="90"/>
      <c r="N915" s="90"/>
      <c r="O915" s="530"/>
      <c r="P915" s="530"/>
      <c r="Q915" s="530"/>
      <c r="R915" s="530"/>
      <c r="S915" s="530"/>
      <c r="T915" s="530"/>
      <c r="U915" s="530"/>
    </row>
    <row r="916" spans="1:21" ht="9.75" customHeight="1">
      <c r="A916" s="90"/>
      <c r="B916" s="90"/>
      <c r="C916" s="90"/>
      <c r="D916" s="90"/>
      <c r="E916" s="90"/>
      <c r="F916" s="90"/>
      <c r="G916" s="90"/>
      <c r="H916" s="90"/>
      <c r="I916" s="90"/>
      <c r="J916" s="90"/>
      <c r="K916" s="90"/>
      <c r="L916" s="90"/>
      <c r="M916" s="90"/>
      <c r="N916" s="90"/>
      <c r="O916" s="530"/>
      <c r="P916" s="530"/>
      <c r="Q916" s="530"/>
      <c r="R916" s="530"/>
      <c r="S916" s="530"/>
      <c r="T916" s="530"/>
      <c r="U916" s="530"/>
    </row>
    <row r="917" spans="1:21" ht="9.75" customHeight="1">
      <c r="A917" s="90"/>
      <c r="B917" s="90"/>
      <c r="C917" s="90"/>
      <c r="D917" s="90"/>
      <c r="E917" s="90"/>
      <c r="F917" s="90"/>
      <c r="G917" s="90"/>
      <c r="H917" s="90"/>
      <c r="I917" s="90"/>
      <c r="J917" s="90"/>
      <c r="K917" s="90"/>
      <c r="L917" s="90"/>
      <c r="M917" s="90"/>
      <c r="N917" s="90"/>
      <c r="O917" s="530"/>
      <c r="P917" s="530"/>
      <c r="Q917" s="530"/>
      <c r="R917" s="530"/>
      <c r="S917" s="530"/>
      <c r="T917" s="530"/>
      <c r="U917" s="530"/>
    </row>
    <row r="918" spans="1:21" ht="9.75" customHeight="1">
      <c r="A918" s="90"/>
      <c r="B918" s="90"/>
      <c r="C918" s="90"/>
      <c r="D918" s="90"/>
      <c r="E918" s="90"/>
      <c r="F918" s="90"/>
      <c r="G918" s="90"/>
      <c r="H918" s="90"/>
      <c r="I918" s="90"/>
      <c r="J918" s="90"/>
      <c r="K918" s="90"/>
      <c r="L918" s="90"/>
      <c r="M918" s="90"/>
      <c r="N918" s="90"/>
      <c r="O918" s="530"/>
      <c r="P918" s="530"/>
      <c r="Q918" s="530"/>
      <c r="R918" s="530"/>
      <c r="S918" s="530"/>
      <c r="T918" s="530"/>
      <c r="U918" s="530"/>
    </row>
    <row r="919" spans="1:21" ht="9.75" customHeight="1">
      <c r="A919" s="90"/>
      <c r="B919" s="90"/>
      <c r="C919" s="90"/>
      <c r="D919" s="90"/>
      <c r="E919" s="90"/>
      <c r="F919" s="90"/>
      <c r="G919" s="90"/>
      <c r="H919" s="90"/>
      <c r="I919" s="90"/>
      <c r="J919" s="90"/>
      <c r="K919" s="90"/>
      <c r="L919" s="90"/>
      <c r="M919" s="90"/>
      <c r="N919" s="90"/>
      <c r="O919" s="530"/>
      <c r="P919" s="530"/>
      <c r="Q919" s="530"/>
      <c r="R919" s="530"/>
      <c r="S919" s="530"/>
      <c r="T919" s="530"/>
      <c r="U919" s="530"/>
    </row>
    <row r="920" spans="1:21" ht="9.75" customHeight="1">
      <c r="A920" s="90"/>
      <c r="B920" s="90"/>
      <c r="C920" s="90"/>
      <c r="D920" s="90"/>
      <c r="E920" s="90"/>
      <c r="F920" s="90"/>
      <c r="G920" s="90"/>
      <c r="H920" s="90"/>
      <c r="I920" s="90"/>
      <c r="J920" s="90"/>
      <c r="K920" s="90"/>
      <c r="L920" s="90"/>
      <c r="M920" s="90"/>
      <c r="N920" s="90"/>
      <c r="O920" s="530"/>
      <c r="P920" s="530"/>
      <c r="Q920" s="530"/>
      <c r="R920" s="530"/>
      <c r="S920" s="530"/>
      <c r="T920" s="530"/>
      <c r="U920" s="530"/>
    </row>
    <row r="921" spans="1:21" ht="9.75" customHeight="1">
      <c r="A921" s="90"/>
      <c r="B921" s="90"/>
      <c r="C921" s="90"/>
      <c r="D921" s="90"/>
      <c r="E921" s="90"/>
      <c r="F921" s="90"/>
      <c r="G921" s="90"/>
      <c r="H921" s="90"/>
      <c r="I921" s="90"/>
      <c r="J921" s="90"/>
      <c r="K921" s="90"/>
      <c r="L921" s="90"/>
      <c r="M921" s="90"/>
      <c r="N921" s="90"/>
      <c r="O921" s="530"/>
      <c r="P921" s="530"/>
      <c r="Q921" s="530"/>
      <c r="R921" s="530"/>
      <c r="S921" s="530"/>
      <c r="T921" s="530"/>
      <c r="U921" s="530"/>
    </row>
    <row r="922" spans="1:21" ht="9.75" customHeight="1">
      <c r="A922" s="90"/>
      <c r="B922" s="90"/>
      <c r="C922" s="90"/>
      <c r="D922" s="90"/>
      <c r="E922" s="90"/>
      <c r="F922" s="90"/>
      <c r="G922" s="90"/>
      <c r="H922" s="90"/>
      <c r="I922" s="90"/>
      <c r="J922" s="90"/>
      <c r="K922" s="90"/>
      <c r="L922" s="90"/>
      <c r="M922" s="90"/>
      <c r="N922" s="90"/>
      <c r="O922" s="530"/>
      <c r="P922" s="530"/>
      <c r="Q922" s="530"/>
      <c r="R922" s="530"/>
      <c r="S922" s="530"/>
      <c r="T922" s="530"/>
      <c r="U922" s="530"/>
    </row>
    <row r="923" spans="1:21" ht="9.75" customHeight="1">
      <c r="A923" s="90"/>
      <c r="B923" s="90"/>
      <c r="C923" s="90"/>
      <c r="D923" s="90"/>
      <c r="E923" s="90"/>
      <c r="F923" s="90"/>
      <c r="G923" s="90"/>
      <c r="H923" s="90"/>
      <c r="I923" s="90"/>
      <c r="J923" s="90"/>
      <c r="K923" s="90"/>
      <c r="L923" s="90"/>
      <c r="M923" s="90"/>
      <c r="N923" s="90"/>
      <c r="O923" s="530"/>
      <c r="P923" s="530"/>
      <c r="Q923" s="530"/>
      <c r="R923" s="530"/>
      <c r="S923" s="530"/>
      <c r="T923" s="530"/>
      <c r="U923" s="530"/>
    </row>
    <row r="924" spans="1:21" ht="9.75" customHeight="1">
      <c r="A924" s="90"/>
      <c r="B924" s="90"/>
      <c r="C924" s="90"/>
      <c r="D924" s="90"/>
      <c r="E924" s="90"/>
      <c r="F924" s="90"/>
      <c r="G924" s="90"/>
      <c r="H924" s="90"/>
      <c r="I924" s="90"/>
      <c r="J924" s="90"/>
      <c r="K924" s="90"/>
      <c r="L924" s="90"/>
      <c r="M924" s="90"/>
      <c r="N924" s="90"/>
      <c r="O924" s="530"/>
      <c r="P924" s="530"/>
      <c r="Q924" s="530"/>
      <c r="R924" s="530"/>
      <c r="S924" s="530"/>
      <c r="T924" s="530"/>
      <c r="U924" s="530"/>
    </row>
    <row r="925" spans="1:21" ht="9.75" customHeight="1">
      <c r="A925" s="90"/>
      <c r="B925" s="90"/>
      <c r="C925" s="90"/>
      <c r="D925" s="90"/>
      <c r="E925" s="90"/>
      <c r="F925" s="90"/>
      <c r="G925" s="90"/>
      <c r="H925" s="90"/>
      <c r="I925" s="90"/>
      <c r="J925" s="90"/>
      <c r="K925" s="90"/>
      <c r="L925" s="90"/>
      <c r="M925" s="90"/>
      <c r="N925" s="90"/>
      <c r="O925" s="530"/>
      <c r="P925" s="530"/>
      <c r="Q925" s="530"/>
      <c r="R925" s="530"/>
      <c r="S925" s="530"/>
      <c r="T925" s="530"/>
      <c r="U925" s="530"/>
    </row>
    <row r="926" spans="1:21" ht="9.75" customHeight="1">
      <c r="A926" s="90"/>
      <c r="B926" s="90"/>
      <c r="C926" s="90"/>
      <c r="D926" s="90"/>
      <c r="E926" s="90"/>
      <c r="F926" s="90"/>
      <c r="G926" s="90"/>
      <c r="H926" s="90"/>
      <c r="I926" s="90"/>
      <c r="J926" s="90"/>
      <c r="K926" s="90"/>
      <c r="L926" s="90"/>
      <c r="M926" s="90"/>
      <c r="N926" s="90"/>
      <c r="O926" s="530"/>
      <c r="P926" s="530"/>
      <c r="Q926" s="530"/>
      <c r="R926" s="530"/>
      <c r="S926" s="530"/>
      <c r="T926" s="530"/>
      <c r="U926" s="530"/>
    </row>
    <row r="927" spans="1:21" ht="9.75" customHeight="1">
      <c r="A927" s="90"/>
      <c r="B927" s="90"/>
      <c r="C927" s="90"/>
      <c r="D927" s="90"/>
      <c r="E927" s="90"/>
      <c r="F927" s="90"/>
      <c r="G927" s="90"/>
      <c r="H927" s="90"/>
      <c r="I927" s="90"/>
      <c r="J927" s="90"/>
      <c r="K927" s="90"/>
      <c r="L927" s="90"/>
      <c r="M927" s="90"/>
      <c r="N927" s="90"/>
      <c r="O927" s="530"/>
      <c r="P927" s="530"/>
      <c r="Q927" s="530"/>
      <c r="R927" s="530"/>
      <c r="S927" s="530"/>
      <c r="T927" s="530"/>
      <c r="U927" s="530"/>
    </row>
    <row r="928" spans="1:21" ht="9.75" customHeight="1">
      <c r="A928" s="90"/>
      <c r="B928" s="90"/>
      <c r="C928" s="90"/>
      <c r="D928" s="90"/>
      <c r="E928" s="90"/>
      <c r="F928" s="90"/>
      <c r="G928" s="90"/>
      <c r="H928" s="90"/>
      <c r="I928" s="90"/>
      <c r="J928" s="90"/>
      <c r="K928" s="90"/>
      <c r="L928" s="90"/>
      <c r="M928" s="90"/>
      <c r="N928" s="90"/>
      <c r="O928" s="530"/>
      <c r="P928" s="530"/>
      <c r="Q928" s="530"/>
      <c r="R928" s="530"/>
      <c r="S928" s="530"/>
      <c r="T928" s="530"/>
      <c r="U928" s="530"/>
    </row>
    <row r="929" spans="1:21" ht="9.75" customHeight="1">
      <c r="A929" s="90"/>
      <c r="B929" s="90"/>
      <c r="C929" s="90"/>
      <c r="D929" s="90"/>
      <c r="E929" s="90"/>
      <c r="F929" s="90"/>
      <c r="G929" s="90"/>
      <c r="H929" s="90"/>
      <c r="I929" s="90"/>
      <c r="J929" s="90"/>
      <c r="K929" s="90"/>
      <c r="L929" s="90"/>
      <c r="M929" s="90"/>
      <c r="N929" s="90"/>
      <c r="O929" s="530"/>
      <c r="P929" s="530"/>
      <c r="Q929" s="530"/>
      <c r="R929" s="530"/>
      <c r="S929" s="530"/>
      <c r="T929" s="530"/>
      <c r="U929" s="530"/>
    </row>
    <row r="930" spans="1:21" ht="9.75" customHeight="1">
      <c r="A930" s="90"/>
      <c r="B930" s="90"/>
      <c r="C930" s="90"/>
      <c r="D930" s="90"/>
      <c r="E930" s="90"/>
      <c r="F930" s="90"/>
      <c r="G930" s="90"/>
      <c r="H930" s="90"/>
      <c r="I930" s="90"/>
      <c r="J930" s="90"/>
      <c r="K930" s="90"/>
      <c r="L930" s="90"/>
      <c r="M930" s="90"/>
      <c r="N930" s="90"/>
      <c r="O930" s="530"/>
      <c r="P930" s="530"/>
      <c r="Q930" s="530"/>
      <c r="R930" s="530"/>
      <c r="S930" s="530"/>
      <c r="T930" s="530"/>
      <c r="U930" s="530"/>
    </row>
    <row r="931" spans="1:21" ht="9.75" customHeight="1">
      <c r="A931" s="90"/>
      <c r="B931" s="90"/>
      <c r="C931" s="90"/>
      <c r="D931" s="90"/>
      <c r="E931" s="90"/>
      <c r="F931" s="90"/>
      <c r="G931" s="90"/>
      <c r="H931" s="90"/>
      <c r="I931" s="90"/>
      <c r="J931" s="90"/>
      <c r="K931" s="90"/>
      <c r="L931" s="90"/>
      <c r="M931" s="90"/>
      <c r="N931" s="90"/>
      <c r="O931" s="530"/>
      <c r="P931" s="530"/>
      <c r="Q931" s="530"/>
      <c r="R931" s="530"/>
      <c r="S931" s="530"/>
      <c r="T931" s="530"/>
      <c r="U931" s="530"/>
    </row>
    <row r="932" spans="1:21" ht="9.75" customHeight="1">
      <c r="A932" s="90"/>
      <c r="B932" s="90"/>
      <c r="C932" s="90"/>
      <c r="D932" s="90"/>
      <c r="E932" s="90"/>
      <c r="F932" s="90"/>
      <c r="G932" s="90"/>
      <c r="H932" s="90"/>
      <c r="I932" s="90"/>
      <c r="J932" s="90"/>
      <c r="K932" s="90"/>
      <c r="L932" s="90"/>
      <c r="M932" s="90"/>
      <c r="N932" s="90"/>
      <c r="O932" s="530"/>
      <c r="P932" s="530"/>
      <c r="Q932" s="530"/>
      <c r="R932" s="530"/>
      <c r="S932" s="530"/>
      <c r="T932" s="530"/>
      <c r="U932" s="530"/>
    </row>
    <row r="933" spans="1:21" ht="9.75" customHeight="1">
      <c r="A933" s="90"/>
      <c r="B933" s="90"/>
      <c r="C933" s="90"/>
      <c r="D933" s="90"/>
      <c r="E933" s="90"/>
      <c r="F933" s="90"/>
      <c r="G933" s="90"/>
      <c r="H933" s="90"/>
      <c r="I933" s="90"/>
      <c r="J933" s="90"/>
      <c r="K933" s="90"/>
      <c r="L933" s="90"/>
      <c r="M933" s="90"/>
      <c r="N933" s="90"/>
      <c r="O933" s="530"/>
      <c r="P933" s="530"/>
      <c r="Q933" s="530"/>
      <c r="R933" s="530"/>
      <c r="S933" s="530"/>
      <c r="T933" s="530"/>
      <c r="U933" s="530"/>
    </row>
    <row r="934" spans="1:21" ht="9.75" customHeight="1">
      <c r="A934" s="90"/>
      <c r="B934" s="90"/>
      <c r="C934" s="90"/>
      <c r="D934" s="90"/>
      <c r="E934" s="90"/>
      <c r="F934" s="90"/>
      <c r="G934" s="90"/>
      <c r="H934" s="90"/>
      <c r="I934" s="90"/>
      <c r="J934" s="90"/>
      <c r="K934" s="90"/>
      <c r="L934" s="90"/>
      <c r="M934" s="90"/>
      <c r="N934" s="90"/>
      <c r="O934" s="530"/>
      <c r="P934" s="530"/>
      <c r="Q934" s="530"/>
      <c r="R934" s="530"/>
      <c r="S934" s="530"/>
      <c r="T934" s="530"/>
      <c r="U934" s="530"/>
    </row>
    <row r="935" spans="1:21" ht="9.75" customHeight="1">
      <c r="A935" s="90"/>
      <c r="B935" s="90"/>
      <c r="C935" s="90"/>
      <c r="D935" s="90"/>
      <c r="E935" s="90"/>
      <c r="F935" s="90"/>
      <c r="G935" s="90"/>
      <c r="H935" s="90"/>
      <c r="I935" s="90"/>
      <c r="J935" s="90"/>
      <c r="K935" s="90"/>
      <c r="L935" s="90"/>
      <c r="M935" s="90"/>
      <c r="N935" s="90"/>
      <c r="O935" s="530"/>
      <c r="P935" s="530"/>
      <c r="Q935" s="530"/>
      <c r="R935" s="530"/>
      <c r="S935" s="530"/>
      <c r="T935" s="530"/>
      <c r="U935" s="530"/>
    </row>
    <row r="936" spans="1:21" ht="9.75" customHeight="1">
      <c r="A936" s="90"/>
      <c r="B936" s="90"/>
      <c r="C936" s="90"/>
      <c r="D936" s="90"/>
      <c r="E936" s="90"/>
      <c r="F936" s="90"/>
      <c r="G936" s="90"/>
      <c r="H936" s="90"/>
      <c r="I936" s="90"/>
      <c r="J936" s="90"/>
      <c r="K936" s="90"/>
      <c r="L936" s="90"/>
      <c r="M936" s="90"/>
      <c r="N936" s="90"/>
      <c r="O936" s="530"/>
      <c r="P936" s="530"/>
      <c r="Q936" s="530"/>
      <c r="R936" s="530"/>
      <c r="S936" s="530"/>
      <c r="T936" s="530"/>
      <c r="U936" s="530"/>
    </row>
    <row r="937" spans="1:21" ht="9.75" customHeight="1">
      <c r="A937" s="90"/>
      <c r="B937" s="90"/>
      <c r="C937" s="90"/>
      <c r="D937" s="90"/>
      <c r="E937" s="90"/>
      <c r="F937" s="90"/>
      <c r="G937" s="90"/>
      <c r="H937" s="90"/>
      <c r="I937" s="90"/>
      <c r="J937" s="90"/>
      <c r="K937" s="90"/>
      <c r="L937" s="90"/>
      <c r="M937" s="90"/>
      <c r="N937" s="90"/>
      <c r="O937" s="530"/>
      <c r="P937" s="530"/>
      <c r="Q937" s="530"/>
      <c r="R937" s="530"/>
      <c r="S937" s="530"/>
      <c r="T937" s="530"/>
      <c r="U937" s="530"/>
    </row>
    <row r="938" spans="1:21" ht="9.75" customHeight="1">
      <c r="A938" s="90"/>
      <c r="B938" s="90"/>
      <c r="C938" s="90"/>
      <c r="D938" s="90"/>
      <c r="E938" s="90"/>
      <c r="F938" s="90"/>
      <c r="G938" s="90"/>
      <c r="H938" s="90"/>
      <c r="I938" s="90"/>
      <c r="J938" s="90"/>
      <c r="K938" s="90"/>
      <c r="L938" s="90"/>
      <c r="M938" s="90"/>
      <c r="N938" s="90"/>
      <c r="O938" s="530"/>
      <c r="P938" s="530"/>
      <c r="Q938" s="530"/>
      <c r="R938" s="530"/>
      <c r="S938" s="530"/>
      <c r="T938" s="530"/>
      <c r="U938" s="530"/>
    </row>
    <row r="939" spans="1:21" ht="9.75" customHeight="1">
      <c r="A939" s="90"/>
      <c r="B939" s="90"/>
      <c r="C939" s="90"/>
      <c r="D939" s="90"/>
      <c r="E939" s="90"/>
      <c r="F939" s="90"/>
      <c r="G939" s="90"/>
      <c r="H939" s="90"/>
      <c r="I939" s="90"/>
      <c r="J939" s="90"/>
      <c r="K939" s="90"/>
      <c r="L939" s="90"/>
      <c r="M939" s="90"/>
      <c r="N939" s="90"/>
      <c r="O939" s="530"/>
      <c r="P939" s="530"/>
      <c r="Q939" s="530"/>
      <c r="R939" s="530"/>
      <c r="S939" s="530"/>
      <c r="T939" s="530"/>
      <c r="U939" s="530"/>
    </row>
    <row r="940" spans="1:21" ht="9.75" customHeight="1">
      <c r="A940" s="90"/>
      <c r="B940" s="90"/>
      <c r="C940" s="90"/>
      <c r="D940" s="90"/>
      <c r="E940" s="90"/>
      <c r="F940" s="90"/>
      <c r="G940" s="90"/>
      <c r="H940" s="90"/>
      <c r="I940" s="90"/>
      <c r="J940" s="90"/>
      <c r="K940" s="90"/>
      <c r="L940" s="90"/>
      <c r="M940" s="90"/>
      <c r="N940" s="90"/>
      <c r="O940" s="530"/>
      <c r="P940" s="530"/>
      <c r="Q940" s="530"/>
      <c r="R940" s="530"/>
      <c r="S940" s="530"/>
      <c r="T940" s="530"/>
      <c r="U940" s="530"/>
    </row>
    <row r="941" spans="1:21" ht="9.75" customHeight="1">
      <c r="A941" s="90"/>
      <c r="B941" s="90"/>
      <c r="C941" s="90"/>
      <c r="D941" s="90"/>
      <c r="E941" s="90"/>
      <c r="F941" s="90"/>
      <c r="G941" s="90"/>
      <c r="H941" s="90"/>
      <c r="I941" s="90"/>
      <c r="J941" s="90"/>
      <c r="K941" s="90"/>
      <c r="L941" s="90"/>
      <c r="M941" s="90"/>
      <c r="N941" s="90"/>
      <c r="O941" s="530"/>
      <c r="P941" s="530"/>
      <c r="Q941" s="530"/>
      <c r="R941" s="530"/>
      <c r="S941" s="530"/>
      <c r="T941" s="530"/>
      <c r="U941" s="530"/>
    </row>
    <row r="942" spans="1:21" ht="9.75" customHeight="1">
      <c r="A942" s="90"/>
      <c r="B942" s="90"/>
      <c r="C942" s="90"/>
      <c r="D942" s="90"/>
      <c r="E942" s="90"/>
      <c r="F942" s="90"/>
      <c r="G942" s="90"/>
      <c r="H942" s="90"/>
      <c r="I942" s="90"/>
      <c r="J942" s="90"/>
      <c r="K942" s="90"/>
      <c r="L942" s="90"/>
      <c r="M942" s="90"/>
      <c r="N942" s="90"/>
      <c r="O942" s="530"/>
      <c r="P942" s="530"/>
      <c r="Q942" s="530"/>
      <c r="R942" s="530"/>
      <c r="S942" s="530"/>
      <c r="T942" s="530"/>
      <c r="U942" s="530"/>
    </row>
    <row r="943" spans="1:21" ht="9.75" customHeight="1">
      <c r="A943" s="90"/>
      <c r="B943" s="90"/>
      <c r="C943" s="90"/>
      <c r="D943" s="90"/>
      <c r="E943" s="90"/>
      <c r="F943" s="90"/>
      <c r="G943" s="90"/>
      <c r="H943" s="90"/>
      <c r="I943" s="90"/>
      <c r="J943" s="90"/>
      <c r="K943" s="90"/>
      <c r="L943" s="90"/>
      <c r="M943" s="90"/>
      <c r="N943" s="90"/>
      <c r="O943" s="530"/>
      <c r="P943" s="530"/>
      <c r="Q943" s="530"/>
      <c r="R943" s="530"/>
      <c r="S943" s="530"/>
      <c r="T943" s="530"/>
      <c r="U943" s="530"/>
    </row>
    <row r="944" spans="1:21" ht="9.75" customHeight="1">
      <c r="A944" s="90"/>
      <c r="B944" s="90"/>
      <c r="C944" s="90"/>
      <c r="D944" s="90"/>
      <c r="E944" s="90"/>
      <c r="F944" s="90"/>
      <c r="G944" s="90"/>
      <c r="H944" s="90"/>
      <c r="I944" s="90"/>
      <c r="J944" s="90"/>
      <c r="K944" s="90"/>
      <c r="L944" s="90"/>
      <c r="M944" s="90"/>
      <c r="N944" s="90"/>
      <c r="O944" s="530"/>
      <c r="P944" s="530"/>
      <c r="Q944" s="530"/>
      <c r="R944" s="530"/>
      <c r="S944" s="530"/>
      <c r="T944" s="530"/>
      <c r="U944" s="530"/>
    </row>
    <row r="945" spans="1:21" ht="9.75" customHeight="1">
      <c r="A945" s="90"/>
      <c r="B945" s="90"/>
      <c r="C945" s="90"/>
      <c r="D945" s="90"/>
      <c r="E945" s="90"/>
      <c r="F945" s="90"/>
      <c r="G945" s="90"/>
      <c r="H945" s="90"/>
      <c r="I945" s="90"/>
      <c r="J945" s="90"/>
      <c r="K945" s="90"/>
      <c r="L945" s="90"/>
      <c r="M945" s="90"/>
      <c r="N945" s="90"/>
      <c r="O945" s="530"/>
      <c r="P945" s="530"/>
      <c r="Q945" s="530"/>
      <c r="R945" s="530"/>
      <c r="S945" s="530"/>
      <c r="T945" s="530"/>
      <c r="U945" s="530"/>
    </row>
    <row r="946" spans="1:21" ht="9.75" customHeight="1">
      <c r="A946" s="90"/>
      <c r="B946" s="90"/>
      <c r="C946" s="90"/>
      <c r="D946" s="90"/>
      <c r="E946" s="90"/>
      <c r="F946" s="90"/>
      <c r="G946" s="90"/>
      <c r="H946" s="90"/>
      <c r="I946" s="90"/>
      <c r="J946" s="90"/>
      <c r="K946" s="90"/>
      <c r="L946" s="90"/>
      <c r="M946" s="90"/>
      <c r="N946" s="90"/>
      <c r="O946" s="530"/>
      <c r="P946" s="530"/>
      <c r="Q946" s="530"/>
      <c r="R946" s="530"/>
      <c r="S946" s="530"/>
      <c r="T946" s="530"/>
      <c r="U946" s="530"/>
    </row>
    <row r="947" spans="1:21" ht="9.75" customHeight="1">
      <c r="A947" s="90"/>
      <c r="B947" s="90"/>
      <c r="C947" s="90"/>
      <c r="D947" s="90"/>
      <c r="E947" s="90"/>
      <c r="F947" s="90"/>
      <c r="G947" s="90"/>
      <c r="H947" s="90"/>
      <c r="I947" s="90"/>
      <c r="J947" s="90"/>
      <c r="K947" s="90"/>
      <c r="L947" s="90"/>
      <c r="M947" s="90"/>
      <c r="N947" s="90"/>
      <c r="O947" s="530"/>
      <c r="P947" s="530"/>
      <c r="Q947" s="530"/>
      <c r="R947" s="530"/>
      <c r="S947" s="530"/>
      <c r="T947" s="530"/>
      <c r="U947" s="530"/>
    </row>
    <row r="948" spans="1:21" ht="9.75" customHeight="1">
      <c r="A948" s="90"/>
      <c r="B948" s="90"/>
      <c r="C948" s="90"/>
      <c r="D948" s="90"/>
      <c r="E948" s="90"/>
      <c r="F948" s="90"/>
      <c r="G948" s="90"/>
      <c r="H948" s="90"/>
      <c r="I948" s="90"/>
      <c r="J948" s="90"/>
      <c r="K948" s="90"/>
      <c r="L948" s="90"/>
      <c r="M948" s="90"/>
      <c r="N948" s="90"/>
      <c r="O948" s="530"/>
      <c r="P948" s="530"/>
      <c r="Q948" s="530"/>
      <c r="R948" s="530"/>
      <c r="S948" s="530"/>
      <c r="T948" s="530"/>
      <c r="U948" s="530"/>
    </row>
    <row r="949" spans="1:21" ht="9.75" customHeight="1">
      <c r="A949" s="90"/>
      <c r="B949" s="90"/>
      <c r="C949" s="90"/>
      <c r="D949" s="90"/>
      <c r="E949" s="90"/>
      <c r="F949" s="90"/>
      <c r="G949" s="90"/>
      <c r="H949" s="90"/>
      <c r="I949" s="90"/>
      <c r="J949" s="90"/>
      <c r="K949" s="90"/>
      <c r="L949" s="90"/>
      <c r="M949" s="90"/>
      <c r="N949" s="90"/>
      <c r="O949" s="530"/>
      <c r="P949" s="530"/>
      <c r="Q949" s="530"/>
      <c r="R949" s="530"/>
      <c r="S949" s="530"/>
      <c r="T949" s="530"/>
      <c r="U949" s="530"/>
    </row>
    <row r="950" spans="1:21" ht="9.75" customHeight="1">
      <c r="A950" s="90"/>
      <c r="B950" s="90"/>
      <c r="C950" s="90"/>
      <c r="D950" s="90"/>
      <c r="E950" s="90"/>
      <c r="F950" s="90"/>
      <c r="G950" s="90"/>
      <c r="H950" s="90"/>
      <c r="I950" s="90"/>
      <c r="J950" s="90"/>
      <c r="K950" s="90"/>
      <c r="L950" s="90"/>
      <c r="M950" s="90"/>
      <c r="N950" s="90"/>
      <c r="O950" s="530"/>
      <c r="P950" s="530"/>
      <c r="Q950" s="530"/>
      <c r="R950" s="530"/>
      <c r="S950" s="530"/>
      <c r="T950" s="530"/>
      <c r="U950" s="530"/>
    </row>
    <row r="951" spans="1:21" ht="9.75" customHeight="1">
      <c r="A951" s="90"/>
      <c r="B951" s="90"/>
      <c r="C951" s="90"/>
      <c r="D951" s="90"/>
      <c r="E951" s="90"/>
      <c r="F951" s="90"/>
      <c r="G951" s="90"/>
      <c r="H951" s="90"/>
      <c r="I951" s="90"/>
      <c r="J951" s="90"/>
      <c r="K951" s="90"/>
      <c r="L951" s="90"/>
      <c r="M951" s="90"/>
      <c r="N951" s="90"/>
      <c r="O951" s="530"/>
      <c r="P951" s="530"/>
      <c r="Q951" s="530"/>
      <c r="R951" s="530"/>
      <c r="S951" s="530"/>
      <c r="T951" s="530"/>
      <c r="U951" s="530"/>
    </row>
    <row r="952" spans="1:21" ht="9.75" customHeight="1">
      <c r="A952" s="90"/>
      <c r="B952" s="90"/>
      <c r="C952" s="90"/>
      <c r="D952" s="90"/>
      <c r="E952" s="90"/>
      <c r="F952" s="90"/>
      <c r="G952" s="90"/>
      <c r="H952" s="90"/>
      <c r="I952" s="90"/>
      <c r="J952" s="90"/>
      <c r="K952" s="90"/>
      <c r="L952" s="90"/>
      <c r="M952" s="90"/>
      <c r="N952" s="90"/>
      <c r="O952" s="530"/>
      <c r="P952" s="530"/>
      <c r="Q952" s="530"/>
      <c r="R952" s="530"/>
      <c r="S952" s="530"/>
      <c r="T952" s="530"/>
      <c r="U952" s="530"/>
    </row>
    <row r="953" spans="1:21" ht="9.75" customHeight="1">
      <c r="A953" s="90"/>
      <c r="B953" s="90"/>
      <c r="C953" s="90"/>
      <c r="D953" s="90"/>
      <c r="E953" s="90"/>
      <c r="F953" s="90"/>
      <c r="G953" s="90"/>
      <c r="H953" s="90"/>
      <c r="I953" s="90"/>
      <c r="J953" s="90"/>
      <c r="K953" s="90"/>
      <c r="L953" s="90"/>
      <c r="M953" s="90"/>
      <c r="N953" s="90"/>
      <c r="O953" s="530"/>
      <c r="P953" s="530"/>
      <c r="Q953" s="530"/>
      <c r="R953" s="530"/>
      <c r="S953" s="530"/>
      <c r="T953" s="530"/>
      <c r="U953" s="530"/>
    </row>
    <row r="954" spans="1:21" ht="9.75" customHeight="1">
      <c r="A954" s="90"/>
      <c r="B954" s="90"/>
      <c r="C954" s="90"/>
      <c r="D954" s="90"/>
      <c r="E954" s="90"/>
      <c r="F954" s="90"/>
      <c r="G954" s="90"/>
      <c r="H954" s="90"/>
      <c r="I954" s="90"/>
      <c r="J954" s="90"/>
      <c r="K954" s="90"/>
      <c r="L954" s="90"/>
      <c r="M954" s="90"/>
      <c r="N954" s="90"/>
      <c r="O954" s="530"/>
      <c r="P954" s="530"/>
      <c r="Q954" s="530"/>
      <c r="R954" s="530"/>
      <c r="S954" s="530"/>
      <c r="T954" s="530"/>
      <c r="U954" s="530"/>
    </row>
    <row r="955" spans="1:21" ht="9.75" customHeight="1">
      <c r="A955" s="90"/>
      <c r="B955" s="90"/>
      <c r="C955" s="90"/>
      <c r="D955" s="90"/>
      <c r="E955" s="90"/>
      <c r="F955" s="90"/>
      <c r="G955" s="90"/>
      <c r="H955" s="90"/>
      <c r="I955" s="90"/>
      <c r="J955" s="90"/>
      <c r="K955" s="90"/>
      <c r="L955" s="90"/>
      <c r="M955" s="90"/>
      <c r="N955" s="90"/>
      <c r="O955" s="530"/>
      <c r="P955" s="530"/>
      <c r="Q955" s="530"/>
      <c r="R955" s="530"/>
      <c r="S955" s="530"/>
      <c r="T955" s="530"/>
      <c r="U955" s="530"/>
    </row>
    <row r="956" spans="1:21" ht="9.75" customHeight="1">
      <c r="A956" s="90"/>
      <c r="B956" s="90"/>
      <c r="C956" s="90"/>
      <c r="D956" s="90"/>
      <c r="E956" s="90"/>
      <c r="F956" s="90"/>
      <c r="G956" s="90"/>
      <c r="H956" s="90"/>
      <c r="I956" s="90"/>
      <c r="J956" s="90"/>
      <c r="K956" s="90"/>
      <c r="L956" s="90"/>
      <c r="M956" s="90"/>
      <c r="N956" s="90"/>
      <c r="O956" s="530"/>
      <c r="P956" s="530"/>
      <c r="Q956" s="530"/>
      <c r="R956" s="530"/>
      <c r="S956" s="530"/>
      <c r="T956" s="530"/>
      <c r="U956" s="530"/>
    </row>
    <row r="957" spans="1:21" ht="9.75" customHeight="1">
      <c r="A957" s="90"/>
      <c r="B957" s="90"/>
      <c r="C957" s="90"/>
      <c r="D957" s="90"/>
      <c r="E957" s="90"/>
      <c r="F957" s="90"/>
      <c r="G957" s="90"/>
      <c r="H957" s="90"/>
      <c r="I957" s="90"/>
      <c r="J957" s="90"/>
      <c r="K957" s="90"/>
      <c r="L957" s="90"/>
      <c r="M957" s="90"/>
      <c r="N957" s="90"/>
      <c r="O957" s="530"/>
      <c r="P957" s="530"/>
      <c r="Q957" s="530"/>
      <c r="R957" s="530"/>
      <c r="S957" s="530"/>
      <c r="T957" s="530"/>
      <c r="U957" s="530"/>
    </row>
    <row r="958" spans="1:21" ht="9.75" customHeight="1">
      <c r="A958" s="90"/>
      <c r="B958" s="90"/>
      <c r="C958" s="90"/>
      <c r="D958" s="90"/>
      <c r="E958" s="90"/>
      <c r="F958" s="90"/>
      <c r="G958" s="90"/>
      <c r="H958" s="90"/>
      <c r="I958" s="90"/>
      <c r="J958" s="90"/>
      <c r="K958" s="90"/>
      <c r="L958" s="90"/>
      <c r="M958" s="90"/>
      <c r="N958" s="90"/>
      <c r="O958" s="530"/>
      <c r="P958" s="530"/>
      <c r="Q958" s="530"/>
      <c r="R958" s="530"/>
      <c r="S958" s="530"/>
      <c r="T958" s="530"/>
      <c r="U958" s="530"/>
    </row>
    <row r="959" spans="1:21" ht="9.75" customHeight="1">
      <c r="A959" s="90"/>
      <c r="B959" s="90"/>
      <c r="C959" s="90"/>
      <c r="D959" s="90"/>
      <c r="E959" s="90"/>
      <c r="F959" s="90"/>
      <c r="G959" s="90"/>
      <c r="H959" s="90"/>
      <c r="I959" s="90"/>
      <c r="J959" s="90"/>
      <c r="K959" s="90"/>
      <c r="L959" s="90"/>
      <c r="M959" s="90"/>
      <c r="N959" s="90"/>
      <c r="O959" s="530"/>
      <c r="P959" s="530"/>
      <c r="Q959" s="530"/>
      <c r="R959" s="530"/>
      <c r="S959" s="530"/>
      <c r="T959" s="530"/>
      <c r="U959" s="530"/>
    </row>
    <row r="960" spans="1:21" ht="9.75" customHeight="1">
      <c r="A960" s="90"/>
      <c r="B960" s="90"/>
      <c r="C960" s="90"/>
      <c r="D960" s="90"/>
      <c r="E960" s="90"/>
      <c r="F960" s="90"/>
      <c r="G960" s="90"/>
      <c r="H960" s="90"/>
      <c r="I960" s="90"/>
      <c r="J960" s="90"/>
      <c r="K960" s="90"/>
      <c r="L960" s="90"/>
      <c r="M960" s="90"/>
      <c r="N960" s="90"/>
      <c r="O960" s="530"/>
      <c r="P960" s="530"/>
      <c r="Q960" s="530"/>
      <c r="R960" s="530"/>
      <c r="S960" s="530"/>
      <c r="T960" s="530"/>
      <c r="U960" s="530"/>
    </row>
    <row r="961" spans="1:21" ht="9.75" customHeight="1">
      <c r="A961" s="90"/>
      <c r="B961" s="90"/>
      <c r="C961" s="90"/>
      <c r="D961" s="90"/>
      <c r="E961" s="90"/>
      <c r="F961" s="90"/>
      <c r="G961" s="90"/>
      <c r="H961" s="90"/>
      <c r="I961" s="90"/>
      <c r="J961" s="90"/>
      <c r="K961" s="90"/>
      <c r="L961" s="90"/>
      <c r="M961" s="90"/>
      <c r="N961" s="90"/>
      <c r="O961" s="530"/>
      <c r="P961" s="530"/>
      <c r="Q961" s="530"/>
      <c r="R961" s="530"/>
      <c r="S961" s="530"/>
      <c r="T961" s="530"/>
      <c r="U961" s="530"/>
    </row>
    <row r="962" spans="1:21" ht="9.75" customHeight="1">
      <c r="A962" s="90"/>
      <c r="B962" s="90"/>
      <c r="C962" s="90"/>
      <c r="D962" s="90"/>
      <c r="E962" s="90"/>
      <c r="F962" s="90"/>
      <c r="G962" s="90"/>
      <c r="H962" s="90"/>
      <c r="I962" s="90"/>
      <c r="J962" s="90"/>
      <c r="K962" s="90"/>
      <c r="L962" s="90"/>
      <c r="M962" s="90"/>
      <c r="N962" s="90"/>
      <c r="O962" s="530"/>
      <c r="P962" s="530"/>
      <c r="Q962" s="530"/>
      <c r="R962" s="530"/>
      <c r="S962" s="530"/>
      <c r="T962" s="530"/>
      <c r="U962" s="530"/>
    </row>
    <row r="963" spans="1:21" ht="9.75" customHeight="1">
      <c r="A963" s="90"/>
      <c r="B963" s="90"/>
      <c r="C963" s="90"/>
      <c r="D963" s="90"/>
      <c r="E963" s="90"/>
      <c r="F963" s="90"/>
      <c r="G963" s="90"/>
      <c r="H963" s="90"/>
      <c r="I963" s="90"/>
      <c r="J963" s="90"/>
      <c r="K963" s="90"/>
      <c r="L963" s="90"/>
      <c r="M963" s="90"/>
      <c r="N963" s="90"/>
      <c r="O963" s="530"/>
      <c r="P963" s="530"/>
      <c r="Q963" s="530"/>
      <c r="R963" s="530"/>
      <c r="S963" s="530"/>
      <c r="T963" s="530"/>
      <c r="U963" s="530"/>
    </row>
    <row r="964" spans="1:21" ht="9.75" customHeight="1">
      <c r="A964" s="90"/>
      <c r="B964" s="90"/>
      <c r="C964" s="90"/>
      <c r="D964" s="90"/>
      <c r="E964" s="90"/>
      <c r="F964" s="90"/>
      <c r="G964" s="90"/>
      <c r="H964" s="90"/>
      <c r="I964" s="90"/>
      <c r="J964" s="90"/>
      <c r="K964" s="90"/>
      <c r="L964" s="90"/>
      <c r="M964" s="90"/>
      <c r="N964" s="90"/>
      <c r="O964" s="530"/>
      <c r="P964" s="530"/>
      <c r="Q964" s="530"/>
      <c r="R964" s="530"/>
      <c r="S964" s="530"/>
      <c r="T964" s="530"/>
      <c r="U964" s="530"/>
    </row>
    <row r="965" spans="1:21" ht="9.75" customHeight="1">
      <c r="A965" s="90"/>
      <c r="B965" s="90"/>
      <c r="C965" s="90"/>
      <c r="D965" s="90"/>
      <c r="E965" s="90"/>
      <c r="F965" s="90"/>
      <c r="G965" s="90"/>
      <c r="H965" s="90"/>
      <c r="I965" s="90"/>
      <c r="J965" s="90"/>
      <c r="K965" s="90"/>
      <c r="L965" s="90"/>
      <c r="M965" s="90"/>
      <c r="N965" s="90"/>
      <c r="O965" s="530"/>
      <c r="P965" s="530"/>
      <c r="Q965" s="530"/>
      <c r="R965" s="530"/>
      <c r="S965" s="530"/>
      <c r="T965" s="530"/>
      <c r="U965" s="530"/>
    </row>
    <row r="966" spans="1:21" ht="9.75" customHeight="1">
      <c r="A966" s="90"/>
      <c r="B966" s="90"/>
      <c r="C966" s="90"/>
      <c r="D966" s="90"/>
      <c r="E966" s="90"/>
      <c r="F966" s="90"/>
      <c r="G966" s="90"/>
      <c r="H966" s="90"/>
      <c r="I966" s="90"/>
      <c r="J966" s="90"/>
      <c r="K966" s="90"/>
      <c r="L966" s="90"/>
      <c r="M966" s="90"/>
      <c r="N966" s="90"/>
      <c r="O966" s="530"/>
      <c r="P966" s="530"/>
      <c r="Q966" s="530"/>
      <c r="R966" s="530"/>
      <c r="S966" s="530"/>
      <c r="T966" s="530"/>
      <c r="U966" s="530"/>
    </row>
    <row r="967" spans="1:21" ht="9.75" customHeight="1">
      <c r="A967" s="90"/>
      <c r="B967" s="90"/>
      <c r="C967" s="90"/>
      <c r="D967" s="90"/>
      <c r="E967" s="90"/>
      <c r="F967" s="90"/>
      <c r="G967" s="90"/>
      <c r="H967" s="90"/>
      <c r="I967" s="90"/>
      <c r="J967" s="90"/>
      <c r="K967" s="90"/>
      <c r="L967" s="90"/>
      <c r="M967" s="90"/>
      <c r="N967" s="90"/>
      <c r="O967" s="530"/>
      <c r="P967" s="530"/>
      <c r="Q967" s="530"/>
      <c r="R967" s="530"/>
      <c r="S967" s="530"/>
      <c r="T967" s="530"/>
      <c r="U967" s="530"/>
    </row>
    <row r="968" spans="1:21" ht="9.75" customHeight="1">
      <c r="A968" s="90"/>
      <c r="B968" s="90"/>
      <c r="C968" s="90"/>
      <c r="D968" s="90"/>
      <c r="E968" s="90"/>
      <c r="F968" s="90"/>
      <c r="G968" s="90"/>
      <c r="H968" s="90"/>
      <c r="I968" s="90"/>
      <c r="J968" s="90"/>
      <c r="K968" s="90"/>
      <c r="L968" s="90"/>
      <c r="M968" s="90"/>
      <c r="N968" s="90"/>
      <c r="O968" s="530"/>
      <c r="P968" s="530"/>
      <c r="Q968" s="530"/>
      <c r="R968" s="530"/>
      <c r="S968" s="530"/>
      <c r="T968" s="530"/>
      <c r="U968" s="530"/>
    </row>
    <row r="969" spans="1:21" ht="9.75" customHeight="1">
      <c r="A969" s="90"/>
      <c r="B969" s="90"/>
      <c r="C969" s="90"/>
      <c r="D969" s="90"/>
      <c r="E969" s="90"/>
      <c r="F969" s="90"/>
      <c r="G969" s="90"/>
      <c r="H969" s="90"/>
      <c r="I969" s="90"/>
      <c r="J969" s="90"/>
      <c r="K969" s="90"/>
      <c r="L969" s="90"/>
      <c r="M969" s="90"/>
      <c r="N969" s="90"/>
      <c r="O969" s="530"/>
      <c r="P969" s="530"/>
      <c r="Q969" s="530"/>
      <c r="R969" s="530"/>
      <c r="S969" s="530"/>
      <c r="T969" s="530"/>
      <c r="U969" s="530"/>
    </row>
    <row r="970" spans="1:21" ht="9.75" customHeight="1">
      <c r="A970" s="90"/>
      <c r="B970" s="90"/>
      <c r="C970" s="90"/>
      <c r="D970" s="90"/>
      <c r="E970" s="90"/>
      <c r="F970" s="90"/>
      <c r="G970" s="90"/>
      <c r="H970" s="90"/>
      <c r="I970" s="90"/>
      <c r="J970" s="90"/>
      <c r="K970" s="90"/>
      <c r="L970" s="90"/>
      <c r="M970" s="90"/>
      <c r="N970" s="90"/>
      <c r="O970" s="530"/>
      <c r="P970" s="530"/>
      <c r="Q970" s="530"/>
      <c r="R970" s="530"/>
      <c r="S970" s="530"/>
      <c r="T970" s="530"/>
      <c r="U970" s="530"/>
    </row>
    <row r="971" spans="1:21" ht="9.75" customHeight="1">
      <c r="A971" s="90"/>
      <c r="B971" s="90"/>
      <c r="C971" s="90"/>
      <c r="D971" s="90"/>
      <c r="E971" s="90"/>
      <c r="F971" s="90"/>
      <c r="G971" s="90"/>
      <c r="H971" s="90"/>
      <c r="I971" s="90"/>
      <c r="J971" s="90"/>
      <c r="K971" s="90"/>
      <c r="L971" s="90"/>
      <c r="M971" s="90"/>
      <c r="N971" s="90"/>
      <c r="O971" s="530"/>
      <c r="P971" s="530"/>
      <c r="Q971" s="530"/>
      <c r="R971" s="530"/>
      <c r="S971" s="530"/>
      <c r="T971" s="530"/>
      <c r="U971" s="530"/>
    </row>
    <row r="972" spans="1:21" ht="9.75" customHeight="1">
      <c r="A972" s="90"/>
      <c r="B972" s="90"/>
      <c r="C972" s="90"/>
      <c r="D972" s="90"/>
      <c r="E972" s="90"/>
      <c r="F972" s="90"/>
      <c r="G972" s="90"/>
      <c r="H972" s="90"/>
      <c r="I972" s="90"/>
      <c r="J972" s="90"/>
      <c r="K972" s="90"/>
      <c r="L972" s="90"/>
      <c r="M972" s="90"/>
      <c r="N972" s="90"/>
      <c r="O972" s="530"/>
      <c r="P972" s="530"/>
      <c r="Q972" s="530"/>
      <c r="R972" s="530"/>
      <c r="S972" s="530"/>
      <c r="T972" s="530"/>
      <c r="U972" s="530"/>
    </row>
    <row r="973" spans="1:21" ht="9.75" customHeight="1">
      <c r="A973" s="90"/>
      <c r="B973" s="90"/>
      <c r="C973" s="90"/>
      <c r="D973" s="90"/>
      <c r="E973" s="90"/>
      <c r="F973" s="90"/>
      <c r="G973" s="90"/>
      <c r="H973" s="90"/>
      <c r="I973" s="90"/>
      <c r="J973" s="90"/>
      <c r="K973" s="90"/>
      <c r="L973" s="90"/>
      <c r="M973" s="90"/>
      <c r="N973" s="90"/>
      <c r="O973" s="530"/>
      <c r="P973" s="530"/>
      <c r="Q973" s="530"/>
      <c r="R973" s="530"/>
      <c r="S973" s="530"/>
      <c r="T973" s="530"/>
      <c r="U973" s="530"/>
    </row>
    <row r="974" spans="1:21" ht="9.75" customHeight="1">
      <c r="A974" s="90"/>
      <c r="B974" s="90"/>
      <c r="C974" s="90"/>
      <c r="D974" s="90"/>
      <c r="E974" s="90"/>
      <c r="F974" s="90"/>
      <c r="G974" s="90"/>
      <c r="H974" s="90"/>
      <c r="I974" s="90"/>
      <c r="J974" s="90"/>
      <c r="K974" s="90"/>
      <c r="L974" s="90"/>
      <c r="M974" s="90"/>
      <c r="N974" s="90"/>
      <c r="O974" s="530"/>
      <c r="P974" s="530"/>
      <c r="Q974" s="530"/>
      <c r="R974" s="530"/>
      <c r="S974" s="530"/>
      <c r="T974" s="530"/>
      <c r="U974" s="530"/>
    </row>
    <row r="975" spans="1:21" ht="9.75" customHeight="1">
      <c r="A975" s="90"/>
      <c r="B975" s="90"/>
      <c r="C975" s="90"/>
      <c r="D975" s="90"/>
      <c r="E975" s="90"/>
      <c r="F975" s="90"/>
      <c r="G975" s="90"/>
      <c r="H975" s="90"/>
      <c r="I975" s="90"/>
      <c r="J975" s="90"/>
      <c r="K975" s="90"/>
      <c r="L975" s="90"/>
      <c r="M975" s="90"/>
      <c r="N975" s="90"/>
      <c r="O975" s="530"/>
      <c r="P975" s="530"/>
      <c r="Q975" s="530"/>
      <c r="R975" s="530"/>
      <c r="S975" s="530"/>
      <c r="T975" s="530"/>
      <c r="U975" s="530"/>
    </row>
    <row r="976" spans="1:21" ht="9.75" customHeight="1">
      <c r="A976" s="90"/>
      <c r="B976" s="90"/>
      <c r="C976" s="90"/>
      <c r="D976" s="90"/>
      <c r="E976" s="90"/>
      <c r="F976" s="90"/>
      <c r="G976" s="90"/>
      <c r="H976" s="90"/>
      <c r="I976" s="90"/>
      <c r="J976" s="90"/>
      <c r="K976" s="90"/>
      <c r="L976" s="90"/>
      <c r="M976" s="90"/>
      <c r="N976" s="90"/>
      <c r="O976" s="530"/>
      <c r="P976" s="530"/>
      <c r="Q976" s="530"/>
      <c r="R976" s="530"/>
      <c r="S976" s="530"/>
      <c r="T976" s="530"/>
      <c r="U976" s="530"/>
    </row>
    <row r="977" spans="1:21" ht="9.75" customHeight="1">
      <c r="A977" s="90"/>
      <c r="B977" s="90"/>
      <c r="C977" s="90"/>
      <c r="D977" s="90"/>
      <c r="E977" s="90"/>
      <c r="F977" s="90"/>
      <c r="G977" s="90"/>
      <c r="H977" s="90"/>
      <c r="I977" s="90"/>
      <c r="J977" s="90"/>
      <c r="K977" s="90"/>
      <c r="L977" s="90"/>
      <c r="M977" s="90"/>
      <c r="N977" s="90"/>
      <c r="O977" s="530"/>
      <c r="P977" s="530"/>
      <c r="Q977" s="530"/>
      <c r="R977" s="530"/>
      <c r="S977" s="530"/>
      <c r="T977" s="530"/>
      <c r="U977" s="530"/>
    </row>
    <row r="978" spans="1:21" ht="9.75" customHeight="1">
      <c r="A978" s="90"/>
      <c r="B978" s="90"/>
      <c r="C978" s="90"/>
      <c r="D978" s="90"/>
      <c r="E978" s="90"/>
      <c r="F978" s="90"/>
      <c r="G978" s="90"/>
      <c r="H978" s="90"/>
      <c r="I978" s="90"/>
      <c r="J978" s="90"/>
      <c r="K978" s="90"/>
      <c r="L978" s="90"/>
      <c r="M978" s="90"/>
      <c r="N978" s="90"/>
      <c r="O978" s="530"/>
      <c r="P978" s="530"/>
      <c r="Q978" s="530"/>
      <c r="R978" s="530"/>
      <c r="S978" s="530"/>
      <c r="T978" s="530"/>
      <c r="U978" s="530"/>
    </row>
    <row r="979" spans="1:21" ht="9.75" customHeight="1">
      <c r="A979" s="90"/>
      <c r="B979" s="90"/>
      <c r="C979" s="90"/>
      <c r="D979" s="90"/>
      <c r="E979" s="90"/>
      <c r="F979" s="90"/>
      <c r="G979" s="90"/>
      <c r="H979" s="90"/>
      <c r="I979" s="90"/>
      <c r="J979" s="90"/>
      <c r="K979" s="90"/>
      <c r="L979" s="90"/>
      <c r="M979" s="90"/>
      <c r="N979" s="90"/>
      <c r="O979" s="530"/>
      <c r="P979" s="530"/>
      <c r="Q979" s="530"/>
      <c r="R979" s="530"/>
      <c r="S979" s="530"/>
      <c r="T979" s="530"/>
      <c r="U979" s="530"/>
    </row>
    <row r="980" spans="1:21" ht="9.75" customHeight="1">
      <c r="A980" s="90"/>
      <c r="B980" s="90"/>
      <c r="C980" s="90"/>
      <c r="D980" s="90"/>
      <c r="E980" s="90"/>
      <c r="F980" s="90"/>
      <c r="G980" s="90"/>
      <c r="H980" s="90"/>
      <c r="I980" s="90"/>
      <c r="J980" s="90"/>
      <c r="K980" s="90"/>
      <c r="L980" s="90"/>
      <c r="M980" s="90"/>
      <c r="N980" s="90"/>
      <c r="O980" s="530"/>
      <c r="P980" s="530"/>
      <c r="Q980" s="530"/>
      <c r="R980" s="530"/>
      <c r="S980" s="530"/>
      <c r="T980" s="530"/>
      <c r="U980" s="530"/>
    </row>
    <row r="981" spans="1:21" ht="9.75" customHeight="1">
      <c r="A981" s="90"/>
      <c r="B981" s="90"/>
      <c r="C981" s="90"/>
      <c r="D981" s="90"/>
      <c r="E981" s="90"/>
      <c r="F981" s="90"/>
      <c r="G981" s="90"/>
      <c r="H981" s="90"/>
      <c r="I981" s="90"/>
      <c r="J981" s="90"/>
      <c r="K981" s="90"/>
      <c r="L981" s="90"/>
      <c r="M981" s="90"/>
      <c r="N981" s="90"/>
      <c r="O981" s="530"/>
      <c r="P981" s="530"/>
      <c r="Q981" s="530"/>
      <c r="R981" s="530"/>
      <c r="S981" s="530"/>
      <c r="T981" s="530"/>
      <c r="U981" s="530"/>
    </row>
    <row r="982" spans="1:21" ht="9.75" customHeight="1">
      <c r="A982" s="90"/>
      <c r="B982" s="90"/>
      <c r="C982" s="90"/>
      <c r="D982" s="90"/>
      <c r="E982" s="90"/>
      <c r="F982" s="90"/>
      <c r="G982" s="90"/>
      <c r="H982" s="90"/>
      <c r="I982" s="90"/>
      <c r="J982" s="90"/>
      <c r="K982" s="90"/>
      <c r="L982" s="90"/>
      <c r="M982" s="90"/>
      <c r="N982" s="90"/>
      <c r="O982" s="530"/>
      <c r="P982" s="530"/>
      <c r="Q982" s="530"/>
      <c r="R982" s="530"/>
      <c r="S982" s="530"/>
      <c r="T982" s="530"/>
      <c r="U982" s="530"/>
    </row>
    <row r="983" spans="1:21" ht="9.75" customHeight="1">
      <c r="A983" s="90"/>
      <c r="B983" s="90"/>
      <c r="C983" s="90"/>
      <c r="D983" s="90"/>
      <c r="E983" s="90"/>
      <c r="F983" s="90"/>
      <c r="G983" s="90"/>
      <c r="H983" s="90"/>
      <c r="I983" s="90"/>
      <c r="J983" s="90"/>
      <c r="K983" s="90"/>
      <c r="L983" s="90"/>
      <c r="M983" s="90"/>
      <c r="N983" s="90"/>
      <c r="O983" s="530"/>
      <c r="P983" s="530"/>
      <c r="Q983" s="530"/>
      <c r="R983" s="530"/>
      <c r="S983" s="530"/>
      <c r="T983" s="530"/>
      <c r="U983" s="530"/>
    </row>
    <row r="984" spans="1:21" ht="9.75" customHeight="1">
      <c r="A984" s="90"/>
      <c r="B984" s="90"/>
      <c r="C984" s="90"/>
      <c r="D984" s="90"/>
      <c r="E984" s="90"/>
      <c r="F984" s="90"/>
      <c r="G984" s="90"/>
      <c r="H984" s="90"/>
      <c r="I984" s="90"/>
      <c r="J984" s="90"/>
      <c r="K984" s="90"/>
      <c r="L984" s="90"/>
      <c r="M984" s="90"/>
      <c r="N984" s="90"/>
      <c r="O984" s="530"/>
      <c r="P984" s="530"/>
      <c r="Q984" s="530"/>
      <c r="R984" s="530"/>
      <c r="S984" s="530"/>
      <c r="T984" s="530"/>
      <c r="U984" s="530"/>
    </row>
    <row r="985" spans="1:21" ht="9.75" customHeight="1">
      <c r="A985" s="90"/>
      <c r="B985" s="90"/>
      <c r="C985" s="90"/>
      <c r="D985" s="90"/>
      <c r="E985" s="90"/>
      <c r="F985" s="90"/>
      <c r="G985" s="90"/>
      <c r="H985" s="90"/>
      <c r="I985" s="90"/>
      <c r="J985" s="90"/>
      <c r="K985" s="90"/>
      <c r="L985" s="90"/>
      <c r="M985" s="90"/>
      <c r="N985" s="90"/>
      <c r="O985" s="530"/>
      <c r="P985" s="530"/>
      <c r="Q985" s="530"/>
      <c r="R985" s="530"/>
      <c r="S985" s="530"/>
      <c r="T985" s="530"/>
      <c r="U985" s="530"/>
    </row>
    <row r="986" spans="1:21" ht="9.75" customHeight="1">
      <c r="A986" s="90"/>
      <c r="B986" s="90"/>
      <c r="C986" s="90"/>
      <c r="D986" s="90"/>
      <c r="E986" s="90"/>
      <c r="F986" s="90"/>
      <c r="G986" s="90"/>
      <c r="H986" s="90"/>
      <c r="I986" s="90"/>
      <c r="J986" s="90"/>
      <c r="K986" s="90"/>
      <c r="L986" s="90"/>
      <c r="M986" s="90"/>
      <c r="N986" s="90"/>
      <c r="O986" s="530"/>
      <c r="P986" s="530"/>
      <c r="Q986" s="530"/>
      <c r="R986" s="530"/>
      <c r="S986" s="530"/>
      <c r="T986" s="530"/>
      <c r="U986" s="530"/>
    </row>
    <row r="987" spans="1:21" ht="9.75" customHeight="1">
      <c r="A987" s="90"/>
      <c r="B987" s="90"/>
      <c r="C987" s="90"/>
      <c r="D987" s="90"/>
      <c r="E987" s="90"/>
      <c r="F987" s="90"/>
      <c r="G987" s="90"/>
      <c r="H987" s="90"/>
      <c r="I987" s="90"/>
      <c r="J987" s="90"/>
      <c r="K987" s="90"/>
      <c r="L987" s="90"/>
      <c r="M987" s="90"/>
      <c r="N987" s="90"/>
      <c r="O987" s="530"/>
      <c r="P987" s="530"/>
      <c r="Q987" s="530"/>
      <c r="R987" s="530"/>
      <c r="S987" s="530"/>
      <c r="T987" s="530"/>
      <c r="U987" s="530"/>
    </row>
    <row r="988" spans="1:21" ht="9.75" customHeight="1">
      <c r="A988" s="90"/>
      <c r="B988" s="90"/>
      <c r="C988" s="90"/>
      <c r="D988" s="90"/>
      <c r="E988" s="90"/>
      <c r="F988" s="90"/>
      <c r="G988" s="90"/>
      <c r="H988" s="90"/>
      <c r="I988" s="90"/>
      <c r="J988" s="90"/>
      <c r="K988" s="90"/>
      <c r="L988" s="90"/>
      <c r="M988" s="90"/>
      <c r="N988" s="90"/>
      <c r="O988" s="530"/>
      <c r="P988" s="530"/>
      <c r="Q988" s="530"/>
      <c r="R988" s="530"/>
      <c r="S988" s="530"/>
      <c r="T988" s="530"/>
      <c r="U988" s="530"/>
    </row>
    <row r="989" spans="1:21" ht="9.75" customHeight="1">
      <c r="A989" s="90"/>
      <c r="B989" s="90"/>
      <c r="C989" s="90"/>
      <c r="D989" s="90"/>
      <c r="E989" s="90"/>
      <c r="F989" s="90"/>
      <c r="G989" s="90"/>
      <c r="H989" s="90"/>
      <c r="I989" s="90"/>
      <c r="J989" s="90"/>
      <c r="K989" s="90"/>
      <c r="L989" s="90"/>
      <c r="M989" s="90"/>
      <c r="N989" s="90"/>
      <c r="O989" s="530"/>
      <c r="P989" s="530"/>
      <c r="Q989" s="530"/>
      <c r="R989" s="530"/>
      <c r="S989" s="530"/>
      <c r="T989" s="530"/>
      <c r="U989" s="530"/>
    </row>
    <row r="990" spans="1:21" ht="9.75" customHeight="1">
      <c r="A990" s="90"/>
      <c r="B990" s="90"/>
      <c r="C990" s="90"/>
      <c r="D990" s="90"/>
      <c r="E990" s="90"/>
      <c r="F990" s="90"/>
      <c r="G990" s="90"/>
      <c r="H990" s="90"/>
      <c r="I990" s="90"/>
      <c r="J990" s="90"/>
      <c r="K990" s="90"/>
      <c r="L990" s="90"/>
      <c r="M990" s="90"/>
      <c r="N990" s="90"/>
      <c r="O990" s="530"/>
      <c r="P990" s="530"/>
      <c r="Q990" s="530"/>
      <c r="R990" s="530"/>
      <c r="S990" s="530"/>
      <c r="T990" s="530"/>
      <c r="U990" s="530"/>
    </row>
    <row r="991" spans="1:21" ht="9.75" customHeight="1">
      <c r="A991" s="90"/>
      <c r="B991" s="90"/>
      <c r="C991" s="90"/>
      <c r="D991" s="90"/>
      <c r="E991" s="90"/>
      <c r="F991" s="90"/>
      <c r="G991" s="90"/>
      <c r="H991" s="90"/>
      <c r="I991" s="90"/>
      <c r="J991" s="90"/>
      <c r="K991" s="90"/>
      <c r="L991" s="90"/>
      <c r="M991" s="90"/>
      <c r="N991" s="90"/>
      <c r="O991" s="530"/>
      <c r="P991" s="530"/>
      <c r="Q991" s="530"/>
      <c r="R991" s="530"/>
      <c r="S991" s="530"/>
      <c r="T991" s="530"/>
      <c r="U991" s="530"/>
    </row>
    <row r="992" spans="1:21" ht="9.75" customHeight="1">
      <c r="A992" s="90"/>
      <c r="B992" s="90"/>
      <c r="C992" s="90"/>
      <c r="D992" s="90"/>
      <c r="E992" s="90"/>
      <c r="F992" s="90"/>
      <c r="G992" s="90"/>
      <c r="H992" s="90"/>
      <c r="I992" s="90"/>
      <c r="J992" s="90"/>
      <c r="K992" s="90"/>
      <c r="L992" s="90"/>
      <c r="M992" s="90"/>
      <c r="N992" s="90"/>
      <c r="O992" s="530"/>
      <c r="P992" s="530"/>
      <c r="Q992" s="530"/>
      <c r="R992" s="530"/>
      <c r="S992" s="530"/>
      <c r="T992" s="530"/>
      <c r="U992" s="530"/>
    </row>
    <row r="993" spans="1:21" ht="9.75" customHeight="1">
      <c r="A993" s="90"/>
      <c r="B993" s="90"/>
      <c r="C993" s="90"/>
      <c r="D993" s="90"/>
      <c r="E993" s="90"/>
      <c r="F993" s="90"/>
      <c r="G993" s="90"/>
      <c r="H993" s="90"/>
      <c r="I993" s="90"/>
      <c r="J993" s="90"/>
      <c r="K993" s="90"/>
      <c r="L993" s="90"/>
      <c r="M993" s="90"/>
      <c r="N993" s="90"/>
      <c r="O993" s="530"/>
      <c r="P993" s="530"/>
      <c r="Q993" s="530"/>
      <c r="R993" s="530"/>
      <c r="S993" s="530"/>
      <c r="T993" s="530"/>
      <c r="U993" s="530"/>
    </row>
    <row r="994" spans="1:21" ht="9.75" customHeight="1">
      <c r="A994" s="90"/>
      <c r="B994" s="90"/>
      <c r="C994" s="90"/>
      <c r="D994" s="90"/>
      <c r="E994" s="90"/>
      <c r="F994" s="90"/>
      <c r="G994" s="90"/>
      <c r="H994" s="90"/>
      <c r="I994" s="90"/>
      <c r="J994" s="90"/>
      <c r="K994" s="90"/>
      <c r="L994" s="90"/>
      <c r="M994" s="90"/>
      <c r="N994" s="90"/>
      <c r="O994" s="530"/>
      <c r="P994" s="530"/>
      <c r="Q994" s="530"/>
      <c r="R994" s="530"/>
      <c r="S994" s="530"/>
      <c r="T994" s="530"/>
      <c r="U994" s="530"/>
    </row>
    <row r="995" spans="1:21" ht="9.75" customHeight="1">
      <c r="A995" s="90"/>
      <c r="B995" s="90"/>
      <c r="C995" s="90"/>
      <c r="D995" s="90"/>
      <c r="E995" s="90"/>
      <c r="F995" s="90"/>
      <c r="G995" s="90"/>
      <c r="H995" s="90"/>
      <c r="I995" s="90"/>
      <c r="J995" s="90"/>
      <c r="K995" s="90"/>
      <c r="L995" s="90"/>
      <c r="M995" s="90"/>
      <c r="N995" s="90"/>
      <c r="O995" s="530"/>
      <c r="P995" s="530"/>
      <c r="Q995" s="530"/>
      <c r="R995" s="530"/>
      <c r="S995" s="530"/>
      <c r="T995" s="530"/>
      <c r="U995" s="530"/>
    </row>
    <row r="996" spans="1:21" ht="9.75" customHeight="1">
      <c r="A996" s="90"/>
      <c r="B996" s="90"/>
      <c r="C996" s="90"/>
      <c r="D996" s="90"/>
      <c r="E996" s="90"/>
      <c r="F996" s="90"/>
      <c r="G996" s="90"/>
      <c r="H996" s="90"/>
      <c r="I996" s="90"/>
      <c r="J996" s="90"/>
      <c r="K996" s="90"/>
      <c r="L996" s="90"/>
      <c r="M996" s="90"/>
      <c r="N996" s="90"/>
      <c r="O996" s="530"/>
      <c r="P996" s="530"/>
      <c r="Q996" s="530"/>
      <c r="R996" s="530"/>
      <c r="S996" s="530"/>
      <c r="T996" s="530"/>
      <c r="U996" s="530"/>
    </row>
    <row r="997" spans="1:21" ht="9.75" customHeight="1">
      <c r="A997" s="90"/>
      <c r="B997" s="90"/>
      <c r="C997" s="90"/>
      <c r="D997" s="90"/>
      <c r="E997" s="90"/>
      <c r="F997" s="90"/>
      <c r="G997" s="90"/>
      <c r="H997" s="90"/>
      <c r="I997" s="90"/>
      <c r="J997" s="90"/>
      <c r="K997" s="90"/>
      <c r="L997" s="90"/>
      <c r="M997" s="90"/>
      <c r="N997" s="90"/>
      <c r="O997" s="530"/>
      <c r="P997" s="530"/>
      <c r="Q997" s="530"/>
      <c r="R997" s="530"/>
      <c r="S997" s="530"/>
      <c r="T997" s="530"/>
      <c r="U997" s="530"/>
    </row>
    <row r="998" spans="1:21" ht="9.75" customHeight="1">
      <c r="A998" s="90"/>
      <c r="B998" s="90"/>
      <c r="C998" s="90"/>
      <c r="D998" s="90"/>
      <c r="E998" s="90"/>
      <c r="F998" s="90"/>
      <c r="G998" s="90"/>
      <c r="H998" s="90"/>
      <c r="I998" s="90"/>
      <c r="J998" s="90"/>
      <c r="K998" s="90"/>
      <c r="L998" s="90"/>
      <c r="M998" s="90"/>
      <c r="N998" s="90"/>
      <c r="O998" s="530"/>
      <c r="P998" s="530"/>
      <c r="Q998" s="530"/>
      <c r="R998" s="530"/>
      <c r="S998" s="530"/>
      <c r="T998" s="530"/>
      <c r="U998" s="530"/>
    </row>
    <row r="999" spans="1:21" ht="9.75" customHeight="1">
      <c r="A999" s="90"/>
      <c r="B999" s="90"/>
      <c r="C999" s="90"/>
      <c r="D999" s="90"/>
      <c r="E999" s="90"/>
      <c r="F999" s="90"/>
      <c r="G999" s="90"/>
      <c r="H999" s="90"/>
      <c r="I999" s="90"/>
      <c r="J999" s="90"/>
      <c r="K999" s="90"/>
      <c r="L999" s="90"/>
      <c r="M999" s="90"/>
      <c r="N999" s="90"/>
      <c r="O999" s="530"/>
      <c r="P999" s="530"/>
      <c r="Q999" s="530"/>
      <c r="R999" s="530"/>
      <c r="S999" s="530"/>
      <c r="T999" s="530"/>
      <c r="U999" s="530"/>
    </row>
    <row r="1000" spans="1:21" ht="9.75" customHeight="1">
      <c r="A1000" s="90"/>
      <c r="B1000" s="90"/>
      <c r="C1000" s="90"/>
      <c r="D1000" s="90"/>
      <c r="E1000" s="90"/>
      <c r="F1000" s="90"/>
      <c r="G1000" s="90"/>
      <c r="H1000" s="90"/>
      <c r="I1000" s="90"/>
      <c r="J1000" s="90"/>
      <c r="K1000" s="90"/>
      <c r="L1000" s="90"/>
      <c r="M1000" s="90"/>
      <c r="N1000" s="90"/>
      <c r="O1000" s="530"/>
      <c r="P1000" s="530"/>
      <c r="Q1000" s="530"/>
      <c r="R1000" s="530"/>
      <c r="S1000" s="530"/>
      <c r="T1000" s="530"/>
      <c r="U1000" s="530"/>
    </row>
  </sheetData>
  <sheetProtection algorithmName="SHA-512" hashValue="v/9SAMLKXu9nHos1FqL7Q+RYQY00xHhUk0cFotG+hSmstgQ9+cbrMtjE7s0EGDXAkBE8lFAzGqWyiz6wFBqgoA==" saltValue="OogJwGR0EkgptOsG0Gn4qQ==" spinCount="100000" sheet="1" objects="1" scenarios="1"/>
  <mergeCells count="2">
    <mergeCell ref="B22:I22"/>
    <mergeCell ref="B2:M2"/>
  </mergeCells>
  <pageMargins left="0.75" right="0.75" top="1" bottom="1" header="0" footer="0"/>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7CAAC"/>
  </sheetPr>
  <dimension ref="A1:Z1003"/>
  <sheetViews>
    <sheetView showGridLines="0" workbookViewId="0">
      <selection activeCell="C31" sqref="C31"/>
    </sheetView>
  </sheetViews>
  <sheetFormatPr defaultColWidth="16.7109375" defaultRowHeight="15" customHeight="1"/>
  <cols>
    <col min="1" max="1" width="2.28515625" customWidth="1"/>
    <col min="2" max="2" width="17.7109375" customWidth="1"/>
    <col min="3" max="3" width="28" customWidth="1"/>
    <col min="4" max="4" width="23.7109375" customWidth="1"/>
    <col min="5" max="5" width="16.7109375" customWidth="1"/>
    <col min="6" max="6" width="15.7109375" customWidth="1"/>
    <col min="7" max="7" width="3.7109375" customWidth="1"/>
    <col min="8" max="8" width="31.7109375" customWidth="1"/>
    <col min="9" max="26" width="10.28515625" customWidth="1"/>
  </cols>
  <sheetData>
    <row r="1" spans="1:26" ht="6.75" customHeight="1">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9.75" customHeight="1">
      <c r="A2" s="63"/>
      <c r="B2" s="63"/>
      <c r="C2" s="63"/>
      <c r="D2" s="63"/>
      <c r="E2" s="63"/>
      <c r="F2" s="292"/>
      <c r="G2" s="63"/>
      <c r="H2" s="90"/>
      <c r="I2" s="63"/>
      <c r="J2" s="63"/>
      <c r="K2" s="63"/>
      <c r="L2" s="63"/>
      <c r="M2" s="63"/>
      <c r="N2" s="63"/>
      <c r="O2" s="63"/>
      <c r="P2" s="63"/>
      <c r="Q2" s="63"/>
      <c r="R2" s="63"/>
      <c r="S2" s="63"/>
      <c r="T2" s="63"/>
      <c r="U2" s="63"/>
      <c r="V2" s="63"/>
      <c r="W2" s="63"/>
      <c r="X2" s="63"/>
      <c r="Y2" s="63"/>
      <c r="Z2" s="63"/>
    </row>
    <row r="3" spans="1:26" ht="9.75" customHeight="1">
      <c r="A3" s="63"/>
      <c r="B3" s="510" t="s">
        <v>457</v>
      </c>
      <c r="C3" s="511"/>
      <c r="D3" s="511"/>
      <c r="E3" s="511"/>
      <c r="F3" s="512"/>
      <c r="G3" s="63"/>
      <c r="H3" s="90"/>
      <c r="I3" s="63"/>
      <c r="J3" s="63"/>
      <c r="K3" s="63"/>
      <c r="L3" s="63"/>
      <c r="M3" s="63"/>
      <c r="N3" s="63"/>
      <c r="O3" s="63"/>
      <c r="P3" s="63"/>
      <c r="Q3" s="63"/>
      <c r="R3" s="63"/>
      <c r="S3" s="63"/>
      <c r="T3" s="63"/>
      <c r="U3" s="63"/>
      <c r="V3" s="63"/>
      <c r="W3" s="63"/>
      <c r="X3" s="63"/>
      <c r="Y3" s="63"/>
      <c r="Z3" s="63"/>
    </row>
    <row r="4" spans="1:26" ht="9.75" customHeight="1">
      <c r="A4" s="63"/>
      <c r="B4" s="293" t="s">
        <v>458</v>
      </c>
      <c r="C4" s="294"/>
      <c r="D4" s="295"/>
      <c r="E4" s="296" t="s">
        <v>459</v>
      </c>
      <c r="F4" s="297"/>
      <c r="G4" s="63"/>
      <c r="H4" s="90"/>
      <c r="I4" s="63"/>
      <c r="J4" s="63"/>
      <c r="K4" s="63"/>
      <c r="L4" s="63"/>
      <c r="M4" s="63"/>
      <c r="N4" s="63"/>
      <c r="O4" s="63"/>
      <c r="P4" s="63"/>
      <c r="Q4" s="63"/>
      <c r="R4" s="63"/>
      <c r="S4" s="63"/>
      <c r="T4" s="63"/>
      <c r="U4" s="63"/>
      <c r="V4" s="63"/>
      <c r="W4" s="63"/>
      <c r="X4" s="63"/>
      <c r="Y4" s="63"/>
      <c r="Z4" s="63"/>
    </row>
    <row r="5" spans="1:26" ht="9.75" hidden="1" customHeight="1">
      <c r="A5" s="63"/>
      <c r="B5" s="298" t="s">
        <v>460</v>
      </c>
      <c r="C5" s="299"/>
      <c r="D5" s="300"/>
      <c r="E5" s="301" t="e">
        <f t="shared" ref="E5:F5" si="0">#REF!</f>
        <v>#REF!</v>
      </c>
      <c r="F5" s="302" t="e">
        <f t="shared" si="0"/>
        <v>#REF!</v>
      </c>
      <c r="G5" s="63"/>
      <c r="H5" s="90"/>
      <c r="I5" s="63"/>
      <c r="J5" s="63"/>
      <c r="K5" s="63"/>
      <c r="L5" s="63"/>
      <c r="M5" s="63"/>
      <c r="N5" s="63"/>
      <c r="O5" s="63"/>
      <c r="P5" s="63"/>
      <c r="Q5" s="63"/>
      <c r="R5" s="63"/>
      <c r="S5" s="63"/>
      <c r="T5" s="63"/>
      <c r="U5" s="63"/>
      <c r="V5" s="63"/>
      <c r="W5" s="63"/>
      <c r="X5" s="63"/>
      <c r="Y5" s="63"/>
      <c r="Z5" s="63"/>
    </row>
    <row r="6" spans="1:26" ht="9.75" hidden="1" customHeight="1">
      <c r="A6" s="63"/>
      <c r="B6" s="298" t="s">
        <v>461</v>
      </c>
      <c r="C6" s="303"/>
      <c r="D6" s="303"/>
      <c r="E6" s="304" t="e">
        <f t="shared" ref="E6:F6" si="1">#REF!</f>
        <v>#REF!</v>
      </c>
      <c r="F6" s="305" t="e">
        <f t="shared" si="1"/>
        <v>#REF!</v>
      </c>
      <c r="G6" s="63"/>
      <c r="H6" s="76"/>
      <c r="I6" s="63"/>
      <c r="J6" s="63"/>
      <c r="K6" s="63"/>
      <c r="L6" s="63"/>
      <c r="M6" s="63"/>
      <c r="N6" s="63"/>
      <c r="O6" s="63"/>
      <c r="P6" s="63"/>
      <c r="Q6" s="63"/>
      <c r="R6" s="63"/>
      <c r="S6" s="63"/>
      <c r="T6" s="63"/>
      <c r="U6" s="63"/>
      <c r="V6" s="63"/>
      <c r="W6" s="63"/>
      <c r="X6" s="63"/>
      <c r="Y6" s="63"/>
      <c r="Z6" s="63"/>
    </row>
    <row r="7" spans="1:26" ht="9.75" hidden="1" customHeight="1">
      <c r="A7" s="63"/>
      <c r="B7" s="298" t="s">
        <v>462</v>
      </c>
      <c r="C7" s="303"/>
      <c r="D7" s="303"/>
      <c r="E7" s="301"/>
      <c r="F7" s="306"/>
      <c r="G7" s="63"/>
      <c r="H7" s="81"/>
      <c r="I7" s="63"/>
      <c r="J7" s="63"/>
      <c r="K7" s="63"/>
      <c r="L7" s="63"/>
      <c r="M7" s="63"/>
      <c r="N7" s="63"/>
      <c r="O7" s="63"/>
      <c r="P7" s="63"/>
      <c r="Q7" s="63"/>
      <c r="R7" s="63"/>
      <c r="S7" s="63"/>
      <c r="T7" s="63"/>
      <c r="U7" s="63"/>
      <c r="V7" s="63"/>
      <c r="W7" s="63"/>
      <c r="X7" s="63"/>
      <c r="Y7" s="63"/>
      <c r="Z7" s="63"/>
    </row>
    <row r="8" spans="1:26" ht="13.5" customHeight="1">
      <c r="A8" s="63"/>
      <c r="B8" s="307"/>
      <c r="C8" s="308" t="s">
        <v>463</v>
      </c>
      <c r="D8" s="308"/>
      <c r="E8" s="308"/>
      <c r="F8" s="309"/>
      <c r="G8" s="63"/>
      <c r="H8" s="509"/>
      <c r="I8" s="63"/>
      <c r="J8" s="63"/>
      <c r="K8" s="63"/>
      <c r="L8" s="63"/>
      <c r="M8" s="63"/>
      <c r="N8" s="63"/>
      <c r="O8" s="63"/>
      <c r="P8" s="63"/>
      <c r="Q8" s="63"/>
      <c r="R8" s="63"/>
      <c r="S8" s="63"/>
      <c r="T8" s="63"/>
      <c r="U8" s="63"/>
      <c r="V8" s="63"/>
      <c r="W8" s="63"/>
      <c r="X8" s="63"/>
      <c r="Y8" s="63"/>
      <c r="Z8" s="63"/>
    </row>
    <row r="9" spans="1:26" ht="11.25" customHeight="1">
      <c r="A9" s="63"/>
      <c r="B9" s="63"/>
      <c r="C9" s="63"/>
      <c r="D9" s="63"/>
      <c r="E9" s="63"/>
      <c r="F9" s="63"/>
      <c r="G9" s="63"/>
      <c r="H9" s="509"/>
      <c r="I9" s="63"/>
      <c r="J9" s="63"/>
      <c r="K9" s="63"/>
      <c r="L9" s="63"/>
      <c r="M9" s="63"/>
      <c r="N9" s="63"/>
      <c r="O9" s="63"/>
      <c r="P9" s="63"/>
      <c r="Q9" s="63"/>
      <c r="R9" s="63"/>
      <c r="S9" s="63"/>
      <c r="T9" s="63"/>
      <c r="U9" s="63"/>
      <c r="V9" s="63"/>
      <c r="W9" s="63"/>
      <c r="X9" s="63"/>
      <c r="Y9" s="63"/>
      <c r="Z9" s="63"/>
    </row>
    <row r="10" spans="1:26" ht="9.75" customHeight="1">
      <c r="A10" s="63"/>
      <c r="B10" s="770" t="s">
        <v>464</v>
      </c>
      <c r="C10" s="771"/>
      <c r="D10" s="771"/>
      <c r="E10" s="771"/>
      <c r="F10" s="771"/>
      <c r="G10" s="63"/>
      <c r="H10" s="81"/>
      <c r="I10" s="63"/>
      <c r="J10" s="63"/>
      <c r="K10" s="63"/>
      <c r="L10" s="63"/>
      <c r="M10" s="63"/>
      <c r="N10" s="63"/>
      <c r="O10" s="63"/>
      <c r="P10" s="63"/>
      <c r="Q10" s="63"/>
      <c r="R10" s="63"/>
      <c r="S10" s="63"/>
      <c r="T10" s="63"/>
      <c r="U10" s="63"/>
      <c r="V10" s="63"/>
      <c r="W10" s="63"/>
      <c r="X10" s="63"/>
      <c r="Y10" s="63"/>
      <c r="Z10" s="63"/>
    </row>
    <row r="11" spans="1:26" ht="11.25" customHeight="1">
      <c r="A11" s="63"/>
      <c r="B11" s="310"/>
      <c r="C11" s="63"/>
      <c r="D11" s="116"/>
      <c r="E11" s="63"/>
      <c r="F11" s="63"/>
      <c r="G11" s="63"/>
      <c r="H11" s="81"/>
      <c r="I11" s="63"/>
      <c r="J11" s="63"/>
      <c r="K11" s="63"/>
      <c r="L11" s="63"/>
      <c r="M11" s="63"/>
      <c r="N11" s="63"/>
      <c r="O11" s="63"/>
      <c r="P11" s="63"/>
      <c r="Q11" s="63"/>
      <c r="R11" s="63"/>
      <c r="S11" s="63"/>
      <c r="T11" s="63"/>
      <c r="U11" s="63"/>
      <c r="V11" s="63"/>
      <c r="W11" s="63"/>
      <c r="X11" s="63"/>
      <c r="Y11" s="63"/>
      <c r="Z11" s="63"/>
    </row>
    <row r="12" spans="1:26" ht="9.75" customHeight="1">
      <c r="A12" s="63"/>
      <c r="B12" s="311" t="s">
        <v>465</v>
      </c>
      <c r="C12" s="312"/>
      <c r="D12" s="312"/>
      <c r="E12" s="312"/>
      <c r="F12" s="312"/>
      <c r="G12" s="63"/>
      <c r="H12" s="81"/>
      <c r="I12" s="63"/>
      <c r="J12" s="63"/>
      <c r="K12" s="63"/>
      <c r="L12" s="63"/>
      <c r="M12" s="63"/>
      <c r="N12" s="63"/>
      <c r="O12" s="63"/>
      <c r="P12" s="63"/>
      <c r="Q12" s="63"/>
      <c r="R12" s="63"/>
      <c r="S12" s="63"/>
      <c r="T12" s="63"/>
      <c r="U12" s="63"/>
      <c r="V12" s="63"/>
      <c r="W12" s="63"/>
      <c r="X12" s="63"/>
      <c r="Y12" s="63"/>
      <c r="Z12" s="63"/>
    </row>
    <row r="13" spans="1:26" ht="9.75" hidden="1" customHeight="1">
      <c r="A13" s="63"/>
      <c r="B13" s="772" t="s">
        <v>466</v>
      </c>
      <c r="C13" s="774" t="s">
        <v>467</v>
      </c>
      <c r="D13" s="777" t="s">
        <v>468</v>
      </c>
      <c r="E13" s="777" t="s">
        <v>469</v>
      </c>
      <c r="F13" s="777" t="s">
        <v>470</v>
      </c>
      <c r="G13" s="63"/>
      <c r="H13" s="509"/>
      <c r="I13" s="63"/>
      <c r="J13" s="63"/>
      <c r="K13" s="63"/>
      <c r="L13" s="63"/>
      <c r="M13" s="63"/>
      <c r="N13" s="63"/>
      <c r="O13" s="63"/>
      <c r="P13" s="63"/>
      <c r="Q13" s="63"/>
      <c r="R13" s="63"/>
      <c r="S13" s="63"/>
      <c r="T13" s="63"/>
      <c r="U13" s="63"/>
      <c r="V13" s="63"/>
      <c r="W13" s="63"/>
      <c r="X13" s="63"/>
      <c r="Y13" s="63"/>
      <c r="Z13" s="63"/>
    </row>
    <row r="14" spans="1:26" ht="9.75" hidden="1" customHeight="1">
      <c r="A14" s="63"/>
      <c r="B14" s="773"/>
      <c r="C14" s="775"/>
      <c r="D14" s="778"/>
      <c r="E14" s="778"/>
      <c r="F14" s="778"/>
      <c r="G14" s="63"/>
      <c r="H14" s="81"/>
      <c r="I14" s="63"/>
      <c r="J14" s="63"/>
      <c r="K14" s="63"/>
      <c r="L14" s="63"/>
      <c r="M14" s="63"/>
      <c r="N14" s="63"/>
      <c r="O14" s="63"/>
      <c r="P14" s="63"/>
      <c r="Q14" s="63"/>
      <c r="R14" s="63"/>
      <c r="S14" s="63"/>
      <c r="T14" s="63"/>
      <c r="U14" s="63"/>
      <c r="V14" s="63"/>
      <c r="W14" s="63"/>
      <c r="X14" s="63"/>
      <c r="Y14" s="63"/>
      <c r="Z14" s="63"/>
    </row>
    <row r="15" spans="1:26" ht="9.75" hidden="1" customHeight="1">
      <c r="A15" s="63"/>
      <c r="B15" s="773"/>
      <c r="C15" s="775"/>
      <c r="D15" s="778"/>
      <c r="E15" s="778"/>
      <c r="F15" s="778"/>
      <c r="G15" s="63"/>
      <c r="H15" s="509"/>
      <c r="I15" s="63"/>
      <c r="J15" s="63"/>
      <c r="K15" s="63"/>
      <c r="L15" s="63"/>
      <c r="M15" s="63"/>
      <c r="N15" s="63"/>
      <c r="O15" s="63"/>
      <c r="P15" s="63"/>
      <c r="Q15" s="63"/>
      <c r="R15" s="63"/>
      <c r="S15" s="63"/>
      <c r="T15" s="63"/>
      <c r="U15" s="63"/>
      <c r="V15" s="63"/>
      <c r="W15" s="63"/>
      <c r="X15" s="63"/>
      <c r="Y15" s="63"/>
      <c r="Z15" s="63"/>
    </row>
    <row r="16" spans="1:26" ht="9.75" hidden="1" customHeight="1">
      <c r="A16" s="63"/>
      <c r="B16" s="773"/>
      <c r="C16" s="776"/>
      <c r="D16" s="779"/>
      <c r="E16" s="779"/>
      <c r="F16" s="779"/>
      <c r="G16" s="63"/>
      <c r="H16" s="90"/>
      <c r="I16" s="63"/>
      <c r="J16" s="63"/>
      <c r="K16" s="63"/>
      <c r="L16" s="63"/>
      <c r="M16" s="63"/>
      <c r="N16" s="63"/>
      <c r="O16" s="63"/>
      <c r="P16" s="63"/>
      <c r="Q16" s="63"/>
      <c r="R16" s="63"/>
      <c r="S16" s="63"/>
      <c r="T16" s="63"/>
      <c r="U16" s="63"/>
      <c r="V16" s="63"/>
      <c r="W16" s="63"/>
      <c r="X16" s="63"/>
      <c r="Y16" s="63"/>
      <c r="Z16" s="63"/>
    </row>
    <row r="17" spans="1:26" ht="9.75" customHeight="1">
      <c r="A17" s="63"/>
      <c r="B17" s="313"/>
      <c r="C17" s="513" t="s">
        <v>471</v>
      </c>
      <c r="D17" s="314" t="s">
        <v>471</v>
      </c>
      <c r="E17" s="315" t="s">
        <v>471</v>
      </c>
      <c r="F17" s="315" t="s">
        <v>381</v>
      </c>
      <c r="G17" s="63"/>
      <c r="H17" s="91"/>
      <c r="I17" s="63"/>
      <c r="J17" s="63"/>
      <c r="K17" s="63"/>
      <c r="L17" s="63"/>
      <c r="M17" s="63"/>
      <c r="N17" s="63"/>
      <c r="O17" s="63"/>
      <c r="P17" s="63"/>
      <c r="Q17" s="63"/>
      <c r="R17" s="63"/>
      <c r="S17" s="63"/>
      <c r="T17" s="63"/>
      <c r="U17" s="63"/>
      <c r="V17" s="63"/>
      <c r="W17" s="63"/>
      <c r="X17" s="63"/>
      <c r="Y17" s="63"/>
      <c r="Z17" s="63"/>
    </row>
    <row r="18" spans="1:26" ht="9.75" customHeight="1">
      <c r="A18" s="63"/>
      <c r="B18" s="311"/>
      <c r="C18" s="316" t="s">
        <v>472</v>
      </c>
      <c r="D18" s="317" t="s">
        <v>473</v>
      </c>
      <c r="E18" s="318" t="s">
        <v>474</v>
      </c>
      <c r="F18" s="318" t="s">
        <v>475</v>
      </c>
      <c r="G18" s="63"/>
      <c r="H18" s="509"/>
      <c r="I18" s="63"/>
      <c r="J18" s="63"/>
      <c r="K18" s="63"/>
      <c r="L18" s="63"/>
      <c r="M18" s="63"/>
      <c r="N18" s="63"/>
      <c r="O18" s="63"/>
      <c r="P18" s="63"/>
      <c r="Q18" s="63"/>
      <c r="R18" s="63"/>
      <c r="S18" s="63"/>
      <c r="T18" s="63"/>
      <c r="U18" s="63"/>
      <c r="V18" s="63"/>
      <c r="W18" s="63"/>
      <c r="X18" s="63"/>
      <c r="Y18" s="63"/>
      <c r="Z18" s="63"/>
    </row>
    <row r="19" spans="1:26" ht="9.75" customHeight="1">
      <c r="A19" s="63"/>
      <c r="B19" s="578" t="s">
        <v>476</v>
      </c>
      <c r="C19" s="319">
        <v>0</v>
      </c>
      <c r="D19" s="319">
        <v>0</v>
      </c>
      <c r="E19" s="319">
        <v>0</v>
      </c>
      <c r="F19" s="320">
        <f t="shared" ref="F19:F31" si="2">IF(D19&gt;0,E19/D19,0)</f>
        <v>0</v>
      </c>
      <c r="G19" s="63"/>
      <c r="H19" s="509"/>
      <c r="I19" s="63"/>
      <c r="J19" s="63"/>
      <c r="K19" s="63"/>
      <c r="L19" s="63"/>
      <c r="M19" s="63"/>
      <c r="N19" s="63"/>
      <c r="O19" s="63"/>
      <c r="P19" s="63"/>
      <c r="Q19" s="63"/>
      <c r="R19" s="63"/>
      <c r="S19" s="63"/>
      <c r="T19" s="63"/>
      <c r="U19" s="63"/>
      <c r="V19" s="63"/>
      <c r="W19" s="63"/>
      <c r="X19" s="63"/>
      <c r="Y19" s="63"/>
      <c r="Z19" s="63"/>
    </row>
    <row r="20" spans="1:26" ht="9.75" customHeight="1">
      <c r="A20" s="63"/>
      <c r="B20" s="579" t="s">
        <v>477</v>
      </c>
      <c r="C20" s="321">
        <v>0</v>
      </c>
      <c r="D20" s="321">
        <v>0</v>
      </c>
      <c r="E20" s="321">
        <v>0</v>
      </c>
      <c r="F20" s="322">
        <f t="shared" si="2"/>
        <v>0</v>
      </c>
      <c r="G20" s="63"/>
      <c r="H20" s="509"/>
      <c r="I20" s="63"/>
      <c r="J20" s="63"/>
      <c r="K20" s="63"/>
      <c r="L20" s="63"/>
      <c r="M20" s="63"/>
      <c r="N20" s="63"/>
      <c r="O20" s="63"/>
      <c r="P20" s="63"/>
      <c r="Q20" s="63"/>
      <c r="R20" s="63"/>
      <c r="S20" s="63"/>
      <c r="T20" s="63"/>
      <c r="U20" s="63"/>
      <c r="V20" s="63"/>
      <c r="W20" s="63"/>
      <c r="X20" s="63"/>
      <c r="Y20" s="63"/>
      <c r="Z20" s="63"/>
    </row>
    <row r="21" spans="1:26" ht="9.75" customHeight="1">
      <c r="A21" s="63"/>
      <c r="B21" s="579" t="s">
        <v>478</v>
      </c>
      <c r="C21" s="321">
        <v>0</v>
      </c>
      <c r="D21" s="321">
        <v>0</v>
      </c>
      <c r="E21" s="321">
        <v>0</v>
      </c>
      <c r="F21" s="322">
        <f t="shared" si="2"/>
        <v>0</v>
      </c>
      <c r="G21" s="63"/>
      <c r="H21" s="509"/>
      <c r="I21" s="63"/>
      <c r="J21" s="63"/>
      <c r="K21" s="63"/>
      <c r="L21" s="63"/>
      <c r="M21" s="63"/>
      <c r="N21" s="63"/>
      <c r="O21" s="63"/>
      <c r="P21" s="63"/>
      <c r="Q21" s="63"/>
      <c r="R21" s="63"/>
      <c r="S21" s="63"/>
      <c r="T21" s="63"/>
      <c r="U21" s="63"/>
      <c r="V21" s="63"/>
      <c r="W21" s="63"/>
      <c r="X21" s="63"/>
      <c r="Y21" s="63"/>
      <c r="Z21" s="63"/>
    </row>
    <row r="22" spans="1:26" ht="9.75" customHeight="1">
      <c r="A22" s="63"/>
      <c r="B22" s="579" t="s">
        <v>479</v>
      </c>
      <c r="C22" s="323">
        <v>0</v>
      </c>
      <c r="D22" s="323">
        <v>0</v>
      </c>
      <c r="E22" s="323">
        <v>0</v>
      </c>
      <c r="F22" s="324">
        <f t="shared" si="2"/>
        <v>0</v>
      </c>
      <c r="G22" s="63"/>
      <c r="H22" s="509"/>
      <c r="I22" s="63"/>
      <c r="J22" s="63"/>
      <c r="K22" s="63"/>
      <c r="L22" s="63"/>
      <c r="M22" s="63"/>
      <c r="N22" s="63"/>
      <c r="O22" s="63"/>
      <c r="P22" s="63"/>
      <c r="Q22" s="63"/>
      <c r="R22" s="63"/>
      <c r="S22" s="63"/>
      <c r="T22" s="63"/>
      <c r="U22" s="63"/>
      <c r="V22" s="63"/>
      <c r="W22" s="63"/>
      <c r="X22" s="63"/>
      <c r="Y22" s="63"/>
      <c r="Z22" s="63"/>
    </row>
    <row r="23" spans="1:26" ht="9.75" customHeight="1">
      <c r="A23" s="63"/>
      <c r="B23" s="579" t="s">
        <v>480</v>
      </c>
      <c r="C23" s="321">
        <f>Input!C68</f>
        <v>32653.200000000001</v>
      </c>
      <c r="D23" s="321">
        <f>Input!D68</f>
        <v>16326.6</v>
      </c>
      <c r="E23" s="321">
        <f>Input!E68</f>
        <v>4800.0203999999994</v>
      </c>
      <c r="F23" s="322">
        <f>IF(D23&gt;0,E23/D23,0)</f>
        <v>0.29399999999999998</v>
      </c>
      <c r="G23" s="63"/>
      <c r="H23" s="509"/>
      <c r="I23" s="63"/>
      <c r="J23" s="63"/>
      <c r="K23" s="63"/>
      <c r="L23" s="63"/>
      <c r="M23" s="63"/>
      <c r="N23" s="63"/>
      <c r="O23" s="63"/>
      <c r="P23" s="63"/>
      <c r="Q23" s="63"/>
      <c r="R23" s="63"/>
      <c r="S23" s="63"/>
      <c r="T23" s="63"/>
      <c r="U23" s="63"/>
      <c r="V23" s="63"/>
      <c r="W23" s="63"/>
      <c r="X23" s="63"/>
      <c r="Y23" s="63"/>
      <c r="Z23" s="63"/>
    </row>
    <row r="24" spans="1:26" ht="9.75" customHeight="1">
      <c r="A24" s="63"/>
      <c r="B24" s="579" t="s">
        <v>42</v>
      </c>
      <c r="C24" s="323">
        <f>Input!C70</f>
        <v>4761.8</v>
      </c>
      <c r="D24" s="323">
        <f>Input!D70</f>
        <v>0</v>
      </c>
      <c r="E24" s="323">
        <f>Input!E70</f>
        <v>0</v>
      </c>
      <c r="F24" s="324">
        <f t="shared" si="2"/>
        <v>0</v>
      </c>
      <c r="G24" s="63"/>
      <c r="H24" s="509"/>
      <c r="I24" s="63"/>
      <c r="J24" s="63"/>
      <c r="K24" s="63"/>
      <c r="L24" s="63"/>
      <c r="M24" s="63"/>
      <c r="N24" s="63"/>
      <c r="O24" s="63"/>
      <c r="P24" s="63"/>
      <c r="Q24" s="63"/>
      <c r="R24" s="63"/>
      <c r="S24" s="63"/>
      <c r="T24" s="63"/>
      <c r="U24" s="63"/>
      <c r="V24" s="63"/>
      <c r="W24" s="63"/>
      <c r="X24" s="63"/>
      <c r="Y24" s="63"/>
      <c r="Z24" s="63"/>
    </row>
    <row r="25" spans="1:26" ht="9.75" customHeight="1">
      <c r="A25" s="63"/>
      <c r="B25" s="579" t="s">
        <v>363</v>
      </c>
      <c r="C25" s="321">
        <f>Input!C71</f>
        <v>0</v>
      </c>
      <c r="D25" s="321">
        <f>Input!D71</f>
        <v>0</v>
      </c>
      <c r="E25" s="321">
        <f>Input!E71</f>
        <v>0</v>
      </c>
      <c r="F25" s="322">
        <f t="shared" si="2"/>
        <v>0</v>
      </c>
      <c r="G25" s="63"/>
      <c r="H25" s="509"/>
      <c r="I25" s="63"/>
      <c r="J25" s="63"/>
      <c r="K25" s="63"/>
      <c r="L25" s="63"/>
      <c r="M25" s="63"/>
      <c r="N25" s="63"/>
      <c r="O25" s="63"/>
      <c r="P25" s="63"/>
      <c r="Q25" s="63"/>
      <c r="R25" s="63"/>
      <c r="S25" s="63"/>
      <c r="T25" s="63"/>
      <c r="U25" s="63"/>
      <c r="V25" s="63"/>
      <c r="W25" s="63"/>
      <c r="X25" s="63"/>
      <c r="Y25" s="63"/>
      <c r="Z25" s="63"/>
    </row>
    <row r="26" spans="1:26" ht="11.25" customHeight="1">
      <c r="A26" s="63"/>
      <c r="B26" s="580" t="s">
        <v>481</v>
      </c>
      <c r="C26" s="321">
        <v>0</v>
      </c>
      <c r="D26" s="321">
        <v>0</v>
      </c>
      <c r="E26" s="321">
        <v>0</v>
      </c>
      <c r="F26" s="322">
        <f t="shared" si="2"/>
        <v>0</v>
      </c>
      <c r="G26" s="63"/>
      <c r="H26" s="509"/>
      <c r="I26" s="63"/>
      <c r="J26" s="63"/>
      <c r="K26" s="63"/>
      <c r="L26" s="63"/>
      <c r="M26" s="63"/>
      <c r="N26" s="63"/>
      <c r="O26" s="63"/>
      <c r="P26" s="63"/>
      <c r="Q26" s="63"/>
      <c r="R26" s="63"/>
      <c r="S26" s="63"/>
      <c r="T26" s="63"/>
      <c r="U26" s="63"/>
      <c r="V26" s="63"/>
      <c r="W26" s="63"/>
      <c r="X26" s="63"/>
      <c r="Y26" s="63"/>
      <c r="Z26" s="63"/>
    </row>
    <row r="27" spans="1:26" ht="11.25" customHeight="1">
      <c r="A27" s="63"/>
      <c r="B27" s="580" t="s">
        <v>476</v>
      </c>
      <c r="C27" s="321">
        <f>Input!C69</f>
        <v>131632.6</v>
      </c>
      <c r="D27" s="321">
        <f>Input!D69</f>
        <v>122449</v>
      </c>
      <c r="E27" s="321">
        <f>Input!E69</f>
        <v>61346.949000000001</v>
      </c>
      <c r="F27" s="322">
        <f t="shared" si="2"/>
        <v>0.501</v>
      </c>
      <c r="G27" s="63"/>
      <c r="H27" s="509"/>
      <c r="I27" s="63"/>
      <c r="J27" s="63"/>
      <c r="K27" s="63"/>
      <c r="L27" s="63"/>
      <c r="M27" s="63"/>
      <c r="N27" s="63"/>
      <c r="O27" s="63"/>
      <c r="P27" s="63"/>
      <c r="Q27" s="63"/>
      <c r="R27" s="63"/>
      <c r="S27" s="63"/>
      <c r="T27" s="63"/>
      <c r="U27" s="63"/>
      <c r="V27" s="63"/>
      <c r="W27" s="63"/>
      <c r="X27" s="63"/>
      <c r="Y27" s="63"/>
      <c r="Z27" s="63"/>
    </row>
    <row r="28" spans="1:26" ht="11.25" customHeight="1">
      <c r="A28" s="63"/>
      <c r="B28" s="580" t="s">
        <v>43</v>
      </c>
      <c r="C28" s="321">
        <f>Input!C72</f>
        <v>24830.1</v>
      </c>
      <c r="D28" s="321">
        <f>Input!D72</f>
        <v>0</v>
      </c>
      <c r="E28" s="321">
        <f>Input!E72</f>
        <v>0</v>
      </c>
      <c r="F28" s="577">
        <f t="shared" si="2"/>
        <v>0</v>
      </c>
      <c r="G28" s="63"/>
      <c r="H28" s="509"/>
      <c r="I28" s="63"/>
      <c r="J28" s="63"/>
      <c r="K28" s="63"/>
      <c r="L28" s="63"/>
      <c r="M28" s="63"/>
      <c r="N28" s="63"/>
      <c r="O28" s="63"/>
      <c r="P28" s="63"/>
      <c r="Q28" s="63"/>
      <c r="R28" s="63"/>
      <c r="S28" s="63"/>
      <c r="T28" s="63"/>
      <c r="U28" s="63"/>
      <c r="V28" s="63"/>
      <c r="W28" s="63"/>
      <c r="X28" s="63"/>
      <c r="Y28" s="63"/>
      <c r="Z28" s="63"/>
    </row>
    <row r="29" spans="1:26" ht="11.25" customHeight="1">
      <c r="A29" s="63"/>
      <c r="B29" s="579" t="s">
        <v>1403</v>
      </c>
      <c r="C29" s="323">
        <f>Input!C73</f>
        <v>0</v>
      </c>
      <c r="D29" s="323">
        <f>Input!D73</f>
        <v>0</v>
      </c>
      <c r="E29" s="576">
        <f>Input!E73</f>
        <v>0</v>
      </c>
      <c r="F29" s="577">
        <f t="shared" si="2"/>
        <v>0</v>
      </c>
      <c r="G29" s="63"/>
      <c r="H29" s="509"/>
      <c r="I29" s="63"/>
      <c r="J29" s="63"/>
      <c r="K29" s="63"/>
      <c r="L29" s="63"/>
      <c r="M29" s="63"/>
      <c r="N29" s="63"/>
      <c r="O29" s="63"/>
      <c r="P29" s="63"/>
      <c r="Q29" s="63"/>
      <c r="R29" s="63"/>
      <c r="S29" s="63"/>
      <c r="T29" s="63"/>
      <c r="U29" s="63"/>
      <c r="V29" s="63"/>
      <c r="W29" s="63"/>
      <c r="X29" s="63"/>
      <c r="Y29" s="63"/>
      <c r="Z29" s="63"/>
    </row>
    <row r="30" spans="1:26" ht="11.25" customHeight="1">
      <c r="A30" s="63"/>
      <c r="B30" s="581" t="s">
        <v>1404</v>
      </c>
      <c r="C30" s="323">
        <f>Input!C74</f>
        <v>0</v>
      </c>
      <c r="D30" s="323">
        <f>Input!D74</f>
        <v>0</v>
      </c>
      <c r="E30" s="576">
        <f>Input!E74</f>
        <v>0</v>
      </c>
      <c r="F30" s="577">
        <f t="shared" si="2"/>
        <v>0</v>
      </c>
      <c r="G30" s="63"/>
      <c r="H30" s="509"/>
      <c r="I30" s="63"/>
      <c r="J30" s="63"/>
      <c r="K30" s="63"/>
      <c r="L30" s="63"/>
      <c r="M30" s="63"/>
      <c r="N30" s="63"/>
      <c r="O30" s="63"/>
      <c r="P30" s="63"/>
      <c r="Q30" s="63"/>
      <c r="R30" s="63"/>
      <c r="S30" s="63"/>
      <c r="T30" s="63"/>
      <c r="U30" s="63"/>
      <c r="V30" s="63"/>
      <c r="W30" s="63"/>
      <c r="X30" s="63"/>
      <c r="Y30" s="63"/>
      <c r="Z30" s="63"/>
    </row>
    <row r="31" spans="1:26" ht="11.25" customHeight="1" thickBot="1">
      <c r="A31" s="63"/>
      <c r="B31" s="579" t="s">
        <v>1405</v>
      </c>
      <c r="C31" s="323">
        <f>Input!C75</f>
        <v>0</v>
      </c>
      <c r="D31" s="323">
        <f>Input!D75</f>
        <v>0</v>
      </c>
      <c r="E31" s="576">
        <f>Input!E75</f>
        <v>0</v>
      </c>
      <c r="F31" s="577">
        <f t="shared" si="2"/>
        <v>0</v>
      </c>
      <c r="G31" s="63"/>
      <c r="H31" s="509"/>
      <c r="I31" s="63"/>
      <c r="J31" s="63"/>
      <c r="K31" s="63"/>
      <c r="L31" s="63"/>
      <c r="M31" s="63"/>
      <c r="N31" s="63"/>
      <c r="O31" s="63"/>
      <c r="P31" s="63"/>
      <c r="Q31" s="63"/>
      <c r="R31" s="63"/>
      <c r="S31" s="63"/>
      <c r="T31" s="63"/>
      <c r="U31" s="63"/>
      <c r="V31" s="63"/>
      <c r="W31" s="63"/>
      <c r="X31" s="63"/>
      <c r="Y31" s="63"/>
      <c r="Z31" s="63"/>
    </row>
    <row r="32" spans="1:26" ht="9.75" customHeight="1" thickTop="1">
      <c r="A32" s="63"/>
      <c r="B32" s="325" t="s">
        <v>339</v>
      </c>
      <c r="C32" s="326">
        <f t="shared" ref="C32:E32" si="3">SUM(C19:C28)</f>
        <v>193877.7</v>
      </c>
      <c r="D32" s="327">
        <f t="shared" si="3"/>
        <v>138775.6</v>
      </c>
      <c r="E32" s="327">
        <f t="shared" si="3"/>
        <v>66146.969400000002</v>
      </c>
      <c r="F32" s="328">
        <f>IF(ISERROR(E32/D32),"",E32/D32)</f>
        <v>0.47664697108137166</v>
      </c>
      <c r="G32" s="63"/>
      <c r="H32" s="509"/>
      <c r="I32" s="63"/>
      <c r="J32" s="63"/>
      <c r="K32" s="63"/>
      <c r="L32" s="63"/>
      <c r="M32" s="63"/>
      <c r="N32" s="63"/>
      <c r="O32" s="63"/>
      <c r="P32" s="63"/>
      <c r="Q32" s="63"/>
      <c r="R32" s="63"/>
      <c r="S32" s="63"/>
      <c r="T32" s="63"/>
      <c r="U32" s="63"/>
      <c r="V32" s="63"/>
      <c r="W32" s="63"/>
      <c r="X32" s="63"/>
      <c r="Y32" s="63"/>
      <c r="Z32" s="63"/>
    </row>
    <row r="33" spans="1:26" ht="9.75" customHeight="1">
      <c r="A33" s="63"/>
      <c r="B33" s="329"/>
      <c r="C33" s="63"/>
      <c r="D33" s="63"/>
      <c r="E33" s="63"/>
      <c r="F33" s="63"/>
      <c r="G33" s="63"/>
      <c r="H33" s="509"/>
      <c r="I33" s="63"/>
      <c r="J33" s="63"/>
      <c r="K33" s="63"/>
      <c r="L33" s="63"/>
      <c r="M33" s="63"/>
      <c r="N33" s="63"/>
      <c r="O33" s="63"/>
      <c r="P33" s="63"/>
      <c r="Q33" s="63"/>
      <c r="R33" s="63"/>
      <c r="S33" s="63"/>
      <c r="T33" s="63"/>
      <c r="U33" s="63"/>
      <c r="V33" s="63"/>
      <c r="W33" s="63"/>
      <c r="X33" s="63"/>
      <c r="Y33" s="63"/>
      <c r="Z33" s="63"/>
    </row>
    <row r="34" spans="1:26" ht="12.75" customHeight="1">
      <c r="A34" s="63"/>
      <c r="B34" s="780" t="s">
        <v>482</v>
      </c>
      <c r="C34" s="781"/>
      <c r="D34" s="781"/>
      <c r="E34" s="781"/>
      <c r="F34" s="782"/>
      <c r="G34" s="63"/>
      <c r="H34" s="509"/>
      <c r="I34" s="63"/>
      <c r="J34" s="63"/>
      <c r="K34" s="63"/>
      <c r="L34" s="63"/>
      <c r="M34" s="63"/>
      <c r="N34" s="63"/>
      <c r="O34" s="63"/>
      <c r="P34" s="63"/>
      <c r="Q34" s="63"/>
      <c r="R34" s="63"/>
      <c r="S34" s="63"/>
      <c r="T34" s="63"/>
      <c r="U34" s="63"/>
      <c r="V34" s="63"/>
      <c r="W34" s="63"/>
      <c r="X34" s="63"/>
      <c r="Y34" s="63"/>
      <c r="Z34" s="63"/>
    </row>
    <row r="35" spans="1:26" ht="9.75" customHeight="1">
      <c r="A35" s="63"/>
      <c r="B35" s="759" t="s">
        <v>483</v>
      </c>
      <c r="C35" s="760"/>
      <c r="D35" s="760"/>
      <c r="E35" s="760"/>
      <c r="F35" s="761"/>
      <c r="G35" s="63"/>
      <c r="H35" s="81"/>
      <c r="I35" s="63"/>
      <c r="J35" s="63"/>
      <c r="K35" s="63"/>
      <c r="L35" s="63"/>
      <c r="M35" s="63"/>
      <c r="N35" s="63"/>
      <c r="O35" s="63"/>
      <c r="P35" s="63"/>
      <c r="Q35" s="63"/>
      <c r="R35" s="63"/>
      <c r="S35" s="63"/>
      <c r="T35" s="63"/>
      <c r="U35" s="63"/>
      <c r="V35" s="63"/>
      <c r="W35" s="63"/>
      <c r="X35" s="63"/>
      <c r="Y35" s="63"/>
      <c r="Z35" s="63"/>
    </row>
    <row r="36" spans="1:26" ht="9.75" customHeight="1">
      <c r="A36" s="63"/>
      <c r="B36" s="762" t="s">
        <v>484</v>
      </c>
      <c r="C36" s="763"/>
      <c r="D36" s="763"/>
      <c r="E36" s="763"/>
      <c r="F36" s="764"/>
      <c r="G36" s="63"/>
      <c r="H36" s="91"/>
      <c r="I36" s="63"/>
      <c r="J36" s="63"/>
      <c r="K36" s="63"/>
      <c r="L36" s="63"/>
      <c r="M36" s="63"/>
      <c r="N36" s="63"/>
      <c r="O36" s="63"/>
      <c r="P36" s="63"/>
      <c r="Q36" s="63"/>
      <c r="R36" s="63"/>
      <c r="S36" s="63"/>
      <c r="T36" s="63"/>
      <c r="U36" s="63"/>
      <c r="V36" s="63"/>
      <c r="W36" s="63"/>
      <c r="X36" s="63"/>
      <c r="Y36" s="63"/>
      <c r="Z36" s="63"/>
    </row>
    <row r="37" spans="1:26" ht="9.75" customHeight="1">
      <c r="A37" s="63"/>
      <c r="B37" s="765" t="s">
        <v>485</v>
      </c>
      <c r="C37" s="766"/>
      <c r="D37" s="766"/>
      <c r="E37" s="766"/>
      <c r="F37" s="767"/>
      <c r="G37" s="63"/>
      <c r="H37" s="509"/>
      <c r="I37" s="63"/>
      <c r="J37" s="63"/>
      <c r="K37" s="63"/>
      <c r="L37" s="63"/>
      <c r="M37" s="63"/>
      <c r="N37" s="63"/>
      <c r="O37" s="63"/>
      <c r="P37" s="63"/>
      <c r="Q37" s="63"/>
      <c r="R37" s="63"/>
      <c r="S37" s="63"/>
      <c r="T37" s="63"/>
      <c r="U37" s="63"/>
      <c r="V37" s="63"/>
      <c r="W37" s="63"/>
      <c r="X37" s="63"/>
      <c r="Y37" s="63"/>
      <c r="Z37" s="63"/>
    </row>
    <row r="38" spans="1:26" ht="9.75" customHeight="1">
      <c r="A38" s="63"/>
      <c r="B38" s="329"/>
      <c r="C38" s="66"/>
      <c r="D38" s="66"/>
      <c r="E38" s="66"/>
      <c r="F38" s="66"/>
      <c r="G38" s="63"/>
      <c r="H38" s="509"/>
      <c r="I38" s="63"/>
      <c r="J38" s="63"/>
      <c r="K38" s="63"/>
      <c r="L38" s="63"/>
      <c r="M38" s="63"/>
      <c r="N38" s="63"/>
      <c r="O38" s="63"/>
      <c r="P38" s="63"/>
      <c r="Q38" s="63"/>
      <c r="R38" s="63"/>
      <c r="S38" s="63"/>
      <c r="T38" s="63"/>
      <c r="U38" s="63"/>
      <c r="V38" s="63"/>
      <c r="W38" s="63"/>
      <c r="X38" s="63"/>
      <c r="Y38" s="63"/>
      <c r="Z38" s="63"/>
    </row>
    <row r="39" spans="1:26" ht="9.75" customHeight="1">
      <c r="A39" s="63"/>
      <c r="B39" s="768" t="s">
        <v>486</v>
      </c>
      <c r="C39" s="769"/>
      <c r="D39" s="769"/>
      <c r="E39" s="769"/>
      <c r="F39" s="769"/>
      <c r="G39" s="63"/>
      <c r="H39" s="509"/>
      <c r="I39" s="63"/>
      <c r="J39" s="63"/>
      <c r="K39" s="63"/>
      <c r="L39" s="63"/>
      <c r="M39" s="63"/>
      <c r="N39" s="63"/>
      <c r="O39" s="63"/>
      <c r="P39" s="63"/>
      <c r="Q39" s="63"/>
      <c r="R39" s="63"/>
      <c r="S39" s="63"/>
      <c r="T39" s="63"/>
      <c r="U39" s="63"/>
      <c r="V39" s="63"/>
      <c r="W39" s="63"/>
      <c r="X39" s="63"/>
      <c r="Y39" s="63"/>
      <c r="Z39" s="63"/>
    </row>
    <row r="40" spans="1:26" ht="9.75" customHeight="1">
      <c r="A40" s="63"/>
      <c r="B40" s="330"/>
      <c r="C40" s="76"/>
      <c r="D40" s="76"/>
      <c r="E40" s="76"/>
      <c r="F40" s="76"/>
      <c r="G40" s="63"/>
      <c r="H40" s="81"/>
      <c r="I40" s="63"/>
      <c r="J40" s="63"/>
      <c r="K40" s="63"/>
      <c r="L40" s="63"/>
      <c r="M40" s="63"/>
      <c r="N40" s="63"/>
      <c r="O40" s="63"/>
      <c r="P40" s="63"/>
      <c r="Q40" s="63"/>
      <c r="R40" s="63"/>
      <c r="S40" s="63"/>
      <c r="T40" s="63"/>
      <c r="U40" s="63"/>
      <c r="V40" s="63"/>
      <c r="W40" s="63"/>
      <c r="X40" s="63"/>
      <c r="Y40" s="63"/>
      <c r="Z40" s="63"/>
    </row>
    <row r="41" spans="1:26" ht="9.75" customHeight="1">
      <c r="A41" s="63"/>
      <c r="B41" s="329" t="s">
        <v>487</v>
      </c>
      <c r="C41" s="63"/>
      <c r="D41" s="63"/>
      <c r="E41" s="63"/>
      <c r="F41" s="63"/>
      <c r="G41" s="63"/>
      <c r="H41" s="91"/>
      <c r="I41" s="63"/>
      <c r="J41" s="63"/>
      <c r="K41" s="63"/>
      <c r="L41" s="63"/>
      <c r="M41" s="63"/>
      <c r="N41" s="63"/>
      <c r="O41" s="63"/>
      <c r="P41" s="63"/>
      <c r="Q41" s="63"/>
      <c r="R41" s="63"/>
      <c r="S41" s="63"/>
      <c r="T41" s="63"/>
      <c r="U41" s="63"/>
      <c r="V41" s="63"/>
      <c r="W41" s="63"/>
      <c r="X41" s="63"/>
      <c r="Y41" s="63"/>
      <c r="Z41" s="63"/>
    </row>
    <row r="42" spans="1:26" ht="9.75" customHeight="1">
      <c r="A42" s="63"/>
      <c r="B42" s="329"/>
      <c r="C42" s="63"/>
      <c r="D42" s="63"/>
      <c r="E42" s="63"/>
      <c r="F42" s="63"/>
      <c r="G42" s="63"/>
      <c r="H42" s="509"/>
      <c r="I42" s="63"/>
      <c r="J42" s="63"/>
      <c r="K42" s="63"/>
      <c r="L42" s="63"/>
      <c r="M42" s="63"/>
      <c r="N42" s="63"/>
      <c r="O42" s="63"/>
      <c r="P42" s="63"/>
      <c r="Q42" s="63"/>
      <c r="R42" s="63"/>
      <c r="S42" s="63"/>
      <c r="T42" s="63"/>
      <c r="U42" s="63"/>
      <c r="V42" s="63"/>
      <c r="W42" s="63"/>
      <c r="X42" s="63"/>
      <c r="Y42" s="63"/>
      <c r="Z42" s="63"/>
    </row>
    <row r="43" spans="1:26" ht="9.75" customHeight="1">
      <c r="A43" s="63"/>
      <c r="B43" s="329" t="s">
        <v>488</v>
      </c>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9.75" customHeight="1">
      <c r="A44" s="63"/>
      <c r="B44" s="329" t="s">
        <v>489</v>
      </c>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3.5" customHeight="1">
      <c r="A45" s="63"/>
      <c r="B45" s="329" t="s">
        <v>490</v>
      </c>
      <c r="C45" s="63"/>
      <c r="D45" s="63"/>
      <c r="E45" s="63"/>
      <c r="F45" s="63"/>
      <c r="G45" s="331"/>
      <c r="H45" s="63"/>
      <c r="I45" s="63"/>
      <c r="J45" s="63"/>
      <c r="K45" s="63"/>
      <c r="L45" s="63"/>
      <c r="M45" s="63"/>
      <c r="N45" s="63"/>
      <c r="O45" s="63"/>
      <c r="P45" s="63"/>
      <c r="Q45" s="63"/>
      <c r="R45" s="63"/>
      <c r="S45" s="63"/>
      <c r="T45" s="63"/>
      <c r="U45" s="63"/>
      <c r="V45" s="63"/>
      <c r="W45" s="63"/>
      <c r="X45" s="63"/>
      <c r="Y45" s="63"/>
      <c r="Z45" s="63"/>
    </row>
    <row r="46" spans="1:26" ht="9.75" customHeight="1">
      <c r="A46" s="63"/>
      <c r="B46" s="332" t="s">
        <v>491</v>
      </c>
      <c r="C46" s="63"/>
      <c r="D46" s="63"/>
      <c r="E46" s="63"/>
      <c r="F46" s="63"/>
      <c r="G46" s="331"/>
      <c r="H46" s="63"/>
      <c r="I46" s="63"/>
      <c r="J46" s="63"/>
      <c r="K46" s="63"/>
      <c r="L46" s="63"/>
      <c r="M46" s="63"/>
      <c r="N46" s="63"/>
      <c r="O46" s="63"/>
      <c r="P46" s="63"/>
      <c r="Q46" s="63"/>
      <c r="R46" s="63"/>
      <c r="S46" s="63"/>
      <c r="T46" s="63"/>
      <c r="U46" s="63"/>
      <c r="V46" s="63"/>
      <c r="W46" s="63"/>
      <c r="X46" s="63"/>
      <c r="Y46" s="63"/>
      <c r="Z46" s="63"/>
    </row>
    <row r="47" spans="1:26" ht="9.75" customHeight="1">
      <c r="A47" s="331"/>
      <c r="B47" s="333" t="s">
        <v>492</v>
      </c>
      <c r="C47" s="334"/>
      <c r="D47" s="334"/>
      <c r="E47" s="334"/>
      <c r="F47" s="334"/>
      <c r="G47" s="331"/>
      <c r="H47" s="63"/>
      <c r="I47" s="63"/>
      <c r="J47" s="63"/>
      <c r="K47" s="63"/>
      <c r="L47" s="63"/>
      <c r="M47" s="63"/>
      <c r="N47" s="63"/>
      <c r="O47" s="63"/>
      <c r="P47" s="63"/>
      <c r="Q47" s="63"/>
      <c r="R47" s="63"/>
      <c r="S47" s="63"/>
      <c r="T47" s="63"/>
      <c r="U47" s="63"/>
      <c r="V47" s="63"/>
      <c r="W47" s="63"/>
      <c r="X47" s="63"/>
      <c r="Y47" s="63"/>
      <c r="Z47" s="63"/>
    </row>
    <row r="48" spans="1:26" ht="9.75" customHeight="1">
      <c r="A48" s="63"/>
      <c r="B48" s="332"/>
      <c r="C48" s="63"/>
      <c r="D48" s="63"/>
      <c r="E48" s="63"/>
      <c r="F48" s="63"/>
      <c r="G48" s="331"/>
      <c r="H48" s="63"/>
      <c r="I48" s="63"/>
      <c r="J48" s="63"/>
      <c r="K48" s="63"/>
      <c r="L48" s="63"/>
      <c r="M48" s="63"/>
      <c r="N48" s="63"/>
      <c r="O48" s="63"/>
      <c r="P48" s="63"/>
      <c r="Q48" s="63"/>
      <c r="R48" s="63"/>
      <c r="S48" s="63"/>
      <c r="T48" s="63"/>
      <c r="U48" s="63"/>
      <c r="V48" s="63"/>
      <c r="W48" s="63"/>
      <c r="X48" s="63"/>
      <c r="Y48" s="63"/>
      <c r="Z48" s="63"/>
    </row>
    <row r="49" spans="1:26" ht="9.75" customHeight="1">
      <c r="A49" s="63"/>
      <c r="B49" s="332"/>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9.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9.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9.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9.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9.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9.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9.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9.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9.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9.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9.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9.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9.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9.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9.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9.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9.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9.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9.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9.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9.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9.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9.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9.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9.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9.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9.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9.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9.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9.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9.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9.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9.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9.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9.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9.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9.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9.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9.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9.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9.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9.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9.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9.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9.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9.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9.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9.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9.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9.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9.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9.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9.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9.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9.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9.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9.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9.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9.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9.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9.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9.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9.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9.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9.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9.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9.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9.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9.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9.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9.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9.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9.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9.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9.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9.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9.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9.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9.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9.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9.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9.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9.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9.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9.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9.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9.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9.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9.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9.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9.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9.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9.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9.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9.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9.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9.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9.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9.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9.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9.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9.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9.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9.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9.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9.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9.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9.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9.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9.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9.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9.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9.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9.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9.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9.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9.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9.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9.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9.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9.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9.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9.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9.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9.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9.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9.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9.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9.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9.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9.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9.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9.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9.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9.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9.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9.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9.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9.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9.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9.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9.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9.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9.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9.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9.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9.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9.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9.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9.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9.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9.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9.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9.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9.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9.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9.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9.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9.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9.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9.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9.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9.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9.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9.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9.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9.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9.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9.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9.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9.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9.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9.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9.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9.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9.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9.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9.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9.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9.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9.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9.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9.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9.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9.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9.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9.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9.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9.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9.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9.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9.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9.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9.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9.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9.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9.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9.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9.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9.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9.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9.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9.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9.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9.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9.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9.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9.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9.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9.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9.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9.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9.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9.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9.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9.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9.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9.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9.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9.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9.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9.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9.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9.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9.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9.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9.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9.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9.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9.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9.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9.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9.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9.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9.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9.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9.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9.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9.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9.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9.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9.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9.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9.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9.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9.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9.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9.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9.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9.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9.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9.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9.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9.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9.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9.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9.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9.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9.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9.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9.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9.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9.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9.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9.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9.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9.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9.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9.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9.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9.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9.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9.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9.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9.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9.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9.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9.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9.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9.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9.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9.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9.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9.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9.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9.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9.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9.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9.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9.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9.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9.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9.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9.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9.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9.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9.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9.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9.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9.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9.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9.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9.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9.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9.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9.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9.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9.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9.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9.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9.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9.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9.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9.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9.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9.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9.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9.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9.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9.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9.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9.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9.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9.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9.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9.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9.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9.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9.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9.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9.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9.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9.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9.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9.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9.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9.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9.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9.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9.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9.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9.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9.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9.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9.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9.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9.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9.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9.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9.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9.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9.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9.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9.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9.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9.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9.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9.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9.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9.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9.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9.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9.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9.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9.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9.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9.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9.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9.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9.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9.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9.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9.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9.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9.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9.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9.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9.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9.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9.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9.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9.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9.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9.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9.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9.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9.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9.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9.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9.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9.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9.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9.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9.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9.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9.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9.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9.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9.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9.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9.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9.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9.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9.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9.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9.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9.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9.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9.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9.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9.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9.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9.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9.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9.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9.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9.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9.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9.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9.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9.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9.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9.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9.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9.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9.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9.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9.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9.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9.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9.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9.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9.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9.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9.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9.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9.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9.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9.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9.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9.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9.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9.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9.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9.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9.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9.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9.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9.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9.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9.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9.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9.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9.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9.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9.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9.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9.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9.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9.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9.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9.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9.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9.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9.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9.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9.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9.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9.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9.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9.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9.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9.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9.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9.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9.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9.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9.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9.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9.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9.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9.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9.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9.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9.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9.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9.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9.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9.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9.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9.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9.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9.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9.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9.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9.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9.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9.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9.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9.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9.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9.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9.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9.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9.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9.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9.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9.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9.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9.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9.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9.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9.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9.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9.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9.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9.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9.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9.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9.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9.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9.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9.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9.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9.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9.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9.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9.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9.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9.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9.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9.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9.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9.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9.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9.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9.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9.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9.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9.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9.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9.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9.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9.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9.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9.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9.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9.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9.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9.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9.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9.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9.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9.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9.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9.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9.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9.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9.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9.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9.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9.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9.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9.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9.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9.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9.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9.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9.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9.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9.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9.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9.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9.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9.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9.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9.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9.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9.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9.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9.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9.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9.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9.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9.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9.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9.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9.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9.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9.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9.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9.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9.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9.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9.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9.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9.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9.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9.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9.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9.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9.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9.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9.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9.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9.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9.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9.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9.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9.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9.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9.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9.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9.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9.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9.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9.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9.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9.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9.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9.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9.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9.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9.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9.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9.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9.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9.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9.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9.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9.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9.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9.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9.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9.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9.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9.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9.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9.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9.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9.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9.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9.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9.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9.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9.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9.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9.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9.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9.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9.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9.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9.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9.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9.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9.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9.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9.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9.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9.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9.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9.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9.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9.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9.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9.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9.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9.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9.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9.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9.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9.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9.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9.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9.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9.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9.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9.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9.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9.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9.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9.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9.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9.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9.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9.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9.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9.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9.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9.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9.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9.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9.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9.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9.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9.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9.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9.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9.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9.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9.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9.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9.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9.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9.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9.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9.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9.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9.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9.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9.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9.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9.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9.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9.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9.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9.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9.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9.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9.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9.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9.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9.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9.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9.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9.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9.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9.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9.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9.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9.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9.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9.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9.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9.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9.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9.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9.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9.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9.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9.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9.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9.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9.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9.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9.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9.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9.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9.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9.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9.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9.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9.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9.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9.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9.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9.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9.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9.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9.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9.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9.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9.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9.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9.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9.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9.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9.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9.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9.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9.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9.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9.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9.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9.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9.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9.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9.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9.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9.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9.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9.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9.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9.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9.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9.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9.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9.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9.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9.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9.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9.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9.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9.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9.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9.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9.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9.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9.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9.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9.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9.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9.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9.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9.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9.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9.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9.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9.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9.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9.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9.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9.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9.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9.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9.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9.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9.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9.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9.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9.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9.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9.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9.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9.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9.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9.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9.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9.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9.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9.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9.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9.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9.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9.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9.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9.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9.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9.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9.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9.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9.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9.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9.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9.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9.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9.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9.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9.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9.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9.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9.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9.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9.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9.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9.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9.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9.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9.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9.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9.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9.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9.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9.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9.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9.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9.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9.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9.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9.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9.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9.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9.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9.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9.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9.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9.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9.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9.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9.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9.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9.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9.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9.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9.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9.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9.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9.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9.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9.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9.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9.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9.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9.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9.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9.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9.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9.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9.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9.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9.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9.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9.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9.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9.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9.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9.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9.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9.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9.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9.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9.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9.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9.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9.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9.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9.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9.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9.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9.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9.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9.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9.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9.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9.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9.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9.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9.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9.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9.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9.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9.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9.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9.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9.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9.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9.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9.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9.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9.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9.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9.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9.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9.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9.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9.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9.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9.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9.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9.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9.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1:26" ht="9.75" customHeight="1">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row>
    <row r="1002" spans="1:26" ht="9.75" customHeight="1">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row>
    <row r="1003" spans="1:26" ht="9.75" customHeight="1">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row>
  </sheetData>
  <sheetProtection algorithmName="SHA-512" hashValue="6nhU/JDEfgB1WUgwR7sYND+yyt9OvXtAbc0RvGRUdxn6UmwsgLunNLxEL/8F8eXCVZwUrbdgO3FmXi42Q6ANjw==" saltValue="hnUKoSNcuf0KGAFf/BW5Hw==" spinCount="100000" sheet="1" objects="1" scenarios="1"/>
  <mergeCells count="11">
    <mergeCell ref="B35:F35"/>
    <mergeCell ref="B36:F36"/>
    <mergeCell ref="B37:F37"/>
    <mergeCell ref="B39:F39"/>
    <mergeCell ref="B10:F10"/>
    <mergeCell ref="B13:B16"/>
    <mergeCell ref="C13:C16"/>
    <mergeCell ref="D13:D16"/>
    <mergeCell ref="E13:E16"/>
    <mergeCell ref="F13:F16"/>
    <mergeCell ref="B34:F34"/>
  </mergeCells>
  <pageMargins left="0.75" right="0.75" top="1" bottom="1" header="0" footer="0"/>
  <pageSetup paperSize="9" orientation="landscape"/>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7CAAC"/>
  </sheetPr>
  <dimension ref="A1:Z1000"/>
  <sheetViews>
    <sheetView showGridLines="0" workbookViewId="0">
      <selection activeCell="F33" sqref="F33"/>
    </sheetView>
  </sheetViews>
  <sheetFormatPr defaultColWidth="16.7109375" defaultRowHeight="15" customHeight="1"/>
  <cols>
    <col min="1" max="1" width="2" customWidth="1"/>
    <col min="2" max="2" width="32.7109375" customWidth="1"/>
    <col min="3" max="3" width="24.42578125" customWidth="1"/>
    <col min="4" max="4" width="52.28515625" customWidth="1"/>
    <col min="5" max="6" width="19.42578125" customWidth="1"/>
    <col min="7" max="7" width="18.28515625" customWidth="1"/>
    <col min="8" max="8" width="22.7109375" customWidth="1"/>
    <col min="9" max="9" width="2" customWidth="1"/>
    <col min="10" max="10" width="32" customWidth="1"/>
    <col min="11" max="11" width="2" customWidth="1"/>
    <col min="12" max="23" width="10.28515625" hidden="1" customWidth="1"/>
    <col min="24" max="26" width="10.28515625" customWidth="1"/>
  </cols>
  <sheetData>
    <row r="1" spans="1:26" ht="8.25" customHeight="1">
      <c r="A1" s="219"/>
      <c r="B1" s="90"/>
      <c r="C1" s="90"/>
      <c r="D1" s="90"/>
      <c r="E1" s="90"/>
      <c r="F1" s="90"/>
      <c r="G1" s="90"/>
      <c r="H1" s="90"/>
      <c r="I1" s="90"/>
      <c r="J1" s="90"/>
      <c r="K1" s="90"/>
      <c r="L1" s="90"/>
      <c r="M1" s="90"/>
      <c r="N1" s="90"/>
      <c r="O1" s="90"/>
      <c r="P1" s="90"/>
      <c r="Q1" s="90"/>
      <c r="R1" s="90"/>
      <c r="S1" s="90"/>
      <c r="T1" s="90"/>
      <c r="U1" s="90"/>
      <c r="V1" s="90"/>
      <c r="W1" s="90"/>
      <c r="X1" s="90"/>
      <c r="Y1" s="90"/>
      <c r="Z1" s="90"/>
    </row>
    <row r="2" spans="1:26" ht="9.75" customHeight="1">
      <c r="A2" s="90"/>
      <c r="B2" s="335" t="str">
        <f>"Projectnaam"</f>
        <v>Projectnaam</v>
      </c>
      <c r="C2" s="336">
        <f>Projectinformatie!C3</f>
        <v>0</v>
      </c>
      <c r="D2" s="337"/>
      <c r="E2" s="338"/>
      <c r="F2" s="339"/>
      <c r="G2" s="340"/>
      <c r="H2" s="341"/>
      <c r="I2" s="90"/>
      <c r="J2" s="90"/>
      <c r="K2" s="90"/>
      <c r="L2" s="90"/>
      <c r="M2" s="90"/>
      <c r="N2" s="90"/>
      <c r="O2" s="90"/>
      <c r="P2" s="90"/>
      <c r="Q2" s="90"/>
      <c r="R2" s="90"/>
      <c r="S2" s="90"/>
      <c r="T2" s="90"/>
      <c r="U2" s="90"/>
      <c r="V2" s="90"/>
      <c r="W2" s="90"/>
      <c r="X2" s="90"/>
      <c r="Y2" s="90"/>
      <c r="Z2" s="90"/>
    </row>
    <row r="3" spans="1:26" ht="9.75" customHeight="1">
      <c r="A3" s="90"/>
      <c r="B3" s="342" t="str">
        <f>"Energiebalans over jaar"</f>
        <v>Energiebalans over jaar</v>
      </c>
      <c r="C3" s="784"/>
      <c r="D3" s="736"/>
      <c r="E3" s="343"/>
      <c r="F3" s="344"/>
      <c r="G3" s="345"/>
      <c r="H3" s="346"/>
      <c r="I3" s="90"/>
      <c r="J3" s="90"/>
      <c r="K3" s="90"/>
      <c r="L3" s="90"/>
      <c r="M3" s="90"/>
      <c r="N3" s="90"/>
      <c r="O3" s="90"/>
      <c r="P3" s="90"/>
      <c r="Q3" s="90"/>
      <c r="R3" s="90"/>
      <c r="S3" s="90"/>
      <c r="T3" s="90"/>
      <c r="U3" s="90"/>
      <c r="V3" s="90"/>
      <c r="W3" s="90"/>
      <c r="X3" s="90"/>
      <c r="Y3" s="90"/>
      <c r="Z3" s="90"/>
    </row>
    <row r="4" spans="1:26" ht="11.25" customHeight="1">
      <c r="A4" s="90"/>
      <c r="B4" s="347" t="s">
        <v>493</v>
      </c>
      <c r="C4" s="783" t="str">
        <f>"Energiedrager"</f>
        <v>Energiedrager</v>
      </c>
      <c r="D4" s="736"/>
      <c r="E4" s="348" t="str">
        <f>Projectinformatie!$B$16</f>
        <v>Aardgas</v>
      </c>
      <c r="F4" s="349" t="str">
        <f>Projectinformatie!$B$18</f>
        <v>Elektriciteit</v>
      </c>
      <c r="G4" s="350" t="s">
        <v>494</v>
      </c>
      <c r="H4" s="351" t="str">
        <f>"Energiekosten"</f>
        <v>Energiekosten</v>
      </c>
      <c r="I4" s="90"/>
      <c r="J4" s="90"/>
      <c r="K4" s="90"/>
      <c r="L4" s="90"/>
      <c r="M4" s="90"/>
      <c r="N4" s="90"/>
      <c r="O4" s="90"/>
      <c r="P4" s="90"/>
      <c r="Q4" s="90"/>
      <c r="R4" s="90"/>
      <c r="S4" s="90"/>
      <c r="T4" s="90"/>
      <c r="U4" s="90"/>
      <c r="V4" s="90"/>
      <c r="W4" s="90"/>
      <c r="X4" s="90"/>
      <c r="Y4" s="90"/>
      <c r="Z4" s="90"/>
    </row>
    <row r="5" spans="1:26" ht="9.75" customHeight="1">
      <c r="A5" s="90"/>
      <c r="B5" s="342" t="s">
        <v>495</v>
      </c>
      <c r="C5" s="783" t="str">
        <f>"Eenheid"</f>
        <v>Eenheid</v>
      </c>
      <c r="D5" s="736"/>
      <c r="E5" s="352" t="str">
        <f>VLOOKUP(E4,Energiedragers_tabel,2,FALSE)</f>
        <v>m3</v>
      </c>
      <c r="F5" s="353" t="str">
        <f>VLOOKUP(F4,Energiedragers_tabel,2,FALSE)</f>
        <v>kWh</v>
      </c>
      <c r="G5" s="354" t="s">
        <v>496</v>
      </c>
      <c r="H5" s="351"/>
      <c r="I5" s="90"/>
      <c r="J5" s="90"/>
      <c r="K5" s="90"/>
      <c r="L5" s="90"/>
      <c r="M5" s="90"/>
      <c r="N5" s="90"/>
      <c r="O5" s="90"/>
      <c r="P5" s="90"/>
      <c r="Q5" s="90"/>
      <c r="R5" s="90"/>
      <c r="S5" s="90"/>
      <c r="T5" s="90"/>
      <c r="U5" s="90"/>
      <c r="V5" s="90"/>
      <c r="W5" s="90"/>
      <c r="X5" s="90"/>
      <c r="Y5" s="90"/>
      <c r="Z5" s="90"/>
    </row>
    <row r="6" spans="1:26" ht="9.75" customHeight="1">
      <c r="A6" s="90"/>
      <c r="B6" s="342"/>
      <c r="C6" s="355" t="str">
        <f>"Stookwaarde (MJp / eenheid)"</f>
        <v>Stookwaarde (MJp / eenheid)</v>
      </c>
      <c r="D6" s="356"/>
      <c r="E6" s="357">
        <f>VLOOKUP(E4,Energiedragers_tabel,3,FALSE)</f>
        <v>1</v>
      </c>
      <c r="F6" s="358">
        <f>VLOOKUP(F4,Energiedragers_tabel,3,FALSE)</f>
        <v>3.6</v>
      </c>
      <c r="G6" s="354">
        <v>1000000</v>
      </c>
      <c r="H6" s="359"/>
      <c r="I6" s="90"/>
      <c r="J6" s="76"/>
      <c r="K6" s="90"/>
      <c r="L6" s="90"/>
      <c r="M6" s="90"/>
      <c r="N6" s="90"/>
      <c r="O6" s="90"/>
      <c r="P6" s="90"/>
      <c r="Q6" s="90"/>
      <c r="R6" s="90"/>
      <c r="S6" s="90"/>
      <c r="T6" s="90"/>
      <c r="U6" s="90"/>
      <c r="V6" s="90"/>
      <c r="W6" s="90"/>
      <c r="X6" s="90"/>
      <c r="Y6" s="90"/>
      <c r="Z6" s="90"/>
    </row>
    <row r="7" spans="1:26" ht="9.75" customHeight="1">
      <c r="A7" s="90"/>
      <c r="B7" s="342"/>
      <c r="C7" s="355" t="str">
        <f>"Leveringskosten per eenheid (€ / eenheid)"</f>
        <v>Leveringskosten per eenheid (€ / eenheid)</v>
      </c>
      <c r="D7" s="356"/>
      <c r="E7" s="360">
        <f>Projectinformatie!$C$30</f>
        <v>0</v>
      </c>
      <c r="F7" s="361">
        <f>Projectinformatie!$C$31</f>
        <v>0</v>
      </c>
      <c r="G7" s="354" t="s">
        <v>497</v>
      </c>
      <c r="H7" s="362"/>
      <c r="I7" s="363"/>
      <c r="J7" s="81"/>
      <c r="K7" s="363"/>
      <c r="L7" s="363"/>
      <c r="M7" s="363"/>
      <c r="N7" s="363"/>
      <c r="O7" s="363"/>
      <c r="P7" s="363"/>
      <c r="Q7" s="363"/>
      <c r="R7" s="363"/>
      <c r="S7" s="363"/>
      <c r="T7" s="363"/>
      <c r="U7" s="363"/>
      <c r="V7" s="363"/>
      <c r="W7" s="363"/>
      <c r="X7" s="363"/>
      <c r="Y7" s="363"/>
      <c r="Z7" s="363"/>
    </row>
    <row r="8" spans="1:26" ht="9.75" customHeight="1">
      <c r="A8" s="90"/>
      <c r="B8" s="342"/>
      <c r="C8" s="355" t="str">
        <f>"Aantal eenheden per jaar (Werkelijk)"</f>
        <v>Aantal eenheden per jaar (Werkelijk)</v>
      </c>
      <c r="D8" s="356"/>
      <c r="E8" s="364">
        <f>Projectinformatie!$C$16</f>
        <v>61811533.799999997</v>
      </c>
      <c r="F8" s="365">
        <f>Projectinformatie!$C$18</f>
        <v>1048064.5</v>
      </c>
      <c r="G8" s="366">
        <f>(SUMPRODUCT(E6:F6,E8:F8))/1000000</f>
        <v>65.584565999999995</v>
      </c>
      <c r="H8" s="367">
        <f>(SUMPRODUCT(E7:F7,E8:F8))</f>
        <v>0</v>
      </c>
      <c r="I8" s="363"/>
      <c r="J8" s="509"/>
      <c r="K8" s="363"/>
      <c r="L8" s="363"/>
      <c r="M8" s="363"/>
      <c r="N8" s="363"/>
      <c r="O8" s="363"/>
      <c r="P8" s="363"/>
      <c r="Q8" s="363"/>
      <c r="R8" s="363"/>
      <c r="S8" s="363"/>
      <c r="T8" s="363"/>
      <c r="U8" s="363"/>
      <c r="V8" s="363"/>
      <c r="W8" s="363"/>
      <c r="X8" s="363"/>
      <c r="Y8" s="363"/>
      <c r="Z8" s="363"/>
    </row>
    <row r="9" spans="1:26" ht="9.75" customHeight="1">
      <c r="A9" s="90"/>
      <c r="B9" s="342"/>
      <c r="C9" s="783" t="str">
        <f>"Verklaard verbruik (som alle verbr.punten)"</f>
        <v>Verklaard verbruik (som alle verbr.punten)</v>
      </c>
      <c r="D9" s="736"/>
      <c r="E9" s="368">
        <f t="shared" ref="E9:G9" si="0">SUM(E13:E24)</f>
        <v>61811533.799999997</v>
      </c>
      <c r="F9" s="369">
        <f t="shared" si="0"/>
        <v>1048064.5000000001</v>
      </c>
      <c r="G9" s="370">
        <f t="shared" si="0"/>
        <v>65.584565999999995</v>
      </c>
      <c r="H9" s="367" t="str">
        <f>IF(SUM(H13:H24)=0,"0",SUM(H13:H24))</f>
        <v>0</v>
      </c>
      <c r="I9" s="363"/>
      <c r="J9" s="509"/>
      <c r="K9" s="363"/>
      <c r="L9" s="363"/>
      <c r="M9" s="363"/>
      <c r="N9" s="363"/>
      <c r="O9" s="363"/>
      <c r="P9" s="363"/>
      <c r="Q9" s="363"/>
      <c r="R9" s="363"/>
      <c r="S9" s="363"/>
      <c r="T9" s="363"/>
      <c r="U9" s="363"/>
      <c r="V9" s="363"/>
      <c r="W9" s="363"/>
      <c r="X9" s="363"/>
      <c r="Y9" s="363"/>
      <c r="Z9" s="363"/>
    </row>
    <row r="10" spans="1:26" ht="9.75" customHeight="1">
      <c r="A10" s="90"/>
      <c r="B10" s="371"/>
      <c r="C10" s="785" t="str">
        <f>"Onverklaard verbruik"</f>
        <v>Onverklaard verbruik</v>
      </c>
      <c r="D10" s="736"/>
      <c r="E10" s="372">
        <f t="shared" ref="E10:H10" si="1">IF(ISERROR(E8-SUM(E13:E24)),"",E8-SUM(E13:E24))</f>
        <v>0</v>
      </c>
      <c r="F10" s="373">
        <f t="shared" si="1"/>
        <v>-1.1641532182693481E-10</v>
      </c>
      <c r="G10" s="374">
        <f t="shared" si="1"/>
        <v>0</v>
      </c>
      <c r="H10" s="367">
        <f t="shared" si="1"/>
        <v>0</v>
      </c>
      <c r="I10" s="363"/>
      <c r="J10" s="81"/>
      <c r="K10" s="363"/>
      <c r="L10" s="363"/>
      <c r="M10" s="363"/>
      <c r="N10" s="363"/>
      <c r="O10" s="363"/>
      <c r="P10" s="363"/>
      <c r="Q10" s="363"/>
      <c r="R10" s="363"/>
      <c r="S10" s="363"/>
      <c r="T10" s="363"/>
      <c r="U10" s="363"/>
      <c r="V10" s="363"/>
      <c r="W10" s="363"/>
      <c r="X10" s="363"/>
      <c r="Y10" s="363"/>
      <c r="Z10" s="363"/>
    </row>
    <row r="11" spans="1:26" ht="9.75" customHeight="1">
      <c r="A11" s="90"/>
      <c r="B11" s="347" t="s">
        <v>498</v>
      </c>
      <c r="C11" s="783"/>
      <c r="D11" s="736"/>
      <c r="E11" s="375" t="s">
        <v>499</v>
      </c>
      <c r="F11" s="376"/>
      <c r="G11" s="377"/>
      <c r="H11" s="378" t="s">
        <v>500</v>
      </c>
      <c r="I11" s="363"/>
      <c r="J11" s="81"/>
      <c r="K11" s="363"/>
      <c r="L11" s="363"/>
      <c r="M11" s="363"/>
      <c r="N11" s="363"/>
      <c r="O11" s="363"/>
      <c r="P11" s="363"/>
      <c r="Q11" s="363"/>
      <c r="R11" s="363"/>
      <c r="S11" s="363"/>
      <c r="T11" s="363"/>
      <c r="U11" s="363"/>
      <c r="V11" s="363"/>
      <c r="W11" s="363"/>
      <c r="X11" s="363"/>
      <c r="Y11" s="363"/>
      <c r="Z11" s="363"/>
    </row>
    <row r="12" spans="1:26" ht="9.75" customHeight="1">
      <c r="A12" s="90"/>
      <c r="B12" s="379" t="str">
        <f>"Inrichtingseenheid"</f>
        <v>Inrichtingseenheid</v>
      </c>
      <c r="C12" s="380" t="str">
        <f>"Omzettingspunt"</f>
        <v>Omzettingspunt</v>
      </c>
      <c r="D12" s="381" t="str">
        <f>"Verbruikspunt"</f>
        <v>Verbruikspunt</v>
      </c>
      <c r="E12" s="382" t="str">
        <f t="shared" ref="E12:G12" si="2">E5</f>
        <v>m3</v>
      </c>
      <c r="F12" s="383" t="str">
        <f t="shared" si="2"/>
        <v>kWh</v>
      </c>
      <c r="G12" s="514" t="str">
        <f t="shared" si="2"/>
        <v>TJp</v>
      </c>
      <c r="H12" s="384"/>
      <c r="I12" s="363"/>
      <c r="J12" s="81"/>
      <c r="K12" s="363"/>
      <c r="L12" s="363"/>
      <c r="M12" s="363"/>
      <c r="N12" s="363"/>
      <c r="O12" s="363"/>
      <c r="P12" s="363"/>
      <c r="Q12" s="363"/>
      <c r="R12" s="363"/>
      <c r="S12" s="363"/>
      <c r="T12" s="363"/>
      <c r="U12" s="363"/>
      <c r="V12" s="363"/>
      <c r="W12" s="363"/>
      <c r="X12" s="363"/>
      <c r="Y12" s="363"/>
      <c r="Z12" s="363"/>
    </row>
    <row r="13" spans="1:26" ht="9.75" customHeight="1">
      <c r="A13" s="90"/>
      <c r="B13" s="385" t="s">
        <v>348</v>
      </c>
      <c r="C13" s="386"/>
      <c r="D13" s="387" t="str">
        <f>Model!B5</f>
        <v>Opwarmen mineralen witte trommel</v>
      </c>
      <c r="E13" s="388">
        <f>IF(ISERROR(Model!O5*Model!$N$25/$E$6),"",Model!O5*Model!$N$25/$E$6)</f>
        <v>17262748.523638688</v>
      </c>
      <c r="F13" s="389"/>
      <c r="G13" s="390">
        <f>(SUMPRODUCT(E6:F6,E13:F13))/1000000</f>
        <v>17.262748523638688</v>
      </c>
      <c r="H13" s="391">
        <f>(SUMPRODUCT(E7:F7,E13:F13))</f>
        <v>0</v>
      </c>
      <c r="I13" s="363"/>
      <c r="J13" s="509"/>
      <c r="K13" s="363"/>
      <c r="L13" s="363"/>
      <c r="M13" s="363"/>
      <c r="N13" s="363"/>
      <c r="O13" s="363"/>
      <c r="P13" s="363"/>
      <c r="Q13" s="363"/>
      <c r="R13" s="363"/>
      <c r="S13" s="363"/>
      <c r="T13" s="363"/>
      <c r="U13" s="363"/>
      <c r="V13" s="363"/>
      <c r="W13" s="363"/>
      <c r="X13" s="363"/>
      <c r="Y13" s="363"/>
      <c r="Z13" s="363"/>
    </row>
    <row r="14" spans="1:26" ht="9.75" customHeight="1">
      <c r="A14" s="90"/>
      <c r="B14" s="392"/>
      <c r="C14" s="393"/>
      <c r="D14" s="387" t="str">
        <f>Model!B6</f>
        <v>Opwarmen AG paralleltrommel</v>
      </c>
      <c r="E14" s="388">
        <f>IF(ISERROR(Model!O6*Model!$N$25/$E$6),"",Model!O6*Model!$N$25/$E$6)</f>
        <v>10816034.435560273</v>
      </c>
      <c r="F14" s="394"/>
      <c r="G14" s="395">
        <f>(SUMPRODUCT(E6:F6,E14:F14))/1000000</f>
        <v>10.816034435560272</v>
      </c>
      <c r="H14" s="396">
        <f>(SUMPRODUCT(E7:F7,E14:F14))</f>
        <v>0</v>
      </c>
      <c r="I14" s="363"/>
      <c r="J14" s="81"/>
      <c r="K14" s="363"/>
      <c r="L14" s="363"/>
      <c r="M14" s="363"/>
      <c r="N14" s="363"/>
      <c r="O14" s="363"/>
      <c r="P14" s="363"/>
      <c r="Q14" s="363"/>
      <c r="R14" s="363"/>
      <c r="S14" s="363"/>
      <c r="T14" s="363"/>
      <c r="U14" s="363"/>
      <c r="V14" s="363"/>
      <c r="W14" s="363"/>
      <c r="X14" s="363"/>
      <c r="Y14" s="363"/>
      <c r="Z14" s="363"/>
    </row>
    <row r="15" spans="1:26" ht="9.75" customHeight="1">
      <c r="A15" s="90"/>
      <c r="B15" s="392"/>
      <c r="C15" s="393"/>
      <c r="D15" s="387" t="str">
        <f>Model!B7</f>
        <v>Verdampen vocht mineralen witte trommel</v>
      </c>
      <c r="E15" s="388">
        <f>IF(ISERROR(Model!O7*Model!$N$25/$E$6),"",Model!O7*Model!$N$25/$E$6)</f>
        <v>13235227.885468254</v>
      </c>
      <c r="F15" s="394"/>
      <c r="G15" s="395">
        <f>(SUMPRODUCT(E6:F6,E15:F15))/1000000</f>
        <v>13.235227885468253</v>
      </c>
      <c r="H15" s="396">
        <f>(SUMPRODUCT(E7:F7,E15:F15))</f>
        <v>0</v>
      </c>
      <c r="I15" s="363"/>
      <c r="J15" s="509"/>
      <c r="K15" s="363"/>
      <c r="L15" s="363"/>
      <c r="M15" s="363"/>
      <c r="N15" s="363"/>
      <c r="O15" s="363"/>
      <c r="P15" s="363"/>
      <c r="Q15" s="363"/>
      <c r="R15" s="363"/>
      <c r="S15" s="363"/>
      <c r="T15" s="363"/>
      <c r="U15" s="363"/>
      <c r="V15" s="363"/>
      <c r="W15" s="363"/>
      <c r="X15" s="363"/>
      <c r="Y15" s="363"/>
      <c r="Z15" s="363"/>
    </row>
    <row r="16" spans="1:26" ht="9.75" customHeight="1">
      <c r="A16" s="90"/>
      <c r="B16" s="392"/>
      <c r="C16" s="393"/>
      <c r="D16" s="387" t="str">
        <f>Model!B8</f>
        <v>Verdampen vocht AG paralleltrommel</v>
      </c>
      <c r="E16" s="388">
        <f>IF(ISERROR(Model!O8*Model!$N$25/$E$6),"",Model!O8*Model!$N$25/$E$6)</f>
        <v>6842744.5331557887</v>
      </c>
      <c r="F16" s="394"/>
      <c r="G16" s="395">
        <f>(SUMPRODUCT(E6:F6,E16:F16))/1000000</f>
        <v>6.8427445331557886</v>
      </c>
      <c r="H16" s="396">
        <f>(SUMPRODUCT(E7:F7,E16:F16))</f>
        <v>0</v>
      </c>
      <c r="I16" s="363"/>
      <c r="J16" s="90"/>
      <c r="K16" s="363"/>
      <c r="L16" s="363"/>
      <c r="M16" s="363"/>
      <c r="N16" s="363"/>
      <c r="O16" s="363"/>
      <c r="P16" s="363"/>
      <c r="Q16" s="363"/>
      <c r="R16" s="363"/>
      <c r="S16" s="363"/>
      <c r="T16" s="363"/>
      <c r="U16" s="363"/>
      <c r="V16" s="363"/>
      <c r="W16" s="363"/>
      <c r="X16" s="363"/>
      <c r="Y16" s="363"/>
      <c r="Z16" s="363"/>
    </row>
    <row r="17" spans="1:26" ht="9.75" customHeight="1">
      <c r="A17" s="90"/>
      <c r="B17" s="392"/>
      <c r="C17" s="393"/>
      <c r="D17" s="387" t="str">
        <f>Model!B9</f>
        <v xml:space="preserve">Opwarmen verbrandingslucht, overmaat en leklucht </v>
      </c>
      <c r="E17" s="388">
        <f>IF(ISERROR(Model!O9*Model!$N$25/$E$6),"",Model!O9*Model!$N$25/$E$6)</f>
        <v>7923922.5833148118</v>
      </c>
      <c r="F17" s="394"/>
      <c r="G17" s="395">
        <f>(SUMPRODUCT(E6:F6,E17:F17))/1000000</f>
        <v>7.9239225833148117</v>
      </c>
      <c r="H17" s="396">
        <f>(SUMPRODUCT(E7:F7,E17:F17))</f>
        <v>0</v>
      </c>
      <c r="I17" s="363"/>
      <c r="J17" s="91"/>
      <c r="K17" s="363"/>
      <c r="L17" s="363"/>
      <c r="M17" s="363"/>
      <c r="N17" s="363"/>
      <c r="O17" s="363"/>
      <c r="P17" s="363"/>
      <c r="Q17" s="363"/>
      <c r="R17" s="363"/>
      <c r="S17" s="363"/>
      <c r="T17" s="363"/>
      <c r="U17" s="363"/>
      <c r="V17" s="363"/>
      <c r="W17" s="363"/>
      <c r="X17" s="363"/>
      <c r="Y17" s="363"/>
      <c r="Z17" s="363"/>
    </row>
    <row r="18" spans="1:26" ht="9.75" customHeight="1">
      <c r="A18" s="90"/>
      <c r="B18" s="392"/>
      <c r="C18" s="393"/>
      <c r="D18" s="387" t="str">
        <f>Model!B10</f>
        <v>Straling witte trommel en paralleltrommel</v>
      </c>
      <c r="E18" s="388">
        <f>IF(ISERROR(Model!O10*Model!$N$25/$E$6),"",Model!O10*Model!$N$25/$E$6)</f>
        <v>611995.38415841595</v>
      </c>
      <c r="F18" s="394"/>
      <c r="G18" s="395">
        <f>(SUMPRODUCT(E6:F6,E18:F18))/1000000</f>
        <v>0.61199538415841592</v>
      </c>
      <c r="H18" s="396">
        <f>(SUMPRODUCT(E7:F7,E18:F18))</f>
        <v>0</v>
      </c>
      <c r="I18" s="363"/>
      <c r="J18" s="509"/>
      <c r="K18" s="363"/>
      <c r="L18" s="363"/>
      <c r="M18" s="363"/>
      <c r="N18" s="363"/>
      <c r="O18" s="363"/>
      <c r="P18" s="363"/>
      <c r="Q18" s="363"/>
      <c r="R18" s="363"/>
      <c r="S18" s="363"/>
      <c r="T18" s="363"/>
      <c r="U18" s="363"/>
      <c r="V18" s="363"/>
      <c r="W18" s="363"/>
      <c r="X18" s="363"/>
      <c r="Y18" s="363"/>
      <c r="Z18" s="363"/>
    </row>
    <row r="19" spans="1:26" ht="9.75" customHeight="1">
      <c r="A19" s="90"/>
      <c r="B19" s="392"/>
      <c r="C19" s="393"/>
      <c r="D19" s="387" t="str">
        <f>Model!B11</f>
        <v>Afgas parallel trommel (overdracht op witte trommel)</v>
      </c>
      <c r="E19" s="388">
        <f>IF(ISERROR(Model!O11*Model!$N$25/$E$6),"",Model!O11*Model!$N$25/$E$6)</f>
        <v>0</v>
      </c>
      <c r="F19" s="394"/>
      <c r="G19" s="395">
        <f>(SUMPRODUCT(E6:F6,E19:F19))/1000000</f>
        <v>0</v>
      </c>
      <c r="H19" s="396">
        <f>(SUMPRODUCT(E7:F7,E19:F19))</f>
        <v>0</v>
      </c>
      <c r="I19" s="363"/>
      <c r="J19" s="509"/>
      <c r="K19" s="363"/>
      <c r="L19" s="363"/>
      <c r="M19" s="363"/>
      <c r="N19" s="363"/>
      <c r="O19" s="363"/>
      <c r="P19" s="363"/>
      <c r="Q19" s="363"/>
      <c r="R19" s="363"/>
      <c r="S19" s="363"/>
      <c r="T19" s="363"/>
      <c r="U19" s="363"/>
      <c r="V19" s="363"/>
      <c r="W19" s="363"/>
      <c r="X19" s="363"/>
      <c r="Y19" s="363"/>
      <c r="Z19" s="363"/>
    </row>
    <row r="20" spans="1:26" ht="9.75" customHeight="1">
      <c r="A20" s="90"/>
      <c r="B20" s="392"/>
      <c r="C20" s="393"/>
      <c r="D20" s="387" t="str">
        <f>Model!B12</f>
        <v>Bitumenverwarming</v>
      </c>
      <c r="E20" s="388" t="str">
        <f>IF(ISERROR(IF(Projectinformatie!C109="Elektriciteit","",Model!O12*Model!N25/Energiedragers!D3)),"",IF(Projectinformatie!C109="Elektriciteit","",Model!O12*Model!N25/Energiedragers!D3))</f>
        <v/>
      </c>
      <c r="F20" s="394">
        <f>IF(ISERROR(IF(Projectinformatie!C109="Elektriciteit",Model!O12*Model!N25/Energiedragers!D17,"")),"",IF(Projectinformatie!C109="Elektriciteit",Model!O12*Model!N25/Energiedragers!D17,""))</f>
        <v>400000</v>
      </c>
      <c r="G20" s="395">
        <f>(SUMPRODUCT(E6:F6,E20:F20))/1000000</f>
        <v>1.44</v>
      </c>
      <c r="H20" s="396">
        <f>(SUMPRODUCT(E7:F7,E20:F20))</f>
        <v>0</v>
      </c>
      <c r="I20" s="363"/>
      <c r="J20" s="509"/>
      <c r="K20" s="363"/>
      <c r="L20" s="363"/>
      <c r="M20" s="363"/>
      <c r="N20" s="363"/>
      <c r="O20" s="363"/>
      <c r="P20" s="363"/>
      <c r="Q20" s="363"/>
      <c r="R20" s="363"/>
      <c r="S20" s="363"/>
      <c r="T20" s="363"/>
      <c r="U20" s="363"/>
      <c r="V20" s="363"/>
      <c r="W20" s="363"/>
      <c r="X20" s="363"/>
      <c r="Y20" s="363"/>
      <c r="Z20" s="363"/>
    </row>
    <row r="21" spans="1:26" ht="9.75" customHeight="1">
      <c r="A21" s="90"/>
      <c r="B21" s="392"/>
      <c r="C21" s="393"/>
      <c r="D21" s="387" t="str">
        <f>Model!B13</f>
        <v>Receptwisselingen</v>
      </c>
      <c r="E21" s="388">
        <f>IF(ISERROR(Model!O13*Model!$N$25/$E$6),"",Model!O13*Model!$N$25/$E$6)</f>
        <v>3338387.2530676713</v>
      </c>
      <c r="F21" s="394"/>
      <c r="G21" s="395">
        <f>(SUMPRODUCT(E6:F6,E21:F21))/1000000</f>
        <v>3.3383872530676713</v>
      </c>
      <c r="H21" s="396">
        <f>(SUMPRODUCT(E7:F7,E21:F21))</f>
        <v>0</v>
      </c>
      <c r="I21" s="363"/>
      <c r="J21" s="509"/>
      <c r="K21" s="363"/>
      <c r="L21" s="363"/>
      <c r="M21" s="363"/>
      <c r="N21" s="363"/>
      <c r="O21" s="363"/>
      <c r="P21" s="363"/>
      <c r="Q21" s="363"/>
      <c r="R21" s="363"/>
      <c r="S21" s="363"/>
      <c r="T21" s="363"/>
      <c r="U21" s="363"/>
      <c r="V21" s="363"/>
      <c r="W21" s="363"/>
      <c r="X21" s="363"/>
      <c r="Y21" s="363"/>
      <c r="Z21" s="363"/>
    </row>
    <row r="22" spans="1:26" ht="9.75" customHeight="1">
      <c r="A22" s="90"/>
      <c r="B22" s="392"/>
      <c r="C22" s="393"/>
      <c r="D22" s="387" t="str">
        <f>Model!B14</f>
        <v>Starts en stops</v>
      </c>
      <c r="E22" s="388">
        <f>IF(ISERROR(Model!O14*Model!$N$25/$E$6),"",Model!O14*Model!$N$25/$E$6)</f>
        <v>1780473.2016360909</v>
      </c>
      <c r="F22" s="394"/>
      <c r="G22" s="395">
        <f>(SUMPRODUCT(E6:F6,E22:F22))/1000000</f>
        <v>1.7804732016360909</v>
      </c>
      <c r="H22" s="396">
        <f>(SUMPRODUCT(E7:F7,E22:F22))</f>
        <v>0</v>
      </c>
      <c r="I22" s="81"/>
      <c r="J22" s="509"/>
      <c r="K22" s="363"/>
      <c r="L22" s="363"/>
      <c r="M22" s="363"/>
      <c r="N22" s="363"/>
      <c r="O22" s="363"/>
      <c r="P22" s="363"/>
      <c r="Q22" s="363"/>
      <c r="R22" s="363"/>
      <c r="S22" s="363"/>
      <c r="T22" s="363"/>
      <c r="U22" s="363"/>
      <c r="V22" s="363"/>
      <c r="W22" s="363"/>
      <c r="X22" s="363"/>
      <c r="Y22" s="363"/>
      <c r="Z22" s="363"/>
    </row>
    <row r="23" spans="1:26" ht="9.75" customHeight="1">
      <c r="A23" s="90"/>
      <c r="B23" s="392"/>
      <c r="C23" s="393"/>
      <c r="D23" s="387" t="s">
        <v>356</v>
      </c>
      <c r="E23" s="388"/>
      <c r="F23" s="394">
        <f>IF(ISERROR(Model!O15*Model!$N$25/Energiedragers!$D$17),"",Model!O15*Model!$N$25/Energiedragers!$D$17)</f>
        <v>648064.50000000012</v>
      </c>
      <c r="G23" s="395">
        <f>(SUMPRODUCT(E6:F6,E23:F23))/1000000</f>
        <v>2.3330322000000008</v>
      </c>
      <c r="H23" s="396">
        <f>(SUMPRODUCT(E7:F7,E23:F23))</f>
        <v>0</v>
      </c>
      <c r="I23" s="81"/>
      <c r="J23" s="509"/>
      <c r="K23" s="363"/>
      <c r="L23" s="363"/>
      <c r="M23" s="363"/>
      <c r="N23" s="363"/>
      <c r="O23" s="363"/>
      <c r="P23" s="363"/>
      <c r="Q23" s="363"/>
      <c r="R23" s="363"/>
      <c r="S23" s="363"/>
      <c r="T23" s="363"/>
      <c r="U23" s="363"/>
      <c r="V23" s="363"/>
      <c r="W23" s="363"/>
      <c r="X23" s="363"/>
      <c r="Y23" s="363"/>
      <c r="Z23" s="363"/>
    </row>
    <row r="24" spans="1:26" ht="9.75" customHeight="1">
      <c r="A24" s="90"/>
      <c r="B24" s="397" t="s">
        <v>501</v>
      </c>
      <c r="C24" s="398"/>
      <c r="D24" s="399"/>
      <c r="E24" s="400"/>
      <c r="F24" s="401"/>
      <c r="G24" s="515">
        <f>(SUMPRODUCT(E6:F6,E24:F24))/1000000</f>
        <v>0</v>
      </c>
      <c r="H24" s="402">
        <f>(SUMPRODUCT(E7:F7,E24:F24))</f>
        <v>0</v>
      </c>
      <c r="I24" s="81"/>
      <c r="J24" s="509"/>
      <c r="K24" s="363"/>
      <c r="L24" s="363"/>
      <c r="M24" s="363"/>
      <c r="N24" s="363"/>
      <c r="O24" s="363"/>
      <c r="P24" s="363"/>
      <c r="Q24" s="363"/>
      <c r="R24" s="363"/>
      <c r="S24" s="363"/>
      <c r="T24" s="363"/>
      <c r="U24" s="363"/>
      <c r="V24" s="363"/>
      <c r="W24" s="363"/>
      <c r="X24" s="363"/>
      <c r="Y24" s="363"/>
      <c r="Z24" s="363"/>
    </row>
    <row r="25" spans="1:26" ht="9.75" customHeight="1">
      <c r="A25" s="90"/>
      <c r="B25" s="90"/>
      <c r="C25" s="90"/>
      <c r="D25" s="90"/>
      <c r="E25" s="90"/>
      <c r="F25" s="90"/>
      <c r="G25" s="90"/>
      <c r="H25" s="363">
        <f>(SUMPRODUCT(E7:F7,E25:F25))</f>
        <v>0</v>
      </c>
      <c r="I25" s="363"/>
      <c r="J25" s="509"/>
      <c r="K25" s="363"/>
      <c r="L25" s="363"/>
      <c r="M25" s="363"/>
      <c r="N25" s="363"/>
      <c r="O25" s="363"/>
      <c r="P25" s="363"/>
      <c r="Q25" s="363"/>
      <c r="R25" s="363"/>
      <c r="S25" s="363"/>
      <c r="T25" s="363"/>
      <c r="U25" s="363"/>
      <c r="V25" s="363"/>
      <c r="W25" s="363"/>
      <c r="X25" s="363"/>
      <c r="Y25" s="363"/>
      <c r="Z25" s="363"/>
    </row>
    <row r="26" spans="1:26" ht="9.75" customHeight="1">
      <c r="A26" s="90"/>
      <c r="B26" s="403"/>
      <c r="C26" s="403"/>
      <c r="D26" s="403"/>
      <c r="E26" s="35" t="s">
        <v>502</v>
      </c>
      <c r="F26" s="35" t="s">
        <v>503</v>
      </c>
      <c r="G26" s="90"/>
      <c r="H26" s="363">
        <f>(SUMPRODUCT(E7:F7,E26:F26))</f>
        <v>0</v>
      </c>
      <c r="I26" s="363"/>
      <c r="J26" s="509"/>
      <c r="K26" s="363"/>
      <c r="L26" s="363"/>
      <c r="M26" s="363"/>
      <c r="N26" s="363"/>
      <c r="O26" s="363"/>
      <c r="P26" s="363"/>
      <c r="Q26" s="363"/>
      <c r="R26" s="363"/>
      <c r="S26" s="363"/>
      <c r="T26" s="363"/>
      <c r="U26" s="363"/>
      <c r="V26" s="363"/>
      <c r="W26" s="363"/>
      <c r="X26" s="363"/>
      <c r="Y26" s="363"/>
      <c r="Z26" s="363"/>
    </row>
    <row r="27" spans="1:26" ht="9.75" customHeight="1">
      <c r="A27" s="90"/>
      <c r="B27" s="90"/>
      <c r="C27" s="90"/>
      <c r="D27" s="90"/>
      <c r="E27" s="35">
        <v>3575049</v>
      </c>
      <c r="F27" s="35">
        <v>1408463</v>
      </c>
      <c r="G27" s="90"/>
      <c r="H27" s="363">
        <f>(SUMPRODUCT(E7:F7,E27:F27))</f>
        <v>0</v>
      </c>
      <c r="I27" s="363"/>
      <c r="J27" s="509"/>
      <c r="K27" s="363"/>
      <c r="L27" s="363"/>
      <c r="M27" s="363"/>
      <c r="N27" s="363"/>
      <c r="O27" s="363"/>
      <c r="P27" s="363"/>
      <c r="Q27" s="363"/>
      <c r="R27" s="363"/>
      <c r="S27" s="363"/>
      <c r="T27" s="363"/>
      <c r="U27" s="363"/>
      <c r="V27" s="363"/>
      <c r="W27" s="363"/>
      <c r="X27" s="363"/>
      <c r="Y27" s="363"/>
      <c r="Z27" s="363"/>
    </row>
    <row r="28" spans="1:26" ht="9.75" customHeight="1">
      <c r="A28" s="90"/>
      <c r="B28" s="90"/>
      <c r="C28" s="90"/>
      <c r="D28" s="90"/>
      <c r="E28" s="90"/>
      <c r="F28" s="90"/>
      <c r="G28" s="90"/>
      <c r="H28" s="363">
        <f>(SUMPRODUCT(E7:F7,E28:F28))</f>
        <v>0</v>
      </c>
      <c r="I28" s="363"/>
      <c r="J28" s="509"/>
      <c r="K28" s="363"/>
      <c r="L28" s="363"/>
      <c r="M28" s="363"/>
      <c r="N28" s="363"/>
      <c r="O28" s="363"/>
      <c r="P28" s="363"/>
      <c r="Q28" s="363"/>
      <c r="R28" s="363"/>
      <c r="S28" s="363"/>
      <c r="T28" s="363"/>
      <c r="U28" s="363"/>
      <c r="V28" s="363"/>
      <c r="W28" s="363"/>
      <c r="X28" s="363"/>
      <c r="Y28" s="363"/>
      <c r="Z28" s="363"/>
    </row>
    <row r="29" spans="1:26" ht="9.75" customHeight="1">
      <c r="A29" s="90"/>
      <c r="B29" s="90"/>
      <c r="C29" s="90"/>
      <c r="D29" s="90"/>
      <c r="E29" s="90"/>
      <c r="F29" s="90"/>
      <c r="G29" s="90"/>
      <c r="H29" s="363">
        <f>(SUMPRODUCT(E7:F7,E29:F29))</f>
        <v>0</v>
      </c>
      <c r="I29" s="363"/>
      <c r="J29" s="509"/>
      <c r="K29" s="363"/>
      <c r="L29" s="363"/>
      <c r="M29" s="363"/>
      <c r="N29" s="363"/>
      <c r="O29" s="363"/>
      <c r="P29" s="363"/>
      <c r="Q29" s="363"/>
      <c r="R29" s="363"/>
      <c r="S29" s="363"/>
      <c r="T29" s="363"/>
      <c r="U29" s="363"/>
      <c r="V29" s="363"/>
      <c r="W29" s="363"/>
      <c r="X29" s="363"/>
      <c r="Y29" s="363"/>
      <c r="Z29" s="363"/>
    </row>
    <row r="30" spans="1:26" ht="9.75" customHeight="1">
      <c r="A30" s="90"/>
      <c r="B30" s="90"/>
      <c r="C30" s="90"/>
      <c r="D30" s="90"/>
      <c r="E30" s="90"/>
      <c r="F30" s="90"/>
      <c r="G30" s="90"/>
      <c r="H30" s="363">
        <f>(SUMPRODUCT(E7:F7,E30:F30))</f>
        <v>0</v>
      </c>
      <c r="I30" s="363"/>
      <c r="J30" s="509"/>
      <c r="K30" s="363"/>
      <c r="L30" s="363"/>
      <c r="M30" s="363"/>
      <c r="N30" s="363"/>
      <c r="O30" s="363"/>
      <c r="P30" s="363"/>
      <c r="Q30" s="363"/>
      <c r="R30" s="363"/>
      <c r="S30" s="363"/>
      <c r="T30" s="363"/>
      <c r="U30" s="363"/>
      <c r="V30" s="363"/>
      <c r="W30" s="363"/>
      <c r="X30" s="363"/>
      <c r="Y30" s="363"/>
      <c r="Z30" s="363"/>
    </row>
    <row r="31" spans="1:26" ht="9.75" customHeight="1">
      <c r="A31" s="90"/>
      <c r="B31" s="90"/>
      <c r="C31" s="90"/>
      <c r="D31" s="90"/>
      <c r="E31" s="90"/>
      <c r="F31" s="90"/>
      <c r="G31" s="90"/>
      <c r="H31" s="363">
        <f>(SUMPRODUCT(E7:F7,E31:F31))</f>
        <v>0</v>
      </c>
      <c r="I31" s="363"/>
      <c r="J31" s="509"/>
      <c r="K31" s="363"/>
      <c r="L31" s="363"/>
      <c r="M31" s="363"/>
      <c r="N31" s="363"/>
      <c r="O31" s="363"/>
      <c r="P31" s="363"/>
      <c r="Q31" s="363"/>
      <c r="R31" s="363"/>
      <c r="S31" s="363"/>
      <c r="T31" s="363"/>
      <c r="U31" s="363"/>
      <c r="V31" s="363"/>
      <c r="W31" s="363"/>
      <c r="X31" s="363"/>
      <c r="Y31" s="363"/>
      <c r="Z31" s="363"/>
    </row>
    <row r="32" spans="1:26" ht="9.75" customHeight="1">
      <c r="A32" s="90"/>
      <c r="B32" s="90"/>
      <c r="C32" s="90"/>
      <c r="D32" s="90"/>
      <c r="E32" s="90"/>
      <c r="F32" s="90"/>
      <c r="G32" s="90"/>
      <c r="H32" s="363">
        <f>(SUMPRODUCT(E7:F7,E32:F32))</f>
        <v>0</v>
      </c>
      <c r="I32" s="363"/>
      <c r="J32" s="81"/>
      <c r="K32" s="363"/>
      <c r="L32" s="363"/>
      <c r="M32" s="363"/>
      <c r="N32" s="363"/>
      <c r="O32" s="363"/>
      <c r="P32" s="363"/>
      <c r="Q32" s="363"/>
      <c r="R32" s="363"/>
      <c r="S32" s="363"/>
      <c r="T32" s="363"/>
      <c r="U32" s="363"/>
      <c r="V32" s="363"/>
      <c r="W32" s="363"/>
      <c r="X32" s="363"/>
      <c r="Y32" s="363"/>
      <c r="Z32" s="363"/>
    </row>
    <row r="33" spans="1:26" ht="9.75" customHeight="1">
      <c r="A33" s="90"/>
      <c r="B33" s="90"/>
      <c r="C33" s="90"/>
      <c r="D33" s="90"/>
      <c r="E33" s="90"/>
      <c r="F33" s="90"/>
      <c r="G33" s="90"/>
      <c r="H33" s="363">
        <f>(SUMPRODUCT(E7:F7,E33:F33))</f>
        <v>0</v>
      </c>
      <c r="I33" s="363"/>
      <c r="J33" s="91"/>
      <c r="K33" s="363"/>
      <c r="L33" s="363"/>
      <c r="M33" s="363"/>
      <c r="N33" s="363"/>
      <c r="O33" s="363"/>
      <c r="P33" s="363"/>
      <c r="Q33" s="363"/>
      <c r="R33" s="363"/>
      <c r="S33" s="363"/>
      <c r="T33" s="363"/>
      <c r="U33" s="363"/>
      <c r="V33" s="363"/>
      <c r="W33" s="363"/>
      <c r="X33" s="363"/>
      <c r="Y33" s="363"/>
      <c r="Z33" s="363"/>
    </row>
    <row r="34" spans="1:26" ht="9.75" customHeight="1">
      <c r="A34" s="90"/>
      <c r="B34" s="90"/>
      <c r="C34" s="90"/>
      <c r="D34" s="90"/>
      <c r="E34" s="90"/>
      <c r="F34" s="90"/>
      <c r="G34" s="90"/>
      <c r="H34" s="363">
        <f>(SUMPRODUCT(E7:F7,E34:F34))</f>
        <v>0</v>
      </c>
      <c r="I34" s="363"/>
      <c r="J34" s="509"/>
      <c r="K34" s="363"/>
      <c r="L34" s="363"/>
      <c r="M34" s="363"/>
      <c r="N34" s="363"/>
      <c r="O34" s="363"/>
      <c r="P34" s="363"/>
      <c r="Q34" s="363"/>
      <c r="R34" s="363"/>
      <c r="S34" s="363"/>
      <c r="T34" s="363"/>
      <c r="U34" s="363"/>
      <c r="V34" s="363"/>
      <c r="W34" s="363"/>
      <c r="X34" s="363"/>
      <c r="Y34" s="363"/>
      <c r="Z34" s="363"/>
    </row>
    <row r="35" spans="1:26" ht="9.75" customHeight="1">
      <c r="A35" s="90"/>
      <c r="B35" s="90"/>
      <c r="C35" s="90"/>
      <c r="D35" s="90"/>
      <c r="E35" s="90"/>
      <c r="F35" s="90"/>
      <c r="G35" s="90"/>
      <c r="H35" s="363">
        <f>(SUMPRODUCT(E7:F7,E35:F35))</f>
        <v>0</v>
      </c>
      <c r="I35" s="363"/>
      <c r="J35" s="509"/>
      <c r="K35" s="363"/>
      <c r="L35" s="363"/>
      <c r="M35" s="363"/>
      <c r="N35" s="363"/>
      <c r="O35" s="363"/>
      <c r="P35" s="363"/>
      <c r="Q35" s="363"/>
      <c r="R35" s="363"/>
      <c r="S35" s="363"/>
      <c r="T35" s="363"/>
      <c r="U35" s="363"/>
      <c r="V35" s="363"/>
      <c r="W35" s="363"/>
      <c r="X35" s="363"/>
      <c r="Y35" s="363"/>
      <c r="Z35" s="363"/>
    </row>
    <row r="36" spans="1:26" ht="9.75" customHeight="1">
      <c r="A36" s="90"/>
      <c r="B36" s="90"/>
      <c r="C36" s="90"/>
      <c r="D36" s="90"/>
      <c r="E36" s="90"/>
      <c r="F36" s="90"/>
      <c r="G36" s="90"/>
      <c r="H36" s="363">
        <f>(SUMPRODUCT(E7:F7,E36:F36))</f>
        <v>0</v>
      </c>
      <c r="I36" s="363"/>
      <c r="J36" s="509"/>
      <c r="K36" s="363"/>
      <c r="L36" s="363"/>
      <c r="M36" s="363"/>
      <c r="N36" s="363"/>
      <c r="O36" s="363"/>
      <c r="P36" s="363"/>
      <c r="Q36" s="363"/>
      <c r="R36" s="363"/>
      <c r="S36" s="363"/>
      <c r="T36" s="363"/>
      <c r="U36" s="363"/>
      <c r="V36" s="363"/>
      <c r="W36" s="363"/>
      <c r="X36" s="363"/>
      <c r="Y36" s="363"/>
      <c r="Z36" s="363"/>
    </row>
    <row r="37" spans="1:26" ht="9.75" customHeight="1">
      <c r="A37" s="90"/>
      <c r="B37" s="90"/>
      <c r="C37" s="90"/>
      <c r="D37" s="90"/>
      <c r="E37" s="90"/>
      <c r="F37" s="90"/>
      <c r="G37" s="90"/>
      <c r="H37" s="363">
        <f>(SUMPRODUCT(E7:F7,E37:F37))</f>
        <v>0</v>
      </c>
      <c r="I37" s="363"/>
      <c r="J37" s="81"/>
      <c r="K37" s="363"/>
      <c r="L37" s="363"/>
      <c r="M37" s="363"/>
      <c r="N37" s="363"/>
      <c r="O37" s="363"/>
      <c r="P37" s="363"/>
      <c r="Q37" s="363"/>
      <c r="R37" s="363"/>
      <c r="S37" s="363"/>
      <c r="T37" s="363"/>
      <c r="U37" s="363"/>
      <c r="V37" s="363"/>
      <c r="W37" s="363"/>
      <c r="X37" s="363"/>
      <c r="Y37" s="363"/>
      <c r="Z37" s="363"/>
    </row>
    <row r="38" spans="1:26" ht="9.75" customHeight="1">
      <c r="A38" s="90"/>
      <c r="B38" s="90"/>
      <c r="C38" s="90"/>
      <c r="D38" s="90"/>
      <c r="E38" s="90"/>
      <c r="F38" s="90"/>
      <c r="G38" s="90"/>
      <c r="H38" s="363">
        <f>(SUMPRODUCT(E7:F7,E38:F38))</f>
        <v>0</v>
      </c>
      <c r="I38" s="363"/>
      <c r="J38" s="91"/>
      <c r="K38" s="363"/>
      <c r="L38" s="363"/>
      <c r="M38" s="363"/>
      <c r="N38" s="363"/>
      <c r="O38" s="363"/>
      <c r="P38" s="363"/>
      <c r="Q38" s="363"/>
      <c r="R38" s="363"/>
      <c r="S38" s="363"/>
      <c r="T38" s="363"/>
      <c r="U38" s="363"/>
      <c r="V38" s="363"/>
      <c r="W38" s="363"/>
      <c r="X38" s="363"/>
      <c r="Y38" s="363"/>
      <c r="Z38" s="363"/>
    </row>
    <row r="39" spans="1:26" ht="9.75" customHeight="1">
      <c r="A39" s="90"/>
      <c r="B39" s="90"/>
      <c r="C39" s="90"/>
      <c r="D39" s="90"/>
      <c r="E39" s="90"/>
      <c r="F39" s="90"/>
      <c r="G39" s="90"/>
      <c r="H39" s="363">
        <f>(SUMPRODUCT(E7:F7,E39:F39))</f>
        <v>0</v>
      </c>
      <c r="I39" s="363"/>
      <c r="J39" s="509"/>
      <c r="K39" s="363"/>
      <c r="L39" s="363"/>
      <c r="M39" s="363"/>
      <c r="N39" s="363"/>
      <c r="O39" s="363"/>
      <c r="P39" s="363"/>
      <c r="Q39" s="363"/>
      <c r="R39" s="363"/>
      <c r="S39" s="363"/>
      <c r="T39" s="363"/>
      <c r="U39" s="363"/>
      <c r="V39" s="363"/>
      <c r="W39" s="363"/>
      <c r="X39" s="363"/>
      <c r="Y39" s="363"/>
      <c r="Z39" s="363"/>
    </row>
    <row r="40" spans="1:26" ht="9.75" customHeight="1">
      <c r="A40" s="90"/>
      <c r="B40" s="90"/>
      <c r="C40" s="90"/>
      <c r="D40" s="90"/>
      <c r="E40" s="90"/>
      <c r="F40" s="90"/>
      <c r="G40" s="90"/>
      <c r="H40" s="363">
        <f>(SUMPRODUCT(E7:F7,E40:F40))</f>
        <v>0</v>
      </c>
      <c r="I40" s="363"/>
      <c r="J40" s="363"/>
      <c r="K40" s="363"/>
      <c r="L40" s="363"/>
      <c r="M40" s="363"/>
      <c r="N40" s="363"/>
      <c r="O40" s="363"/>
      <c r="P40" s="363"/>
      <c r="Q40" s="363"/>
      <c r="R40" s="363"/>
      <c r="S40" s="363"/>
      <c r="T40" s="363"/>
      <c r="U40" s="363"/>
      <c r="V40" s="363"/>
      <c r="W40" s="363"/>
      <c r="X40" s="363"/>
      <c r="Y40" s="363"/>
      <c r="Z40" s="363"/>
    </row>
    <row r="41" spans="1:26" ht="9.75" customHeight="1">
      <c r="A41" s="90"/>
      <c r="B41" s="90"/>
      <c r="C41" s="90"/>
      <c r="D41" s="90"/>
      <c r="E41" s="90"/>
      <c r="F41" s="90"/>
      <c r="G41" s="90"/>
      <c r="H41" s="363">
        <f>(SUMPRODUCT(E7:F7,E41:F41))</f>
        <v>0</v>
      </c>
      <c r="I41" s="363"/>
      <c r="J41" s="363"/>
      <c r="K41" s="363"/>
      <c r="L41" s="363"/>
      <c r="M41" s="363"/>
      <c r="N41" s="363"/>
      <c r="O41" s="363"/>
      <c r="P41" s="363"/>
      <c r="Q41" s="363"/>
      <c r="R41" s="363"/>
      <c r="S41" s="363"/>
      <c r="T41" s="363"/>
      <c r="U41" s="363"/>
      <c r="V41" s="363"/>
      <c r="W41" s="363"/>
      <c r="X41" s="363"/>
      <c r="Y41" s="363"/>
      <c r="Z41" s="363"/>
    </row>
    <row r="42" spans="1:26" ht="9.75" customHeight="1">
      <c r="A42" s="90"/>
      <c r="B42" s="90"/>
      <c r="C42" s="90"/>
      <c r="D42" s="90"/>
      <c r="E42" s="90"/>
      <c r="F42" s="90"/>
      <c r="G42" s="90"/>
      <c r="H42" s="363">
        <f>(SUMPRODUCT(E7:F7,E42:F42))</f>
        <v>0</v>
      </c>
      <c r="I42" s="363"/>
      <c r="J42" s="363"/>
      <c r="K42" s="363"/>
      <c r="L42" s="363"/>
      <c r="M42" s="363"/>
      <c r="N42" s="363"/>
      <c r="O42" s="363"/>
      <c r="P42" s="363"/>
      <c r="Q42" s="363"/>
      <c r="R42" s="363"/>
      <c r="S42" s="363"/>
      <c r="T42" s="363"/>
      <c r="U42" s="363"/>
      <c r="V42" s="363"/>
      <c r="W42" s="363"/>
      <c r="X42" s="363"/>
      <c r="Y42" s="363"/>
      <c r="Z42" s="363"/>
    </row>
    <row r="43" spans="1:26" ht="9.75" customHeight="1">
      <c r="A43" s="90"/>
      <c r="B43" s="90"/>
      <c r="C43" s="90"/>
      <c r="D43" s="90"/>
      <c r="E43" s="90"/>
      <c r="F43" s="90"/>
      <c r="G43" s="90"/>
      <c r="H43" s="363">
        <f>(SUMPRODUCT(E7:F7,E43:F43))</f>
        <v>0</v>
      </c>
      <c r="I43" s="363"/>
      <c r="J43" s="363"/>
      <c r="K43" s="363"/>
      <c r="L43" s="363"/>
      <c r="M43" s="363"/>
      <c r="N43" s="363"/>
      <c r="O43" s="363"/>
      <c r="P43" s="363"/>
      <c r="Q43" s="363"/>
      <c r="R43" s="363"/>
      <c r="S43" s="363"/>
      <c r="T43" s="363"/>
      <c r="U43" s="363"/>
      <c r="V43" s="363"/>
      <c r="W43" s="363"/>
      <c r="X43" s="363"/>
      <c r="Y43" s="363"/>
      <c r="Z43" s="363"/>
    </row>
    <row r="44" spans="1:26" ht="9.75" customHeight="1">
      <c r="A44" s="90"/>
      <c r="B44" s="90"/>
      <c r="C44" s="90"/>
      <c r="D44" s="90"/>
      <c r="E44" s="90"/>
      <c r="F44" s="90"/>
      <c r="G44" s="90"/>
      <c r="H44" s="363">
        <f>(SUMPRODUCT(E7:F7,E44:F44))</f>
        <v>0</v>
      </c>
      <c r="I44" s="363"/>
      <c r="J44" s="363"/>
      <c r="K44" s="363"/>
      <c r="L44" s="363"/>
      <c r="M44" s="363"/>
      <c r="N44" s="363"/>
      <c r="O44" s="363"/>
      <c r="P44" s="363"/>
      <c r="Q44" s="363"/>
      <c r="R44" s="363"/>
      <c r="S44" s="363"/>
      <c r="T44" s="363"/>
      <c r="U44" s="363"/>
      <c r="V44" s="363"/>
      <c r="W44" s="363"/>
      <c r="X44" s="363"/>
      <c r="Y44" s="363"/>
      <c r="Z44" s="363"/>
    </row>
    <row r="45" spans="1:26" ht="9.75" customHeight="1">
      <c r="A45" s="90"/>
      <c r="B45" s="90" t="s">
        <v>504</v>
      </c>
      <c r="C45" s="90"/>
      <c r="D45" s="90"/>
      <c r="E45" s="90"/>
      <c r="F45" s="90"/>
      <c r="G45" s="90"/>
      <c r="H45" s="363">
        <f>(SUMPRODUCT(E7:F7,E45:F45))</f>
        <v>0</v>
      </c>
      <c r="I45" s="363"/>
      <c r="J45" s="363"/>
      <c r="K45" s="363"/>
      <c r="L45" s="363"/>
      <c r="M45" s="363"/>
      <c r="N45" s="363"/>
      <c r="O45" s="363"/>
      <c r="P45" s="363"/>
      <c r="Q45" s="363"/>
      <c r="R45" s="363"/>
      <c r="S45" s="363"/>
      <c r="T45" s="363"/>
      <c r="U45" s="363"/>
      <c r="V45" s="363"/>
      <c r="W45" s="363"/>
      <c r="X45" s="363"/>
      <c r="Y45" s="363"/>
      <c r="Z45" s="363"/>
    </row>
    <row r="46" spans="1:26" ht="9.75" customHeight="1">
      <c r="A46" s="90"/>
      <c r="B46" s="90"/>
      <c r="C46" s="90"/>
      <c r="D46" s="90"/>
      <c r="E46" s="90"/>
      <c r="F46" s="90"/>
      <c r="G46" s="90"/>
      <c r="H46" s="363"/>
      <c r="I46" s="363"/>
      <c r="J46" s="363"/>
      <c r="K46" s="363"/>
      <c r="L46" s="363"/>
      <c r="M46" s="363"/>
      <c r="N46" s="363"/>
      <c r="O46" s="363"/>
      <c r="P46" s="363"/>
      <c r="Q46" s="363"/>
      <c r="R46" s="363"/>
      <c r="S46" s="363"/>
      <c r="T46" s="363"/>
      <c r="U46" s="363"/>
      <c r="V46" s="363"/>
      <c r="W46" s="363"/>
      <c r="X46" s="363"/>
      <c r="Y46" s="363"/>
      <c r="Z46" s="363"/>
    </row>
    <row r="47" spans="1:26" ht="9.75" customHeight="1">
      <c r="A47" s="90"/>
      <c r="B47" s="90"/>
      <c r="C47" s="90"/>
      <c r="D47" s="90"/>
      <c r="E47" s="90"/>
      <c r="F47" s="90"/>
      <c r="G47" s="90"/>
      <c r="H47" s="363"/>
      <c r="I47" s="363"/>
      <c r="J47" s="363"/>
      <c r="K47" s="363"/>
      <c r="L47" s="363"/>
      <c r="M47" s="363"/>
      <c r="N47" s="363"/>
      <c r="O47" s="363"/>
      <c r="P47" s="363"/>
      <c r="Q47" s="363"/>
      <c r="R47" s="363"/>
      <c r="S47" s="363"/>
      <c r="T47" s="363"/>
      <c r="U47" s="363"/>
      <c r="V47" s="363"/>
      <c r="W47" s="363"/>
      <c r="X47" s="363"/>
      <c r="Y47" s="363"/>
      <c r="Z47" s="363"/>
    </row>
    <row r="48" spans="1:26" ht="9.75" customHeight="1">
      <c r="A48" s="90"/>
      <c r="B48" s="90"/>
      <c r="C48" s="90"/>
      <c r="D48" s="90"/>
      <c r="E48" s="90"/>
      <c r="F48" s="90"/>
      <c r="G48" s="90"/>
      <c r="H48" s="363"/>
      <c r="I48" s="363"/>
      <c r="J48" s="363"/>
      <c r="K48" s="363"/>
      <c r="L48" s="363"/>
      <c r="M48" s="363"/>
      <c r="N48" s="363"/>
      <c r="O48" s="363"/>
      <c r="P48" s="363"/>
      <c r="Q48" s="363"/>
      <c r="R48" s="363"/>
      <c r="S48" s="363"/>
      <c r="T48" s="363"/>
      <c r="U48" s="363"/>
      <c r="V48" s="363"/>
      <c r="W48" s="363"/>
      <c r="X48" s="363"/>
      <c r="Y48" s="363"/>
      <c r="Z48" s="363"/>
    </row>
    <row r="49" spans="1:26" ht="9.75" customHeight="1">
      <c r="A49" s="90"/>
      <c r="B49" s="90"/>
      <c r="C49" s="90"/>
      <c r="D49" s="90"/>
      <c r="E49" s="90"/>
      <c r="F49" s="90"/>
      <c r="G49" s="90"/>
      <c r="H49" s="363"/>
      <c r="I49" s="363"/>
      <c r="J49" s="363"/>
      <c r="K49" s="363"/>
      <c r="L49" s="363"/>
      <c r="M49" s="363"/>
      <c r="N49" s="363"/>
      <c r="O49" s="363"/>
      <c r="P49" s="363"/>
      <c r="Q49" s="363"/>
      <c r="R49" s="363"/>
      <c r="S49" s="363"/>
      <c r="T49" s="363"/>
      <c r="U49" s="363"/>
      <c r="V49" s="363"/>
      <c r="W49" s="363"/>
      <c r="X49" s="363"/>
      <c r="Y49" s="363"/>
      <c r="Z49" s="363"/>
    </row>
    <row r="50" spans="1:26" ht="9.75" customHeight="1">
      <c r="A50" s="90"/>
      <c r="B50" s="90"/>
      <c r="C50" s="90"/>
      <c r="D50" s="90"/>
      <c r="E50" s="90"/>
      <c r="F50" s="90"/>
      <c r="G50" s="90"/>
      <c r="H50" s="363"/>
      <c r="I50" s="363"/>
      <c r="J50" s="363"/>
      <c r="K50" s="363"/>
      <c r="L50" s="363"/>
      <c r="M50" s="363"/>
      <c r="N50" s="363"/>
      <c r="O50" s="363"/>
      <c r="P50" s="363"/>
      <c r="Q50" s="363"/>
      <c r="R50" s="363"/>
      <c r="S50" s="363"/>
      <c r="T50" s="363"/>
      <c r="U50" s="363"/>
      <c r="V50" s="363"/>
      <c r="W50" s="363"/>
      <c r="X50" s="363"/>
      <c r="Y50" s="363"/>
      <c r="Z50" s="363"/>
    </row>
    <row r="51" spans="1:26" ht="9.75" customHeight="1">
      <c r="A51" s="90"/>
      <c r="B51" s="90"/>
      <c r="C51" s="90"/>
      <c r="D51" s="90"/>
      <c r="E51" s="90"/>
      <c r="F51" s="90"/>
      <c r="G51" s="90"/>
      <c r="H51" s="363"/>
      <c r="I51" s="363"/>
      <c r="J51" s="363"/>
      <c r="K51" s="363"/>
      <c r="L51" s="363"/>
      <c r="M51" s="363"/>
      <c r="N51" s="363"/>
      <c r="O51" s="363"/>
      <c r="P51" s="363"/>
      <c r="Q51" s="363"/>
      <c r="R51" s="363"/>
      <c r="S51" s="363"/>
      <c r="T51" s="363"/>
      <c r="U51" s="363"/>
      <c r="V51" s="363"/>
      <c r="W51" s="363"/>
      <c r="X51" s="363"/>
      <c r="Y51" s="363"/>
      <c r="Z51" s="363"/>
    </row>
    <row r="52" spans="1:26" ht="9.75" customHeight="1">
      <c r="A52" s="90"/>
      <c r="B52" s="90"/>
      <c r="C52" s="90"/>
      <c r="D52" s="90"/>
      <c r="E52" s="90"/>
      <c r="F52" s="90"/>
      <c r="G52" s="90"/>
      <c r="H52" s="363"/>
      <c r="I52" s="363"/>
      <c r="J52" s="363"/>
      <c r="K52" s="363"/>
      <c r="L52" s="363"/>
      <c r="M52" s="363"/>
      <c r="N52" s="363"/>
      <c r="O52" s="363"/>
      <c r="P52" s="363"/>
      <c r="Q52" s="363"/>
      <c r="R52" s="363"/>
      <c r="S52" s="363"/>
      <c r="T52" s="363"/>
      <c r="U52" s="363"/>
      <c r="V52" s="363"/>
      <c r="W52" s="363"/>
      <c r="X52" s="363"/>
      <c r="Y52" s="363"/>
      <c r="Z52" s="363"/>
    </row>
    <row r="53" spans="1:26" ht="9.75" customHeight="1">
      <c r="A53" s="90"/>
      <c r="B53" s="90"/>
      <c r="C53" s="90"/>
      <c r="D53" s="90"/>
      <c r="E53" s="90"/>
      <c r="F53" s="90"/>
      <c r="G53" s="90"/>
      <c r="H53" s="363"/>
      <c r="I53" s="363"/>
      <c r="J53" s="363"/>
      <c r="K53" s="363"/>
      <c r="L53" s="363"/>
      <c r="M53" s="363"/>
      <c r="N53" s="363"/>
      <c r="O53" s="363"/>
      <c r="P53" s="363"/>
      <c r="Q53" s="363"/>
      <c r="R53" s="363"/>
      <c r="S53" s="363"/>
      <c r="T53" s="363"/>
      <c r="U53" s="363"/>
      <c r="V53" s="363"/>
      <c r="W53" s="363"/>
      <c r="X53" s="363"/>
      <c r="Y53" s="363"/>
      <c r="Z53" s="363"/>
    </row>
    <row r="54" spans="1:26" ht="9.75" customHeight="1">
      <c r="A54" s="90"/>
      <c r="B54" s="90"/>
      <c r="C54" s="90"/>
      <c r="D54" s="90"/>
      <c r="E54" s="90"/>
      <c r="F54" s="90"/>
      <c r="G54" s="90"/>
      <c r="H54" s="363"/>
      <c r="I54" s="363"/>
      <c r="J54" s="363"/>
      <c r="K54" s="363"/>
      <c r="L54" s="363"/>
      <c r="M54" s="363"/>
      <c r="N54" s="363"/>
      <c r="O54" s="363"/>
      <c r="P54" s="363"/>
      <c r="Q54" s="363"/>
      <c r="R54" s="363"/>
      <c r="S54" s="363"/>
      <c r="T54" s="363"/>
      <c r="U54" s="363"/>
      <c r="V54" s="363"/>
      <c r="W54" s="363"/>
      <c r="X54" s="363"/>
      <c r="Y54" s="363"/>
      <c r="Z54" s="363"/>
    </row>
    <row r="55" spans="1:26" ht="9.75" customHeight="1">
      <c r="A55" s="90"/>
      <c r="B55" s="90"/>
      <c r="C55" s="90"/>
      <c r="D55" s="90"/>
      <c r="E55" s="90"/>
      <c r="F55" s="90"/>
      <c r="G55" s="90"/>
      <c r="H55" s="363"/>
      <c r="I55" s="363"/>
      <c r="J55" s="363"/>
      <c r="K55" s="363"/>
      <c r="L55" s="363"/>
      <c r="M55" s="363"/>
      <c r="N55" s="363"/>
      <c r="O55" s="363"/>
      <c r="P55" s="363"/>
      <c r="Q55" s="363"/>
      <c r="R55" s="363"/>
      <c r="S55" s="363"/>
      <c r="T55" s="363"/>
      <c r="U55" s="363"/>
      <c r="V55" s="363"/>
      <c r="W55" s="363"/>
      <c r="X55" s="363"/>
      <c r="Y55" s="363"/>
      <c r="Z55" s="363"/>
    </row>
    <row r="56" spans="1:26" ht="9.75" customHeight="1">
      <c r="A56" s="90"/>
      <c r="B56" s="90"/>
      <c r="C56" s="90"/>
      <c r="D56" s="90"/>
      <c r="E56" s="90"/>
      <c r="F56" s="90"/>
      <c r="G56" s="90"/>
      <c r="H56" s="363"/>
      <c r="I56" s="363"/>
      <c r="J56" s="363"/>
      <c r="K56" s="363"/>
      <c r="L56" s="363"/>
      <c r="M56" s="363"/>
      <c r="N56" s="363"/>
      <c r="O56" s="363"/>
      <c r="P56" s="363"/>
      <c r="Q56" s="363"/>
      <c r="R56" s="363"/>
      <c r="S56" s="363"/>
      <c r="T56" s="363"/>
      <c r="U56" s="363"/>
      <c r="V56" s="363"/>
      <c r="W56" s="363"/>
      <c r="X56" s="363"/>
      <c r="Y56" s="363"/>
      <c r="Z56" s="363"/>
    </row>
    <row r="57" spans="1:26" ht="9.75" customHeight="1">
      <c r="A57" s="90"/>
      <c r="B57" s="90"/>
      <c r="C57" s="90"/>
      <c r="D57" s="90"/>
      <c r="E57" s="90"/>
      <c r="F57" s="90"/>
      <c r="G57" s="90"/>
      <c r="H57" s="363"/>
      <c r="I57" s="363"/>
      <c r="J57" s="363"/>
      <c r="K57" s="363"/>
      <c r="L57" s="363"/>
      <c r="M57" s="363"/>
      <c r="N57" s="363"/>
      <c r="O57" s="363"/>
      <c r="P57" s="363"/>
      <c r="Q57" s="363"/>
      <c r="R57" s="363"/>
      <c r="S57" s="363"/>
      <c r="T57" s="363"/>
      <c r="U57" s="363"/>
      <c r="V57" s="363"/>
      <c r="W57" s="363"/>
      <c r="X57" s="363"/>
      <c r="Y57" s="363"/>
      <c r="Z57" s="363"/>
    </row>
    <row r="58" spans="1:26" ht="9.75" customHeight="1">
      <c r="A58" s="90"/>
      <c r="B58" s="90"/>
      <c r="C58" s="90"/>
      <c r="D58" s="90"/>
      <c r="E58" s="90"/>
      <c r="F58" s="90"/>
      <c r="G58" s="90"/>
      <c r="H58" s="363"/>
      <c r="I58" s="363"/>
      <c r="J58" s="363"/>
      <c r="K58" s="363"/>
      <c r="L58" s="363"/>
      <c r="M58" s="363"/>
      <c r="N58" s="363"/>
      <c r="O58" s="363"/>
      <c r="P58" s="363"/>
      <c r="Q58" s="363"/>
      <c r="R58" s="363"/>
      <c r="S58" s="363"/>
      <c r="T58" s="363"/>
      <c r="U58" s="363"/>
      <c r="V58" s="363"/>
      <c r="W58" s="363"/>
      <c r="X58" s="363"/>
      <c r="Y58" s="363"/>
      <c r="Z58" s="363"/>
    </row>
    <row r="59" spans="1:26" ht="9.75" customHeight="1">
      <c r="A59" s="90"/>
      <c r="B59" s="90"/>
      <c r="C59" s="90"/>
      <c r="D59" s="90"/>
      <c r="E59" s="90"/>
      <c r="F59" s="90"/>
      <c r="G59" s="90"/>
      <c r="H59" s="363"/>
      <c r="I59" s="363"/>
      <c r="J59" s="363"/>
      <c r="K59" s="363"/>
      <c r="L59" s="363"/>
      <c r="M59" s="363"/>
      <c r="N59" s="363"/>
      <c r="O59" s="363"/>
      <c r="P59" s="363"/>
      <c r="Q59" s="363"/>
      <c r="R59" s="363"/>
      <c r="S59" s="363"/>
      <c r="T59" s="363"/>
      <c r="U59" s="363"/>
      <c r="V59" s="363"/>
      <c r="W59" s="363"/>
      <c r="X59" s="363"/>
      <c r="Y59" s="363"/>
      <c r="Z59" s="363"/>
    </row>
    <row r="60" spans="1:26" ht="9.75" customHeight="1">
      <c r="A60" s="90"/>
      <c r="B60" s="90"/>
      <c r="C60" s="90"/>
      <c r="D60" s="90"/>
      <c r="E60" s="90"/>
      <c r="F60" s="90"/>
      <c r="G60" s="90"/>
      <c r="H60" s="363"/>
      <c r="I60" s="363"/>
      <c r="J60" s="363"/>
      <c r="K60" s="363"/>
      <c r="L60" s="363"/>
      <c r="M60" s="363"/>
      <c r="N60" s="363"/>
      <c r="O60" s="363"/>
      <c r="P60" s="363"/>
      <c r="Q60" s="363"/>
      <c r="R60" s="363"/>
      <c r="S60" s="363"/>
      <c r="T60" s="363"/>
      <c r="U60" s="363"/>
      <c r="V60" s="363"/>
      <c r="W60" s="363"/>
      <c r="X60" s="363"/>
      <c r="Y60" s="363"/>
      <c r="Z60" s="363"/>
    </row>
    <row r="61" spans="1:26" ht="9.75" customHeight="1">
      <c r="A61" s="90"/>
      <c r="B61" s="90"/>
      <c r="C61" s="90"/>
      <c r="D61" s="90"/>
      <c r="E61" s="90"/>
      <c r="F61" s="90"/>
      <c r="G61" s="90"/>
      <c r="H61" s="363"/>
      <c r="I61" s="363"/>
      <c r="J61" s="363"/>
      <c r="K61" s="363"/>
      <c r="L61" s="363"/>
      <c r="M61" s="363"/>
      <c r="N61" s="363"/>
      <c r="O61" s="363"/>
      <c r="P61" s="363"/>
      <c r="Q61" s="363"/>
      <c r="R61" s="363"/>
      <c r="S61" s="363"/>
      <c r="T61" s="363"/>
      <c r="U61" s="363"/>
      <c r="V61" s="363"/>
      <c r="W61" s="363"/>
      <c r="X61" s="363"/>
      <c r="Y61" s="363"/>
      <c r="Z61" s="363"/>
    </row>
    <row r="62" spans="1:26" ht="9.75" customHeight="1">
      <c r="A62" s="90"/>
      <c r="B62" s="90"/>
      <c r="C62" s="90"/>
      <c r="D62" s="90"/>
      <c r="E62" s="90"/>
      <c r="F62" s="90"/>
      <c r="G62" s="90"/>
      <c r="H62" s="363"/>
      <c r="I62" s="363"/>
      <c r="J62" s="363"/>
      <c r="K62" s="363"/>
      <c r="L62" s="363"/>
      <c r="M62" s="363"/>
      <c r="N62" s="363"/>
      <c r="O62" s="363"/>
      <c r="P62" s="363"/>
      <c r="Q62" s="363"/>
      <c r="R62" s="363"/>
      <c r="S62" s="363"/>
      <c r="T62" s="363"/>
      <c r="U62" s="363"/>
      <c r="V62" s="363"/>
      <c r="W62" s="363"/>
      <c r="X62" s="363"/>
      <c r="Y62" s="363"/>
      <c r="Z62" s="363"/>
    </row>
    <row r="63" spans="1:26" ht="9.75" customHeight="1">
      <c r="A63" s="90"/>
      <c r="B63" s="90"/>
      <c r="C63" s="90"/>
      <c r="D63" s="90"/>
      <c r="E63" s="90"/>
      <c r="F63" s="90"/>
      <c r="G63" s="90"/>
      <c r="H63" s="363"/>
      <c r="I63" s="363"/>
      <c r="J63" s="363"/>
      <c r="K63" s="363"/>
      <c r="L63" s="363"/>
      <c r="M63" s="363"/>
      <c r="N63" s="363"/>
      <c r="O63" s="363"/>
      <c r="P63" s="363"/>
      <c r="Q63" s="363"/>
      <c r="R63" s="363"/>
      <c r="S63" s="363"/>
      <c r="T63" s="363"/>
      <c r="U63" s="363"/>
      <c r="V63" s="363"/>
      <c r="W63" s="363"/>
      <c r="X63" s="363"/>
      <c r="Y63" s="363"/>
      <c r="Z63" s="363"/>
    </row>
    <row r="64" spans="1:26" ht="9.75" customHeight="1">
      <c r="A64" s="90"/>
      <c r="B64" s="90"/>
      <c r="C64" s="90"/>
      <c r="D64" s="90"/>
      <c r="E64" s="90"/>
      <c r="F64" s="90"/>
      <c r="G64" s="90"/>
      <c r="H64" s="363"/>
      <c r="I64" s="363"/>
      <c r="J64" s="363"/>
      <c r="K64" s="363"/>
      <c r="L64" s="363"/>
      <c r="M64" s="363"/>
      <c r="N64" s="363"/>
      <c r="O64" s="363"/>
      <c r="P64" s="363"/>
      <c r="Q64" s="363"/>
      <c r="R64" s="363"/>
      <c r="S64" s="363"/>
      <c r="T64" s="363"/>
      <c r="U64" s="363"/>
      <c r="V64" s="363"/>
      <c r="W64" s="363"/>
      <c r="X64" s="363"/>
      <c r="Y64" s="363"/>
      <c r="Z64" s="363"/>
    </row>
    <row r="65" spans="1:26" ht="9.75" customHeight="1">
      <c r="A65" s="90"/>
      <c r="B65" s="90"/>
      <c r="C65" s="90"/>
      <c r="D65" s="90"/>
      <c r="E65" s="90"/>
      <c r="F65" s="90"/>
      <c r="G65" s="90"/>
      <c r="H65" s="363"/>
      <c r="I65" s="363"/>
      <c r="J65" s="363"/>
      <c r="K65" s="363"/>
      <c r="L65" s="363"/>
      <c r="M65" s="363"/>
      <c r="N65" s="363"/>
      <c r="O65" s="363"/>
      <c r="P65" s="363"/>
      <c r="Q65" s="363"/>
      <c r="R65" s="363"/>
      <c r="S65" s="363"/>
      <c r="T65" s="363"/>
      <c r="U65" s="363"/>
      <c r="V65" s="363"/>
      <c r="W65" s="363"/>
      <c r="X65" s="363"/>
      <c r="Y65" s="363"/>
      <c r="Z65" s="363"/>
    </row>
    <row r="66" spans="1:26" ht="9.75" customHeight="1">
      <c r="A66" s="90"/>
      <c r="B66" s="90"/>
      <c r="C66" s="90"/>
      <c r="D66" s="90"/>
      <c r="E66" s="90"/>
      <c r="F66" s="90"/>
      <c r="G66" s="90"/>
      <c r="H66" s="363"/>
      <c r="I66" s="363"/>
      <c r="J66" s="363"/>
      <c r="K66" s="363"/>
      <c r="L66" s="363"/>
      <c r="M66" s="363"/>
      <c r="N66" s="363"/>
      <c r="O66" s="363"/>
      <c r="P66" s="363"/>
      <c r="Q66" s="363"/>
      <c r="R66" s="363"/>
      <c r="S66" s="363"/>
      <c r="T66" s="363"/>
      <c r="U66" s="363"/>
      <c r="V66" s="363"/>
      <c r="W66" s="363"/>
      <c r="X66" s="363"/>
      <c r="Y66" s="363"/>
      <c r="Z66" s="363"/>
    </row>
    <row r="67" spans="1:26" ht="9.75" customHeight="1">
      <c r="A67" s="90"/>
      <c r="B67" s="90"/>
      <c r="C67" s="90"/>
      <c r="D67" s="90"/>
      <c r="E67" s="90"/>
      <c r="F67" s="90"/>
      <c r="G67" s="90"/>
      <c r="H67" s="363"/>
      <c r="I67" s="363"/>
      <c r="J67" s="363"/>
      <c r="K67" s="363"/>
      <c r="L67" s="363"/>
      <c r="M67" s="363"/>
      <c r="N67" s="363"/>
      <c r="O67" s="363"/>
      <c r="P67" s="363"/>
      <c r="Q67" s="363"/>
      <c r="R67" s="363"/>
      <c r="S67" s="363"/>
      <c r="T67" s="363"/>
      <c r="U67" s="363"/>
      <c r="V67" s="363"/>
      <c r="W67" s="363"/>
      <c r="X67" s="363"/>
      <c r="Y67" s="363"/>
      <c r="Z67" s="363"/>
    </row>
    <row r="68" spans="1:26" ht="9.75" customHeight="1">
      <c r="A68" s="90"/>
      <c r="B68" s="90"/>
      <c r="C68" s="90"/>
      <c r="D68" s="90"/>
      <c r="E68" s="90"/>
      <c r="F68" s="90"/>
      <c r="G68" s="90"/>
      <c r="H68" s="363"/>
      <c r="I68" s="363"/>
      <c r="J68" s="363"/>
      <c r="K68" s="363"/>
      <c r="L68" s="363"/>
      <c r="M68" s="363"/>
      <c r="N68" s="363"/>
      <c r="O68" s="363"/>
      <c r="P68" s="363"/>
      <c r="Q68" s="363"/>
      <c r="R68" s="363"/>
      <c r="S68" s="363"/>
      <c r="T68" s="363"/>
      <c r="U68" s="363"/>
      <c r="V68" s="363"/>
      <c r="W68" s="363"/>
      <c r="X68" s="363"/>
      <c r="Y68" s="363"/>
      <c r="Z68" s="363"/>
    </row>
    <row r="69" spans="1:26" ht="9.75" customHeight="1">
      <c r="A69" s="90"/>
      <c r="B69" s="90"/>
      <c r="C69" s="90"/>
      <c r="D69" s="90"/>
      <c r="E69" s="90"/>
      <c r="F69" s="90"/>
      <c r="G69" s="90"/>
      <c r="H69" s="363"/>
      <c r="I69" s="363"/>
      <c r="J69" s="363"/>
      <c r="K69" s="363"/>
      <c r="L69" s="363"/>
      <c r="M69" s="363"/>
      <c r="N69" s="363"/>
      <c r="O69" s="363"/>
      <c r="P69" s="363"/>
      <c r="Q69" s="363"/>
      <c r="R69" s="363"/>
      <c r="S69" s="363"/>
      <c r="T69" s="363"/>
      <c r="U69" s="363"/>
      <c r="V69" s="363"/>
      <c r="W69" s="363"/>
      <c r="X69" s="363"/>
      <c r="Y69" s="363"/>
      <c r="Z69" s="363"/>
    </row>
    <row r="70" spans="1:26" ht="9.75" customHeight="1">
      <c r="A70" s="90"/>
      <c r="B70" s="90"/>
      <c r="C70" s="90"/>
      <c r="D70" s="90"/>
      <c r="E70" s="90"/>
      <c r="F70" s="90"/>
      <c r="G70" s="90"/>
      <c r="H70" s="363"/>
      <c r="I70" s="363"/>
      <c r="J70" s="363"/>
      <c r="K70" s="363"/>
      <c r="L70" s="363"/>
      <c r="M70" s="363"/>
      <c r="N70" s="363"/>
      <c r="O70" s="363"/>
      <c r="P70" s="363"/>
      <c r="Q70" s="363"/>
      <c r="R70" s="363"/>
      <c r="S70" s="363"/>
      <c r="T70" s="363"/>
      <c r="U70" s="363"/>
      <c r="V70" s="363"/>
      <c r="W70" s="363"/>
      <c r="X70" s="363"/>
      <c r="Y70" s="363"/>
      <c r="Z70" s="363"/>
    </row>
    <row r="71" spans="1:26" ht="9.75" customHeight="1">
      <c r="A71" s="90"/>
      <c r="B71" s="90"/>
      <c r="C71" s="90"/>
      <c r="D71" s="90"/>
      <c r="E71" s="90"/>
      <c r="F71" s="90"/>
      <c r="G71" s="90"/>
      <c r="H71" s="363"/>
      <c r="I71" s="363"/>
      <c r="J71" s="363"/>
      <c r="K71" s="363"/>
      <c r="L71" s="363"/>
      <c r="M71" s="363"/>
      <c r="N71" s="363"/>
      <c r="O71" s="363"/>
      <c r="P71" s="363"/>
      <c r="Q71" s="363"/>
      <c r="R71" s="363"/>
      <c r="S71" s="363"/>
      <c r="T71" s="363"/>
      <c r="U71" s="363"/>
      <c r="V71" s="363"/>
      <c r="W71" s="363"/>
      <c r="X71" s="363"/>
      <c r="Y71" s="363"/>
      <c r="Z71" s="363"/>
    </row>
    <row r="72" spans="1:26" ht="9.75" customHeight="1">
      <c r="A72" s="90"/>
      <c r="B72" s="90"/>
      <c r="C72" s="90"/>
      <c r="D72" s="90"/>
      <c r="E72" s="90"/>
      <c r="F72" s="90"/>
      <c r="G72" s="90"/>
      <c r="H72" s="363"/>
      <c r="I72" s="363"/>
      <c r="J72" s="363"/>
      <c r="K72" s="363"/>
      <c r="L72" s="363"/>
      <c r="M72" s="363"/>
      <c r="N72" s="363"/>
      <c r="O72" s="363"/>
      <c r="P72" s="363"/>
      <c r="Q72" s="363"/>
      <c r="R72" s="363"/>
      <c r="S72" s="363"/>
      <c r="T72" s="363"/>
      <c r="U72" s="363"/>
      <c r="V72" s="363"/>
      <c r="W72" s="363"/>
      <c r="X72" s="363"/>
      <c r="Y72" s="363"/>
      <c r="Z72" s="363"/>
    </row>
    <row r="73" spans="1:26" ht="9.75" customHeight="1">
      <c r="A73" s="90"/>
      <c r="B73" s="90"/>
      <c r="C73" s="90"/>
      <c r="D73" s="90"/>
      <c r="E73" s="90"/>
      <c r="F73" s="90"/>
      <c r="G73" s="90"/>
      <c r="H73" s="363"/>
      <c r="I73" s="363"/>
      <c r="J73" s="363"/>
      <c r="K73" s="363"/>
      <c r="L73" s="363"/>
      <c r="M73" s="363"/>
      <c r="N73" s="363"/>
      <c r="O73" s="363"/>
      <c r="P73" s="363"/>
      <c r="Q73" s="363"/>
      <c r="R73" s="363"/>
      <c r="S73" s="363"/>
      <c r="T73" s="363"/>
      <c r="U73" s="363"/>
      <c r="V73" s="363"/>
      <c r="W73" s="363"/>
      <c r="X73" s="363"/>
      <c r="Y73" s="363"/>
      <c r="Z73" s="363"/>
    </row>
    <row r="74" spans="1:26" ht="9.75" customHeight="1">
      <c r="A74" s="90"/>
      <c r="B74" s="90"/>
      <c r="C74" s="90"/>
      <c r="D74" s="90"/>
      <c r="E74" s="90"/>
      <c r="F74" s="90"/>
      <c r="G74" s="90"/>
      <c r="H74" s="363"/>
      <c r="I74" s="363"/>
      <c r="J74" s="363"/>
      <c r="K74" s="363"/>
      <c r="L74" s="363"/>
      <c r="M74" s="363"/>
      <c r="N74" s="363"/>
      <c r="O74" s="363"/>
      <c r="P74" s="363"/>
      <c r="Q74" s="363"/>
      <c r="R74" s="363"/>
      <c r="S74" s="363"/>
      <c r="T74" s="363"/>
      <c r="U74" s="363"/>
      <c r="V74" s="363"/>
      <c r="W74" s="363"/>
      <c r="X74" s="363"/>
      <c r="Y74" s="363"/>
      <c r="Z74" s="363"/>
    </row>
    <row r="75" spans="1:26" ht="9.75" customHeight="1">
      <c r="A75" s="90"/>
      <c r="B75" s="90"/>
      <c r="C75" s="90"/>
      <c r="D75" s="90"/>
      <c r="E75" s="90"/>
      <c r="F75" s="90"/>
      <c r="G75" s="90"/>
      <c r="H75" s="363"/>
      <c r="I75" s="363"/>
      <c r="J75" s="363"/>
      <c r="K75" s="363"/>
      <c r="L75" s="363"/>
      <c r="M75" s="363"/>
      <c r="N75" s="363"/>
      <c r="O75" s="363"/>
      <c r="P75" s="363"/>
      <c r="Q75" s="363"/>
      <c r="R75" s="363"/>
      <c r="S75" s="363"/>
      <c r="T75" s="363"/>
      <c r="U75" s="363"/>
      <c r="V75" s="363"/>
      <c r="W75" s="363"/>
      <c r="X75" s="363"/>
      <c r="Y75" s="363"/>
      <c r="Z75" s="363"/>
    </row>
    <row r="76" spans="1:26" ht="9.75" customHeight="1">
      <c r="A76" s="90"/>
      <c r="B76" s="90"/>
      <c r="C76" s="90"/>
      <c r="D76" s="90"/>
      <c r="E76" s="90"/>
      <c r="F76" s="90"/>
      <c r="G76" s="90"/>
      <c r="H76" s="363"/>
      <c r="I76" s="363"/>
      <c r="J76" s="363"/>
      <c r="K76" s="363"/>
      <c r="L76" s="363"/>
      <c r="M76" s="363"/>
      <c r="N76" s="363"/>
      <c r="O76" s="363"/>
      <c r="P76" s="363"/>
      <c r="Q76" s="363"/>
      <c r="R76" s="363"/>
      <c r="S76" s="363"/>
      <c r="T76" s="363"/>
      <c r="U76" s="363"/>
      <c r="V76" s="363"/>
      <c r="W76" s="363"/>
      <c r="X76" s="363"/>
      <c r="Y76" s="363"/>
      <c r="Z76" s="363"/>
    </row>
    <row r="77" spans="1:26" ht="9.75" customHeight="1">
      <c r="A77" s="90"/>
      <c r="B77" s="90"/>
      <c r="C77" s="90"/>
      <c r="D77" s="90"/>
      <c r="E77" s="90"/>
      <c r="F77" s="90"/>
      <c r="G77" s="90"/>
      <c r="H77" s="363"/>
      <c r="I77" s="363"/>
      <c r="J77" s="363"/>
      <c r="K77" s="363"/>
      <c r="L77" s="363"/>
      <c r="M77" s="363"/>
      <c r="N77" s="363"/>
      <c r="O77" s="363"/>
      <c r="P77" s="363"/>
      <c r="Q77" s="363"/>
      <c r="R77" s="363"/>
      <c r="S77" s="363"/>
      <c r="T77" s="363"/>
      <c r="U77" s="363"/>
      <c r="V77" s="363"/>
      <c r="W77" s="363"/>
      <c r="X77" s="363"/>
      <c r="Y77" s="363"/>
      <c r="Z77" s="363"/>
    </row>
    <row r="78" spans="1:26" ht="9.75" customHeight="1">
      <c r="A78" s="90"/>
      <c r="B78" s="90"/>
      <c r="C78" s="90"/>
      <c r="D78" s="90"/>
      <c r="E78" s="90"/>
      <c r="F78" s="90"/>
      <c r="G78" s="90"/>
      <c r="H78" s="363"/>
      <c r="I78" s="363"/>
      <c r="J78" s="363"/>
      <c r="K78" s="363"/>
      <c r="L78" s="363"/>
      <c r="M78" s="363"/>
      <c r="N78" s="363"/>
      <c r="O78" s="363"/>
      <c r="P78" s="363"/>
      <c r="Q78" s="363"/>
      <c r="R78" s="363"/>
      <c r="S78" s="363"/>
      <c r="T78" s="363"/>
      <c r="U78" s="363"/>
      <c r="V78" s="363"/>
      <c r="W78" s="363"/>
      <c r="X78" s="363"/>
      <c r="Y78" s="363"/>
      <c r="Z78" s="363"/>
    </row>
    <row r="79" spans="1:26" ht="9.75" customHeight="1">
      <c r="A79" s="90"/>
      <c r="B79" s="90"/>
      <c r="C79" s="90"/>
      <c r="D79" s="90"/>
      <c r="E79" s="90"/>
      <c r="F79" s="90"/>
      <c r="G79" s="90"/>
      <c r="H79" s="363"/>
      <c r="I79" s="363"/>
      <c r="J79" s="363"/>
      <c r="K79" s="363"/>
      <c r="L79" s="363"/>
      <c r="M79" s="363"/>
      <c r="N79" s="363"/>
      <c r="O79" s="363"/>
      <c r="P79" s="363"/>
      <c r="Q79" s="363"/>
      <c r="R79" s="363"/>
      <c r="S79" s="363"/>
      <c r="T79" s="363"/>
      <c r="U79" s="363"/>
      <c r="V79" s="363"/>
      <c r="W79" s="363"/>
      <c r="X79" s="363"/>
      <c r="Y79" s="363"/>
      <c r="Z79" s="363"/>
    </row>
    <row r="80" spans="1:26" ht="9.75" customHeight="1">
      <c r="A80" s="90"/>
      <c r="B80" s="90"/>
      <c r="C80" s="90"/>
      <c r="D80" s="90"/>
      <c r="E80" s="90"/>
      <c r="F80" s="90"/>
      <c r="G80" s="90"/>
      <c r="H80" s="363"/>
      <c r="I80" s="363"/>
      <c r="J80" s="363"/>
      <c r="K80" s="363"/>
      <c r="L80" s="363"/>
      <c r="M80" s="363"/>
      <c r="N80" s="363"/>
      <c r="O80" s="363"/>
      <c r="P80" s="363"/>
      <c r="Q80" s="363"/>
      <c r="R80" s="363"/>
      <c r="S80" s="363"/>
      <c r="T80" s="363"/>
      <c r="U80" s="363"/>
      <c r="V80" s="363"/>
      <c r="W80" s="363"/>
      <c r="X80" s="363"/>
      <c r="Y80" s="363"/>
      <c r="Z80" s="363"/>
    </row>
    <row r="81" spans="1:26" ht="9.75" customHeight="1">
      <c r="A81" s="90"/>
      <c r="B81" s="90"/>
      <c r="C81" s="90"/>
      <c r="D81" s="90"/>
      <c r="E81" s="90"/>
      <c r="F81" s="90"/>
      <c r="G81" s="90"/>
      <c r="H81" s="363"/>
      <c r="I81" s="363"/>
      <c r="J81" s="363"/>
      <c r="K81" s="363"/>
      <c r="L81" s="363"/>
      <c r="M81" s="363"/>
      <c r="N81" s="363"/>
      <c r="O81" s="363"/>
      <c r="P81" s="363"/>
      <c r="Q81" s="363"/>
      <c r="R81" s="363"/>
      <c r="S81" s="363"/>
      <c r="T81" s="363"/>
      <c r="U81" s="363"/>
      <c r="V81" s="363"/>
      <c r="W81" s="363"/>
      <c r="X81" s="363"/>
      <c r="Y81" s="363"/>
      <c r="Z81" s="363"/>
    </row>
    <row r="82" spans="1:26" ht="9.75" customHeight="1">
      <c r="A82" s="90"/>
      <c r="B82" s="90"/>
      <c r="C82" s="90"/>
      <c r="D82" s="90"/>
      <c r="E82" s="90"/>
      <c r="F82" s="90"/>
      <c r="G82" s="90"/>
      <c r="H82" s="363"/>
      <c r="I82" s="363"/>
      <c r="J82" s="363"/>
      <c r="K82" s="363"/>
      <c r="L82" s="363"/>
      <c r="M82" s="363"/>
      <c r="N82" s="363"/>
      <c r="O82" s="363"/>
      <c r="P82" s="363"/>
      <c r="Q82" s="363"/>
      <c r="R82" s="363"/>
      <c r="S82" s="363"/>
      <c r="T82" s="363"/>
      <c r="U82" s="363"/>
      <c r="V82" s="363"/>
      <c r="W82" s="363"/>
      <c r="X82" s="363"/>
      <c r="Y82" s="363"/>
      <c r="Z82" s="363"/>
    </row>
    <row r="83" spans="1:26" ht="9.75" customHeight="1">
      <c r="A83" s="90"/>
      <c r="B83" s="90"/>
      <c r="C83" s="90"/>
      <c r="D83" s="90"/>
      <c r="E83" s="90"/>
      <c r="F83" s="90"/>
      <c r="G83" s="90"/>
      <c r="H83" s="363"/>
      <c r="I83" s="363"/>
      <c r="J83" s="363"/>
      <c r="K83" s="363"/>
      <c r="L83" s="363"/>
      <c r="M83" s="363"/>
      <c r="N83" s="363"/>
      <c r="O83" s="363"/>
      <c r="P83" s="363"/>
      <c r="Q83" s="363"/>
      <c r="R83" s="363"/>
      <c r="S83" s="363"/>
      <c r="T83" s="363"/>
      <c r="U83" s="363"/>
      <c r="V83" s="363"/>
      <c r="W83" s="363"/>
      <c r="X83" s="363"/>
      <c r="Y83" s="363"/>
      <c r="Z83" s="363"/>
    </row>
    <row r="84" spans="1:26" ht="9.75" customHeight="1">
      <c r="A84" s="90"/>
      <c r="B84" s="90"/>
      <c r="C84" s="90"/>
      <c r="D84" s="90"/>
      <c r="E84" s="90"/>
      <c r="F84" s="90"/>
      <c r="G84" s="90"/>
      <c r="H84" s="363"/>
      <c r="I84" s="363"/>
      <c r="J84" s="363"/>
      <c r="K84" s="363"/>
      <c r="L84" s="363"/>
      <c r="M84" s="363"/>
      <c r="N84" s="363"/>
      <c r="O84" s="363"/>
      <c r="P84" s="363"/>
      <c r="Q84" s="363"/>
      <c r="R84" s="363"/>
      <c r="S84" s="363"/>
      <c r="T84" s="363"/>
      <c r="U84" s="363"/>
      <c r="V84" s="363"/>
      <c r="W84" s="363"/>
      <c r="X84" s="363"/>
      <c r="Y84" s="363"/>
      <c r="Z84" s="363"/>
    </row>
    <row r="85" spans="1:26" ht="9.75" customHeight="1">
      <c r="A85" s="90"/>
      <c r="B85" s="90"/>
      <c r="C85" s="90"/>
      <c r="D85" s="90"/>
      <c r="E85" s="90"/>
      <c r="F85" s="90"/>
      <c r="G85" s="90"/>
      <c r="H85" s="363"/>
      <c r="I85" s="363"/>
      <c r="J85" s="363"/>
      <c r="K85" s="363"/>
      <c r="L85" s="363"/>
      <c r="M85" s="363"/>
      <c r="N85" s="363"/>
      <c r="O85" s="363"/>
      <c r="P85" s="363"/>
      <c r="Q85" s="363"/>
      <c r="R85" s="363"/>
      <c r="S85" s="363"/>
      <c r="T85" s="363"/>
      <c r="U85" s="363"/>
      <c r="V85" s="363"/>
      <c r="W85" s="363"/>
      <c r="X85" s="363"/>
      <c r="Y85" s="363"/>
      <c r="Z85" s="363"/>
    </row>
    <row r="86" spans="1:26" ht="9.75" customHeight="1">
      <c r="A86" s="90"/>
      <c r="B86" s="90"/>
      <c r="C86" s="90"/>
      <c r="D86" s="90"/>
      <c r="E86" s="90"/>
      <c r="F86" s="90"/>
      <c r="G86" s="90"/>
      <c r="H86" s="363"/>
      <c r="I86" s="363"/>
      <c r="J86" s="363"/>
      <c r="K86" s="363"/>
      <c r="L86" s="363"/>
      <c r="M86" s="363"/>
      <c r="N86" s="363"/>
      <c r="O86" s="363"/>
      <c r="P86" s="363"/>
      <c r="Q86" s="363"/>
      <c r="R86" s="363"/>
      <c r="S86" s="363"/>
      <c r="T86" s="363"/>
      <c r="U86" s="363"/>
      <c r="V86" s="363"/>
      <c r="W86" s="363"/>
      <c r="X86" s="363"/>
      <c r="Y86" s="363"/>
      <c r="Z86" s="363"/>
    </row>
    <row r="87" spans="1:26" ht="9.75" customHeight="1">
      <c r="A87" s="90"/>
      <c r="B87" s="90"/>
      <c r="C87" s="90"/>
      <c r="D87" s="90"/>
      <c r="E87" s="90"/>
      <c r="F87" s="90"/>
      <c r="G87" s="90"/>
      <c r="H87" s="363"/>
      <c r="I87" s="363"/>
      <c r="J87" s="363"/>
      <c r="K87" s="363"/>
      <c r="L87" s="363"/>
      <c r="M87" s="363"/>
      <c r="N87" s="363"/>
      <c r="O87" s="363"/>
      <c r="P87" s="363"/>
      <c r="Q87" s="363"/>
      <c r="R87" s="363"/>
      <c r="S87" s="363"/>
      <c r="T87" s="363"/>
      <c r="U87" s="363"/>
      <c r="V87" s="363"/>
      <c r="W87" s="363"/>
      <c r="X87" s="363"/>
      <c r="Y87" s="363"/>
      <c r="Z87" s="363"/>
    </row>
    <row r="88" spans="1:26" ht="9.75" customHeight="1">
      <c r="A88" s="90"/>
      <c r="B88" s="90"/>
      <c r="C88" s="90"/>
      <c r="D88" s="90"/>
      <c r="E88" s="90"/>
      <c r="F88" s="90"/>
      <c r="G88" s="90"/>
      <c r="H88" s="363"/>
      <c r="I88" s="363"/>
      <c r="J88" s="363"/>
      <c r="K88" s="363"/>
      <c r="L88" s="363"/>
      <c r="M88" s="363"/>
      <c r="N88" s="363"/>
      <c r="O88" s="363"/>
      <c r="P88" s="363"/>
      <c r="Q88" s="363"/>
      <c r="R88" s="363"/>
      <c r="S88" s="363"/>
      <c r="T88" s="363"/>
      <c r="U88" s="363"/>
      <c r="V88" s="363"/>
      <c r="W88" s="363"/>
      <c r="X88" s="363"/>
      <c r="Y88" s="363"/>
      <c r="Z88" s="363"/>
    </row>
    <row r="89" spans="1:26" ht="9.75" customHeight="1">
      <c r="A89" s="90"/>
      <c r="B89" s="90"/>
      <c r="C89" s="90"/>
      <c r="D89" s="90"/>
      <c r="E89" s="90"/>
      <c r="F89" s="90"/>
      <c r="G89" s="90"/>
      <c r="H89" s="363"/>
      <c r="I89" s="363"/>
      <c r="J89" s="363"/>
      <c r="K89" s="363"/>
      <c r="L89" s="363"/>
      <c r="M89" s="363"/>
      <c r="N89" s="363"/>
      <c r="O89" s="363"/>
      <c r="P89" s="363"/>
      <c r="Q89" s="363"/>
      <c r="R89" s="363"/>
      <c r="S89" s="363"/>
      <c r="T89" s="363"/>
      <c r="U89" s="363"/>
      <c r="V89" s="363"/>
      <c r="W89" s="363"/>
      <c r="X89" s="363"/>
      <c r="Y89" s="363"/>
      <c r="Z89" s="363"/>
    </row>
    <row r="90" spans="1:26" ht="9.75" customHeight="1">
      <c r="A90" s="90"/>
      <c r="B90" s="90"/>
      <c r="C90" s="90"/>
      <c r="D90" s="90"/>
      <c r="E90" s="90"/>
      <c r="F90" s="90"/>
      <c r="G90" s="90"/>
      <c r="H90" s="363"/>
      <c r="I90" s="363"/>
      <c r="J90" s="363"/>
      <c r="K90" s="363"/>
      <c r="L90" s="363"/>
      <c r="M90" s="363"/>
      <c r="N90" s="363"/>
      <c r="O90" s="363"/>
      <c r="P90" s="363"/>
      <c r="Q90" s="363"/>
      <c r="R90" s="363"/>
      <c r="S90" s="363"/>
      <c r="T90" s="363"/>
      <c r="U90" s="363"/>
      <c r="V90" s="363"/>
      <c r="W90" s="363"/>
      <c r="X90" s="363"/>
      <c r="Y90" s="363"/>
      <c r="Z90" s="363"/>
    </row>
    <row r="91" spans="1:26" ht="9.75" customHeight="1">
      <c r="A91" s="90"/>
      <c r="B91" s="90"/>
      <c r="C91" s="90"/>
      <c r="D91" s="90"/>
      <c r="E91" s="90"/>
      <c r="F91" s="90"/>
      <c r="G91" s="90"/>
      <c r="H91" s="363"/>
      <c r="I91" s="363"/>
      <c r="J91" s="363"/>
      <c r="K91" s="363"/>
      <c r="L91" s="363"/>
      <c r="M91" s="363"/>
      <c r="N91" s="363"/>
      <c r="O91" s="363"/>
      <c r="P91" s="363"/>
      <c r="Q91" s="363"/>
      <c r="R91" s="363"/>
      <c r="S91" s="363"/>
      <c r="T91" s="363"/>
      <c r="U91" s="363"/>
      <c r="V91" s="363"/>
      <c r="W91" s="363"/>
      <c r="X91" s="363"/>
      <c r="Y91" s="363"/>
      <c r="Z91" s="363"/>
    </row>
    <row r="92" spans="1:26" ht="9.75" customHeight="1">
      <c r="A92" s="90"/>
      <c r="B92" s="90"/>
      <c r="C92" s="90"/>
      <c r="D92" s="90"/>
      <c r="E92" s="90"/>
      <c r="F92" s="90"/>
      <c r="G92" s="90"/>
      <c r="H92" s="363"/>
      <c r="I92" s="363"/>
      <c r="J92" s="363"/>
      <c r="K92" s="363"/>
      <c r="L92" s="363"/>
      <c r="M92" s="363"/>
      <c r="N92" s="363"/>
      <c r="O92" s="363"/>
      <c r="P92" s="363"/>
      <c r="Q92" s="363"/>
      <c r="R92" s="363"/>
      <c r="S92" s="363"/>
      <c r="T92" s="363"/>
      <c r="U92" s="363"/>
      <c r="V92" s="363"/>
      <c r="W92" s="363"/>
      <c r="X92" s="363"/>
      <c r="Y92" s="363"/>
      <c r="Z92" s="363"/>
    </row>
    <row r="93" spans="1:26" ht="9.75" hidden="1" customHeight="1">
      <c r="A93" s="90"/>
      <c r="B93" s="90"/>
      <c r="C93" s="90"/>
      <c r="D93" s="90"/>
      <c r="E93" s="90"/>
      <c r="F93" s="90"/>
      <c r="G93" s="90"/>
      <c r="H93" s="363"/>
      <c r="I93" s="363"/>
      <c r="J93" s="363"/>
      <c r="K93" s="363"/>
      <c r="L93" s="363"/>
      <c r="M93" s="363"/>
      <c r="N93" s="363"/>
      <c r="O93" s="363"/>
      <c r="P93" s="363"/>
      <c r="Q93" s="363"/>
      <c r="R93" s="363"/>
      <c r="S93" s="363"/>
      <c r="T93" s="404"/>
      <c r="U93" s="404"/>
      <c r="V93" s="404"/>
      <c r="W93" s="404"/>
      <c r="X93" s="363"/>
      <c r="Y93" s="363"/>
      <c r="Z93" s="363"/>
    </row>
    <row r="94" spans="1:26" ht="9.75" customHeight="1">
      <c r="A94" s="90"/>
      <c r="B94" s="90"/>
      <c r="C94" s="90"/>
      <c r="D94" s="90"/>
      <c r="E94" s="90"/>
      <c r="F94" s="90"/>
      <c r="G94" s="90"/>
      <c r="H94" s="363"/>
      <c r="I94" s="363"/>
      <c r="J94" s="363"/>
      <c r="K94" s="363"/>
      <c r="L94" s="363"/>
      <c r="M94" s="363"/>
      <c r="N94" s="363"/>
      <c r="O94" s="363"/>
      <c r="P94" s="363"/>
      <c r="Q94" s="363"/>
      <c r="R94" s="363"/>
      <c r="S94" s="363"/>
      <c r="T94" s="363"/>
      <c r="U94" s="363"/>
      <c r="V94" s="363"/>
      <c r="W94" s="363"/>
      <c r="X94" s="363"/>
      <c r="Y94" s="363"/>
      <c r="Z94" s="363"/>
    </row>
    <row r="95" spans="1:26" ht="9.75" hidden="1" customHeight="1">
      <c r="A95" s="90"/>
      <c r="B95" s="90"/>
      <c r="C95" s="90"/>
      <c r="D95" s="90"/>
      <c r="E95" s="90"/>
      <c r="F95" s="90"/>
      <c r="G95" s="90"/>
      <c r="H95" s="363"/>
      <c r="I95" s="363"/>
      <c r="J95" s="363"/>
      <c r="K95" s="363"/>
      <c r="L95" s="404"/>
      <c r="M95" s="404"/>
      <c r="N95" s="404"/>
      <c r="O95" s="404"/>
      <c r="P95" s="404"/>
      <c r="Q95" s="404"/>
      <c r="R95" s="404"/>
      <c r="S95" s="404"/>
      <c r="T95" s="404"/>
      <c r="U95" s="404"/>
      <c r="V95" s="404"/>
      <c r="W95" s="404"/>
      <c r="X95" s="363"/>
      <c r="Y95" s="363"/>
      <c r="Z95" s="363"/>
    </row>
    <row r="96" spans="1:26" ht="9.75" hidden="1" customHeight="1">
      <c r="A96" s="90"/>
      <c r="B96" s="90"/>
      <c r="C96" s="90"/>
      <c r="D96" s="90"/>
      <c r="E96" s="90"/>
      <c r="F96" s="90"/>
      <c r="G96" s="90"/>
      <c r="H96" s="363"/>
      <c r="I96" s="363"/>
      <c r="J96" s="363"/>
      <c r="K96" s="363"/>
      <c r="L96" s="405"/>
      <c r="M96" s="405"/>
      <c r="N96" s="405"/>
      <c r="O96" s="405"/>
      <c r="P96" s="405"/>
      <c r="Q96" s="405"/>
      <c r="R96" s="405"/>
      <c r="S96" s="405"/>
      <c r="T96" s="405"/>
      <c r="U96" s="405"/>
      <c r="V96" s="405"/>
      <c r="W96" s="405"/>
      <c r="X96" s="363"/>
      <c r="Y96" s="363"/>
      <c r="Z96" s="363"/>
    </row>
    <row r="97" spans="1:26" ht="9.75" hidden="1" customHeight="1">
      <c r="A97" s="90"/>
      <c r="B97" s="90"/>
      <c r="C97" s="90"/>
      <c r="D97" s="90"/>
      <c r="E97" s="90"/>
      <c r="F97" s="90"/>
      <c r="G97" s="90"/>
      <c r="H97" s="363"/>
      <c r="I97" s="363"/>
      <c r="J97" s="363"/>
      <c r="K97" s="363"/>
      <c r="L97" s="405"/>
      <c r="M97" s="405"/>
      <c r="N97" s="405"/>
      <c r="O97" s="405"/>
      <c r="P97" s="405"/>
      <c r="Q97" s="405"/>
      <c r="R97" s="405"/>
      <c r="S97" s="405"/>
      <c r="T97" s="405"/>
      <c r="U97" s="405"/>
      <c r="V97" s="405"/>
      <c r="W97" s="405"/>
      <c r="X97" s="363"/>
      <c r="Y97" s="363"/>
      <c r="Z97" s="363"/>
    </row>
    <row r="98" spans="1:26" ht="9.75" customHeight="1">
      <c r="A98" s="90"/>
      <c r="B98" s="90"/>
      <c r="C98" s="90"/>
      <c r="D98" s="90"/>
      <c r="E98" s="90"/>
      <c r="F98" s="90"/>
      <c r="G98" s="90"/>
      <c r="H98" s="363"/>
      <c r="I98" s="363"/>
      <c r="J98" s="363"/>
      <c r="K98" s="363"/>
      <c r="L98" s="363"/>
      <c r="M98" s="363"/>
      <c r="N98" s="363"/>
      <c r="O98" s="363"/>
      <c r="P98" s="363"/>
      <c r="Q98" s="363"/>
      <c r="R98" s="363"/>
      <c r="S98" s="363"/>
      <c r="T98" s="363"/>
      <c r="U98" s="363"/>
      <c r="V98" s="363"/>
      <c r="W98" s="363"/>
      <c r="X98" s="363"/>
      <c r="Y98" s="363"/>
      <c r="Z98" s="363"/>
    </row>
    <row r="99" spans="1:26" ht="9.75" customHeight="1">
      <c r="A99" s="90"/>
      <c r="B99" s="90"/>
      <c r="C99" s="90"/>
      <c r="D99" s="90"/>
      <c r="E99" s="90"/>
      <c r="F99" s="90"/>
      <c r="G99" s="90"/>
      <c r="H99" s="363"/>
      <c r="I99" s="363"/>
      <c r="J99" s="363"/>
      <c r="K99" s="363"/>
      <c r="L99" s="363"/>
      <c r="M99" s="363"/>
      <c r="N99" s="363"/>
      <c r="O99" s="363"/>
      <c r="P99" s="363"/>
      <c r="Q99" s="363"/>
      <c r="R99" s="363"/>
      <c r="S99" s="363"/>
      <c r="T99" s="363"/>
      <c r="U99" s="363"/>
      <c r="V99" s="363"/>
      <c r="W99" s="363"/>
      <c r="X99" s="363"/>
      <c r="Y99" s="363"/>
      <c r="Z99" s="363"/>
    </row>
    <row r="100" spans="1:26" ht="9.75" customHeight="1">
      <c r="A100" s="90"/>
      <c r="B100" s="90"/>
      <c r="C100" s="90"/>
      <c r="D100" s="90"/>
      <c r="E100" s="90"/>
      <c r="F100" s="90"/>
      <c r="G100" s="90"/>
      <c r="H100" s="363"/>
      <c r="I100" s="363"/>
      <c r="J100" s="363"/>
      <c r="K100" s="363"/>
      <c r="L100" s="363"/>
      <c r="M100" s="363"/>
      <c r="N100" s="363"/>
      <c r="O100" s="363"/>
      <c r="P100" s="363"/>
      <c r="Q100" s="363"/>
      <c r="R100" s="363"/>
      <c r="S100" s="363"/>
      <c r="T100" s="363"/>
      <c r="U100" s="363"/>
      <c r="V100" s="363"/>
      <c r="W100" s="363"/>
      <c r="X100" s="363"/>
      <c r="Y100" s="363"/>
      <c r="Z100" s="363"/>
    </row>
    <row r="101" spans="1:26" ht="9.75" customHeight="1">
      <c r="A101" s="90"/>
      <c r="B101" s="90"/>
      <c r="C101" s="90"/>
      <c r="D101" s="90"/>
      <c r="E101" s="90"/>
      <c r="F101" s="90"/>
      <c r="G101" s="90"/>
      <c r="H101" s="363"/>
      <c r="I101" s="363"/>
      <c r="J101" s="363"/>
      <c r="K101" s="363"/>
      <c r="L101" s="363"/>
      <c r="M101" s="363"/>
      <c r="N101" s="363"/>
      <c r="O101" s="363"/>
      <c r="P101" s="363"/>
      <c r="Q101" s="363"/>
      <c r="R101" s="363"/>
      <c r="S101" s="363"/>
      <c r="T101" s="363"/>
      <c r="U101" s="363"/>
      <c r="V101" s="363"/>
      <c r="W101" s="363"/>
      <c r="X101" s="363"/>
      <c r="Y101" s="363"/>
      <c r="Z101" s="363"/>
    </row>
    <row r="102" spans="1:26" ht="9.75" customHeight="1">
      <c r="A102" s="90"/>
      <c r="B102" s="90"/>
      <c r="C102" s="90"/>
      <c r="D102" s="90"/>
      <c r="E102" s="90"/>
      <c r="F102" s="90"/>
      <c r="G102" s="90"/>
      <c r="H102" s="363"/>
      <c r="I102" s="363"/>
      <c r="J102" s="363"/>
      <c r="K102" s="363"/>
      <c r="L102" s="363"/>
      <c r="M102" s="363"/>
      <c r="N102" s="363"/>
      <c r="O102" s="363"/>
      <c r="P102" s="363"/>
      <c r="Q102" s="363"/>
      <c r="R102" s="363"/>
      <c r="S102" s="363"/>
      <c r="T102" s="363"/>
      <c r="U102" s="363"/>
      <c r="V102" s="363"/>
      <c r="W102" s="363"/>
      <c r="X102" s="363"/>
      <c r="Y102" s="363"/>
      <c r="Z102" s="363"/>
    </row>
    <row r="103" spans="1:26" ht="9.75" customHeight="1">
      <c r="A103" s="90"/>
      <c r="B103" s="90"/>
      <c r="C103" s="90"/>
      <c r="D103" s="90"/>
      <c r="E103" s="90"/>
      <c r="F103" s="90"/>
      <c r="G103" s="90"/>
      <c r="H103" s="363"/>
      <c r="I103" s="363"/>
      <c r="J103" s="363"/>
      <c r="K103" s="363"/>
      <c r="L103" s="363"/>
      <c r="M103" s="363"/>
      <c r="N103" s="363"/>
      <c r="O103" s="363"/>
      <c r="P103" s="363"/>
      <c r="Q103" s="363"/>
      <c r="R103" s="363"/>
      <c r="S103" s="363"/>
      <c r="T103" s="363"/>
      <c r="U103" s="363"/>
      <c r="V103" s="363"/>
      <c r="W103" s="363"/>
      <c r="X103" s="363"/>
      <c r="Y103" s="363"/>
      <c r="Z103" s="363"/>
    </row>
    <row r="104" spans="1:26" ht="9.75" customHeight="1">
      <c r="A104" s="90"/>
      <c r="B104" s="90"/>
      <c r="C104" s="90"/>
      <c r="D104" s="90"/>
      <c r="E104" s="90"/>
      <c r="F104" s="90"/>
      <c r="G104" s="90"/>
      <c r="H104" s="363"/>
      <c r="I104" s="363"/>
      <c r="J104" s="363"/>
      <c r="K104" s="363"/>
      <c r="L104" s="363"/>
      <c r="M104" s="363"/>
      <c r="N104" s="363"/>
      <c r="O104" s="363"/>
      <c r="P104" s="363"/>
      <c r="Q104" s="363"/>
      <c r="R104" s="363"/>
      <c r="S104" s="363"/>
      <c r="T104" s="363"/>
      <c r="U104" s="363"/>
      <c r="V104" s="363"/>
      <c r="W104" s="363"/>
      <c r="X104" s="363"/>
      <c r="Y104" s="363"/>
      <c r="Z104" s="363"/>
    </row>
    <row r="105" spans="1:26" ht="9.75" customHeight="1">
      <c r="A105" s="90"/>
      <c r="B105" s="90"/>
      <c r="C105" s="90"/>
      <c r="D105" s="90"/>
      <c r="E105" s="90"/>
      <c r="F105" s="90"/>
      <c r="G105" s="90"/>
      <c r="H105" s="363"/>
      <c r="I105" s="363"/>
      <c r="J105" s="363"/>
      <c r="K105" s="363"/>
      <c r="L105" s="363"/>
      <c r="M105" s="363"/>
      <c r="N105" s="363"/>
      <c r="O105" s="363"/>
      <c r="P105" s="363"/>
      <c r="Q105" s="363"/>
      <c r="R105" s="363"/>
      <c r="S105" s="363"/>
      <c r="T105" s="363"/>
      <c r="U105" s="363"/>
      <c r="V105" s="363"/>
      <c r="W105" s="363"/>
      <c r="X105" s="363"/>
      <c r="Y105" s="363"/>
      <c r="Z105" s="363"/>
    </row>
    <row r="106" spans="1:26" ht="9.75" customHeight="1">
      <c r="A106" s="90"/>
      <c r="B106" s="90"/>
      <c r="C106" s="90"/>
      <c r="D106" s="90"/>
      <c r="E106" s="90"/>
      <c r="F106" s="90"/>
      <c r="G106" s="90"/>
      <c r="H106" s="363"/>
      <c r="I106" s="363"/>
      <c r="J106" s="363"/>
      <c r="K106" s="363"/>
      <c r="L106" s="363"/>
      <c r="M106" s="363"/>
      <c r="N106" s="363"/>
      <c r="O106" s="363"/>
      <c r="P106" s="363"/>
      <c r="Q106" s="363"/>
      <c r="R106" s="363"/>
      <c r="S106" s="363"/>
      <c r="T106" s="363"/>
      <c r="U106" s="363"/>
      <c r="V106" s="363"/>
      <c r="W106" s="363"/>
      <c r="X106" s="363"/>
      <c r="Y106" s="363"/>
      <c r="Z106" s="363"/>
    </row>
    <row r="107" spans="1:26" ht="9.75" customHeight="1">
      <c r="A107" s="90"/>
      <c r="B107" s="90"/>
      <c r="C107" s="90"/>
      <c r="D107" s="90"/>
      <c r="E107" s="90"/>
      <c r="F107" s="90"/>
      <c r="G107" s="90"/>
      <c r="H107" s="363"/>
      <c r="I107" s="363"/>
      <c r="J107" s="363"/>
      <c r="K107" s="363"/>
      <c r="L107" s="363"/>
      <c r="M107" s="363"/>
      <c r="N107" s="363"/>
      <c r="O107" s="363"/>
      <c r="P107" s="363"/>
      <c r="Q107" s="363"/>
      <c r="R107" s="363"/>
      <c r="S107" s="363"/>
      <c r="T107" s="363"/>
      <c r="U107" s="363"/>
      <c r="V107" s="363"/>
      <c r="W107" s="363"/>
      <c r="X107" s="363"/>
      <c r="Y107" s="363"/>
      <c r="Z107" s="363"/>
    </row>
    <row r="108" spans="1:26" ht="9.75" customHeight="1">
      <c r="A108" s="90"/>
      <c r="B108" s="90"/>
      <c r="C108" s="90"/>
      <c r="D108" s="90"/>
      <c r="E108" s="90"/>
      <c r="F108" s="90"/>
      <c r="G108" s="90"/>
      <c r="H108" s="363"/>
      <c r="I108" s="363"/>
      <c r="J108" s="363"/>
      <c r="K108" s="363"/>
      <c r="L108" s="363"/>
      <c r="M108" s="363"/>
      <c r="N108" s="363"/>
      <c r="O108" s="363"/>
      <c r="P108" s="363"/>
      <c r="Q108" s="363"/>
      <c r="R108" s="363"/>
      <c r="S108" s="363"/>
      <c r="T108" s="363"/>
      <c r="U108" s="363"/>
      <c r="V108" s="363"/>
      <c r="W108" s="363"/>
      <c r="X108" s="363"/>
      <c r="Y108" s="363"/>
      <c r="Z108" s="363"/>
    </row>
    <row r="109" spans="1:26" ht="9.75" customHeight="1">
      <c r="A109" s="90"/>
      <c r="B109" s="90"/>
      <c r="C109" s="90"/>
      <c r="D109" s="90"/>
      <c r="E109" s="90"/>
      <c r="F109" s="90"/>
      <c r="G109" s="90"/>
      <c r="H109" s="363"/>
      <c r="I109" s="363"/>
      <c r="J109" s="363"/>
      <c r="K109" s="363"/>
      <c r="L109" s="363"/>
      <c r="M109" s="363"/>
      <c r="N109" s="363"/>
      <c r="O109" s="363"/>
      <c r="P109" s="363"/>
      <c r="Q109" s="363"/>
      <c r="R109" s="363"/>
      <c r="S109" s="363"/>
      <c r="T109" s="363"/>
      <c r="U109" s="363"/>
      <c r="V109" s="363"/>
      <c r="W109" s="363"/>
      <c r="X109" s="363"/>
      <c r="Y109" s="363"/>
      <c r="Z109" s="363"/>
    </row>
    <row r="110" spans="1:26" ht="9.75" customHeight="1">
      <c r="A110" s="90"/>
      <c r="B110" s="90"/>
      <c r="C110" s="90"/>
      <c r="D110" s="90"/>
      <c r="E110" s="90"/>
      <c r="F110" s="90"/>
      <c r="G110" s="90"/>
      <c r="H110" s="363"/>
      <c r="I110" s="363"/>
      <c r="J110" s="363"/>
      <c r="K110" s="363"/>
      <c r="L110" s="363"/>
      <c r="M110" s="363"/>
      <c r="N110" s="363"/>
      <c r="O110" s="363"/>
      <c r="P110" s="363"/>
      <c r="Q110" s="363"/>
      <c r="R110" s="363"/>
      <c r="S110" s="363"/>
      <c r="T110" s="363"/>
      <c r="U110" s="363"/>
      <c r="V110" s="363"/>
      <c r="W110" s="363"/>
      <c r="X110" s="363"/>
      <c r="Y110" s="363"/>
      <c r="Z110" s="363"/>
    </row>
    <row r="111" spans="1:26" ht="9.75" customHeight="1">
      <c r="A111" s="90"/>
      <c r="B111" s="90"/>
      <c r="C111" s="90"/>
      <c r="D111" s="90"/>
      <c r="E111" s="90"/>
      <c r="F111" s="90"/>
      <c r="G111" s="90"/>
      <c r="H111" s="363"/>
      <c r="I111" s="363"/>
      <c r="J111" s="363"/>
      <c r="K111" s="363"/>
      <c r="L111" s="363"/>
      <c r="M111" s="363"/>
      <c r="N111" s="363"/>
      <c r="O111" s="363"/>
      <c r="P111" s="363"/>
      <c r="Q111" s="363"/>
      <c r="R111" s="363"/>
      <c r="S111" s="363"/>
      <c r="T111" s="363"/>
      <c r="U111" s="363"/>
      <c r="V111" s="363"/>
      <c r="W111" s="363"/>
      <c r="X111" s="363"/>
      <c r="Y111" s="363"/>
      <c r="Z111" s="363"/>
    </row>
    <row r="112" spans="1:26" ht="9.75" customHeight="1">
      <c r="A112" s="90"/>
      <c r="B112" s="90"/>
      <c r="C112" s="90"/>
      <c r="D112" s="90"/>
      <c r="E112" s="90"/>
      <c r="F112" s="90"/>
      <c r="G112" s="90"/>
      <c r="H112" s="363"/>
      <c r="I112" s="363"/>
      <c r="J112" s="363"/>
      <c r="K112" s="363"/>
      <c r="L112" s="363"/>
      <c r="M112" s="363"/>
      <c r="N112" s="363"/>
      <c r="O112" s="363"/>
      <c r="P112" s="363"/>
      <c r="Q112" s="363"/>
      <c r="R112" s="363"/>
      <c r="S112" s="363"/>
      <c r="T112" s="363"/>
      <c r="U112" s="363"/>
      <c r="V112" s="363"/>
      <c r="W112" s="363"/>
      <c r="X112" s="363"/>
      <c r="Y112" s="363"/>
      <c r="Z112" s="363"/>
    </row>
    <row r="113" spans="1:26" ht="9.75" customHeight="1">
      <c r="A113" s="90"/>
      <c r="B113" s="90"/>
      <c r="C113" s="90"/>
      <c r="D113" s="90"/>
      <c r="E113" s="90"/>
      <c r="F113" s="90"/>
      <c r="G113" s="90"/>
      <c r="H113" s="363"/>
      <c r="I113" s="363"/>
      <c r="J113" s="363"/>
      <c r="K113" s="363"/>
      <c r="L113" s="363"/>
      <c r="M113" s="363"/>
      <c r="N113" s="363"/>
      <c r="O113" s="363"/>
      <c r="P113" s="363"/>
      <c r="Q113" s="363"/>
      <c r="R113" s="363"/>
      <c r="S113" s="363"/>
      <c r="T113" s="363"/>
      <c r="U113" s="363"/>
      <c r="V113" s="363"/>
      <c r="W113" s="363"/>
      <c r="X113" s="363"/>
      <c r="Y113" s="363"/>
      <c r="Z113" s="363"/>
    </row>
    <row r="114" spans="1:26" ht="9.75" customHeight="1">
      <c r="A114" s="90"/>
      <c r="B114" s="90"/>
      <c r="C114" s="90"/>
      <c r="D114" s="90"/>
      <c r="E114" s="90"/>
      <c r="F114" s="90"/>
      <c r="G114" s="90"/>
      <c r="H114" s="363"/>
      <c r="I114" s="363"/>
      <c r="J114" s="363"/>
      <c r="K114" s="363"/>
      <c r="L114" s="363"/>
      <c r="M114" s="363"/>
      <c r="N114" s="363"/>
      <c r="O114" s="363"/>
      <c r="P114" s="363"/>
      <c r="Q114" s="363"/>
      <c r="R114" s="363"/>
      <c r="S114" s="363"/>
      <c r="T114" s="363"/>
      <c r="U114" s="363"/>
      <c r="V114" s="363"/>
      <c r="W114" s="363"/>
      <c r="X114" s="363"/>
      <c r="Y114" s="363"/>
      <c r="Z114" s="363"/>
    </row>
    <row r="115" spans="1:26" ht="9.75" customHeight="1">
      <c r="A115" s="90"/>
      <c r="B115" s="90"/>
      <c r="C115" s="90"/>
      <c r="D115" s="90"/>
      <c r="E115" s="90"/>
      <c r="F115" s="90"/>
      <c r="G115" s="90"/>
      <c r="H115" s="363"/>
      <c r="I115" s="363"/>
      <c r="J115" s="363"/>
      <c r="K115" s="363"/>
      <c r="L115" s="363"/>
      <c r="M115" s="363"/>
      <c r="N115" s="363"/>
      <c r="O115" s="363"/>
      <c r="P115" s="363"/>
      <c r="Q115" s="363"/>
      <c r="R115" s="363"/>
      <c r="S115" s="363"/>
      <c r="T115" s="363"/>
      <c r="U115" s="363"/>
      <c r="V115" s="363"/>
      <c r="W115" s="363"/>
      <c r="X115" s="363"/>
      <c r="Y115" s="363"/>
      <c r="Z115" s="363"/>
    </row>
    <row r="116" spans="1:26" ht="9.75" customHeight="1">
      <c r="A116" s="90"/>
      <c r="B116" s="90"/>
      <c r="C116" s="90"/>
      <c r="D116" s="90"/>
      <c r="E116" s="90"/>
      <c r="F116" s="90"/>
      <c r="G116" s="90"/>
      <c r="H116" s="363"/>
      <c r="I116" s="363"/>
      <c r="J116" s="363"/>
      <c r="K116" s="363"/>
      <c r="L116" s="363"/>
      <c r="M116" s="363"/>
      <c r="N116" s="363"/>
      <c r="O116" s="363"/>
      <c r="P116" s="363"/>
      <c r="Q116" s="363"/>
      <c r="R116" s="363"/>
      <c r="S116" s="363"/>
      <c r="T116" s="363"/>
      <c r="U116" s="363"/>
      <c r="V116" s="363"/>
      <c r="W116" s="363"/>
      <c r="X116" s="363"/>
      <c r="Y116" s="363"/>
      <c r="Z116" s="363"/>
    </row>
    <row r="117" spans="1:26" ht="9.75" customHeight="1">
      <c r="A117" s="90"/>
      <c r="B117" s="90"/>
      <c r="C117" s="90"/>
      <c r="D117" s="90"/>
      <c r="E117" s="90"/>
      <c r="F117" s="90"/>
      <c r="G117" s="90"/>
      <c r="H117" s="363"/>
      <c r="I117" s="363"/>
      <c r="J117" s="363"/>
      <c r="K117" s="363"/>
      <c r="L117" s="363"/>
      <c r="M117" s="363"/>
      <c r="N117" s="363"/>
      <c r="O117" s="363"/>
      <c r="P117" s="363"/>
      <c r="Q117" s="363"/>
      <c r="R117" s="363"/>
      <c r="S117" s="363"/>
      <c r="T117" s="363"/>
      <c r="U117" s="363"/>
      <c r="V117" s="363"/>
      <c r="W117" s="363"/>
      <c r="X117" s="363"/>
      <c r="Y117" s="363"/>
      <c r="Z117" s="363"/>
    </row>
    <row r="118" spans="1:26" ht="9.75" customHeight="1">
      <c r="A118" s="90"/>
      <c r="B118" s="90"/>
      <c r="C118" s="90"/>
      <c r="D118" s="90"/>
      <c r="E118" s="90"/>
      <c r="F118" s="90"/>
      <c r="G118" s="90"/>
      <c r="H118" s="363"/>
      <c r="I118" s="363"/>
      <c r="J118" s="363"/>
      <c r="K118" s="363"/>
      <c r="L118" s="363"/>
      <c r="M118" s="363"/>
      <c r="N118" s="363"/>
      <c r="O118" s="363"/>
      <c r="P118" s="363"/>
      <c r="Q118" s="363"/>
      <c r="R118" s="363"/>
      <c r="S118" s="363"/>
      <c r="T118" s="363"/>
      <c r="U118" s="363"/>
      <c r="V118" s="363"/>
      <c r="W118" s="363"/>
      <c r="X118" s="363"/>
      <c r="Y118" s="363"/>
      <c r="Z118" s="363"/>
    </row>
    <row r="119" spans="1:26" ht="9.75" customHeight="1">
      <c r="A119" s="90"/>
      <c r="B119" s="90"/>
      <c r="C119" s="90"/>
      <c r="D119" s="90"/>
      <c r="E119" s="90"/>
      <c r="F119" s="90"/>
      <c r="G119" s="90"/>
      <c r="H119" s="363"/>
      <c r="I119" s="363"/>
      <c r="J119" s="363"/>
      <c r="K119" s="363"/>
      <c r="L119" s="363"/>
      <c r="M119" s="363"/>
      <c r="N119" s="363"/>
      <c r="O119" s="363"/>
      <c r="P119" s="363"/>
      <c r="Q119" s="363"/>
      <c r="R119" s="363"/>
      <c r="S119" s="363"/>
      <c r="T119" s="363"/>
      <c r="U119" s="363"/>
      <c r="V119" s="363"/>
      <c r="W119" s="363"/>
      <c r="X119" s="363"/>
      <c r="Y119" s="363"/>
      <c r="Z119" s="363"/>
    </row>
    <row r="120" spans="1:26" ht="9.75" customHeight="1">
      <c r="A120" s="90"/>
      <c r="B120" s="90"/>
      <c r="C120" s="90"/>
      <c r="D120" s="90"/>
      <c r="E120" s="90"/>
      <c r="F120" s="90"/>
      <c r="G120" s="90"/>
      <c r="H120" s="363"/>
      <c r="I120" s="363"/>
      <c r="J120" s="363"/>
      <c r="K120" s="363"/>
      <c r="L120" s="363"/>
      <c r="M120" s="363"/>
      <c r="N120" s="363"/>
      <c r="O120" s="363"/>
      <c r="P120" s="363"/>
      <c r="Q120" s="363"/>
      <c r="R120" s="363"/>
      <c r="S120" s="363"/>
      <c r="T120" s="363"/>
      <c r="U120" s="363"/>
      <c r="V120" s="363"/>
      <c r="W120" s="363"/>
      <c r="X120" s="363"/>
      <c r="Y120" s="363"/>
      <c r="Z120" s="363"/>
    </row>
    <row r="121" spans="1:26" ht="9.75" customHeight="1">
      <c r="A121" s="90"/>
      <c r="B121" s="90"/>
      <c r="C121" s="90"/>
      <c r="D121" s="90"/>
      <c r="E121" s="90"/>
      <c r="F121" s="90"/>
      <c r="G121" s="90"/>
      <c r="H121" s="363"/>
      <c r="I121" s="363"/>
      <c r="J121" s="363"/>
      <c r="K121" s="363"/>
      <c r="L121" s="363"/>
      <c r="M121" s="363"/>
      <c r="N121" s="363"/>
      <c r="O121" s="363"/>
      <c r="P121" s="363"/>
      <c r="Q121" s="363"/>
      <c r="R121" s="363"/>
      <c r="S121" s="363"/>
      <c r="T121" s="363"/>
      <c r="U121" s="363"/>
      <c r="V121" s="363"/>
      <c r="W121" s="363"/>
      <c r="X121" s="363"/>
      <c r="Y121" s="363"/>
      <c r="Z121" s="363"/>
    </row>
    <row r="122" spans="1:26" ht="9.75" customHeight="1">
      <c r="A122" s="90"/>
      <c r="B122" s="90"/>
      <c r="C122" s="90"/>
      <c r="D122" s="90"/>
      <c r="E122" s="90"/>
      <c r="F122" s="90"/>
      <c r="G122" s="90"/>
      <c r="H122" s="363"/>
      <c r="I122" s="363"/>
      <c r="J122" s="363"/>
      <c r="K122" s="363"/>
      <c r="L122" s="363"/>
      <c r="M122" s="363"/>
      <c r="N122" s="363"/>
      <c r="O122" s="363"/>
      <c r="P122" s="363"/>
      <c r="Q122" s="363"/>
      <c r="R122" s="363"/>
      <c r="S122" s="363"/>
      <c r="T122" s="363"/>
      <c r="U122" s="363"/>
      <c r="V122" s="363"/>
      <c r="W122" s="363"/>
      <c r="X122" s="363"/>
      <c r="Y122" s="363"/>
      <c r="Z122" s="363"/>
    </row>
    <row r="123" spans="1:26" ht="9.75" customHeight="1">
      <c r="A123" s="90"/>
      <c r="B123" s="90"/>
      <c r="C123" s="90"/>
      <c r="D123" s="90"/>
      <c r="E123" s="90"/>
      <c r="F123" s="90"/>
      <c r="G123" s="90"/>
      <c r="H123" s="363"/>
      <c r="I123" s="363"/>
      <c r="J123" s="363"/>
      <c r="K123" s="363"/>
      <c r="L123" s="363"/>
      <c r="M123" s="363"/>
      <c r="N123" s="363"/>
      <c r="O123" s="363"/>
      <c r="P123" s="363"/>
      <c r="Q123" s="363"/>
      <c r="R123" s="363"/>
      <c r="S123" s="363"/>
      <c r="T123" s="363"/>
      <c r="U123" s="363"/>
      <c r="V123" s="363"/>
      <c r="W123" s="363"/>
      <c r="X123" s="363"/>
      <c r="Y123" s="363"/>
      <c r="Z123" s="363"/>
    </row>
    <row r="124" spans="1:26" ht="9.75" customHeight="1">
      <c r="A124" s="90"/>
      <c r="B124" s="90"/>
      <c r="C124" s="90"/>
      <c r="D124" s="90"/>
      <c r="E124" s="90"/>
      <c r="F124" s="90"/>
      <c r="G124" s="90"/>
      <c r="H124" s="363"/>
      <c r="I124" s="363"/>
      <c r="J124" s="363"/>
      <c r="K124" s="363"/>
      <c r="L124" s="363"/>
      <c r="M124" s="363"/>
      <c r="N124" s="363"/>
      <c r="O124" s="363"/>
      <c r="P124" s="363"/>
      <c r="Q124" s="363"/>
      <c r="R124" s="363"/>
      <c r="S124" s="363"/>
      <c r="T124" s="363"/>
      <c r="U124" s="363"/>
      <c r="V124" s="363"/>
      <c r="W124" s="363"/>
      <c r="X124" s="363"/>
      <c r="Y124" s="363"/>
      <c r="Z124" s="363"/>
    </row>
    <row r="125" spans="1:26" ht="9.75" customHeight="1">
      <c r="A125" s="90"/>
      <c r="B125" s="90"/>
      <c r="C125" s="90"/>
      <c r="D125" s="90"/>
      <c r="E125" s="90"/>
      <c r="F125" s="90"/>
      <c r="G125" s="90"/>
      <c r="H125" s="363"/>
      <c r="I125" s="363"/>
      <c r="J125" s="363"/>
      <c r="K125" s="363"/>
      <c r="L125" s="363"/>
      <c r="M125" s="363"/>
      <c r="N125" s="363"/>
      <c r="O125" s="363"/>
      <c r="P125" s="363"/>
      <c r="Q125" s="363"/>
      <c r="R125" s="363"/>
      <c r="S125" s="363"/>
      <c r="T125" s="363"/>
      <c r="U125" s="363"/>
      <c r="V125" s="363"/>
      <c r="W125" s="363"/>
      <c r="X125" s="363"/>
      <c r="Y125" s="363"/>
      <c r="Z125" s="363"/>
    </row>
    <row r="126" spans="1:26" ht="9.75" customHeight="1">
      <c r="A126" s="90"/>
      <c r="B126" s="90"/>
      <c r="C126" s="90"/>
      <c r="D126" s="90"/>
      <c r="E126" s="90"/>
      <c r="F126" s="90"/>
      <c r="G126" s="90"/>
      <c r="H126" s="363"/>
      <c r="I126" s="363"/>
      <c r="J126" s="363"/>
      <c r="K126" s="363"/>
      <c r="L126" s="363"/>
      <c r="M126" s="363"/>
      <c r="N126" s="363"/>
      <c r="O126" s="363"/>
      <c r="P126" s="363"/>
      <c r="Q126" s="363"/>
      <c r="R126" s="363"/>
      <c r="S126" s="363"/>
      <c r="T126" s="363"/>
      <c r="U126" s="363"/>
      <c r="V126" s="363"/>
      <c r="W126" s="363"/>
      <c r="X126" s="363"/>
      <c r="Y126" s="363"/>
      <c r="Z126" s="363"/>
    </row>
    <row r="127" spans="1:26" ht="9.75" customHeight="1">
      <c r="A127" s="90"/>
      <c r="B127" s="90"/>
      <c r="C127" s="90"/>
      <c r="D127" s="90"/>
      <c r="E127" s="90"/>
      <c r="F127" s="90"/>
      <c r="G127" s="90"/>
      <c r="H127" s="363"/>
      <c r="I127" s="363"/>
      <c r="J127" s="363"/>
      <c r="K127" s="363"/>
      <c r="L127" s="363"/>
      <c r="M127" s="363"/>
      <c r="N127" s="363"/>
      <c r="O127" s="363"/>
      <c r="P127" s="363"/>
      <c r="Q127" s="363"/>
      <c r="R127" s="363"/>
      <c r="S127" s="363"/>
      <c r="T127" s="363"/>
      <c r="U127" s="363"/>
      <c r="V127" s="363"/>
      <c r="W127" s="363"/>
      <c r="X127" s="363"/>
      <c r="Y127" s="363"/>
      <c r="Z127" s="363"/>
    </row>
    <row r="128" spans="1:26" ht="9.75" customHeight="1">
      <c r="A128" s="90"/>
      <c r="B128" s="90"/>
      <c r="C128" s="90"/>
      <c r="D128" s="90"/>
      <c r="E128" s="90"/>
      <c r="F128" s="90"/>
      <c r="G128" s="90"/>
      <c r="H128" s="363"/>
      <c r="I128" s="363"/>
      <c r="J128" s="363"/>
      <c r="K128" s="363"/>
      <c r="L128" s="363"/>
      <c r="M128" s="363"/>
      <c r="N128" s="363"/>
      <c r="O128" s="363"/>
      <c r="P128" s="363"/>
      <c r="Q128" s="363"/>
      <c r="R128" s="363"/>
      <c r="S128" s="363"/>
      <c r="T128" s="363"/>
      <c r="U128" s="363"/>
      <c r="V128" s="363"/>
      <c r="W128" s="363"/>
      <c r="X128" s="363"/>
      <c r="Y128" s="363"/>
      <c r="Z128" s="363"/>
    </row>
    <row r="129" spans="1:26" ht="9.75" customHeight="1">
      <c r="A129" s="90"/>
      <c r="B129" s="90"/>
      <c r="C129" s="90"/>
      <c r="D129" s="90"/>
      <c r="E129" s="90"/>
      <c r="F129" s="90"/>
      <c r="G129" s="90"/>
      <c r="H129" s="363"/>
      <c r="I129" s="363"/>
      <c r="J129" s="363"/>
      <c r="K129" s="363"/>
      <c r="L129" s="363"/>
      <c r="M129" s="363"/>
      <c r="N129" s="363"/>
      <c r="O129" s="363"/>
      <c r="P129" s="363"/>
      <c r="Q129" s="363"/>
      <c r="R129" s="363"/>
      <c r="S129" s="363"/>
      <c r="T129" s="363"/>
      <c r="U129" s="363"/>
      <c r="V129" s="363"/>
      <c r="W129" s="363"/>
      <c r="X129" s="363"/>
      <c r="Y129" s="363"/>
      <c r="Z129" s="363"/>
    </row>
    <row r="130" spans="1:26" ht="9.75" customHeight="1">
      <c r="A130" s="90"/>
      <c r="B130" s="90"/>
      <c r="C130" s="90"/>
      <c r="D130" s="90"/>
      <c r="E130" s="90"/>
      <c r="F130" s="90"/>
      <c r="G130" s="90"/>
      <c r="H130" s="363"/>
      <c r="I130" s="363"/>
      <c r="J130" s="363"/>
      <c r="K130" s="363"/>
      <c r="L130" s="363"/>
      <c r="M130" s="363"/>
      <c r="N130" s="363"/>
      <c r="O130" s="363"/>
      <c r="P130" s="363"/>
      <c r="Q130" s="363"/>
      <c r="R130" s="363"/>
      <c r="S130" s="363"/>
      <c r="T130" s="363"/>
      <c r="U130" s="363"/>
      <c r="V130" s="363"/>
      <c r="W130" s="363"/>
      <c r="X130" s="363"/>
      <c r="Y130" s="363"/>
      <c r="Z130" s="363"/>
    </row>
    <row r="131" spans="1:26" ht="9.75" customHeight="1">
      <c r="A131" s="90"/>
      <c r="B131" s="90"/>
      <c r="C131" s="90"/>
      <c r="D131" s="90"/>
      <c r="E131" s="90"/>
      <c r="F131" s="90"/>
      <c r="G131" s="90"/>
      <c r="H131" s="363"/>
      <c r="I131" s="363"/>
      <c r="J131" s="363"/>
      <c r="K131" s="363"/>
      <c r="L131" s="363"/>
      <c r="M131" s="363"/>
      <c r="N131" s="363"/>
      <c r="O131" s="363"/>
      <c r="P131" s="363"/>
      <c r="Q131" s="363"/>
      <c r="R131" s="363"/>
      <c r="S131" s="363"/>
      <c r="T131" s="363"/>
      <c r="U131" s="363"/>
      <c r="V131" s="363"/>
      <c r="W131" s="363"/>
      <c r="X131" s="363"/>
      <c r="Y131" s="363"/>
      <c r="Z131" s="363"/>
    </row>
    <row r="132" spans="1:26" ht="9.75" customHeight="1">
      <c r="A132" s="90"/>
      <c r="B132" s="90"/>
      <c r="C132" s="90"/>
      <c r="D132" s="90"/>
      <c r="E132" s="90"/>
      <c r="F132" s="90"/>
      <c r="G132" s="90"/>
      <c r="H132" s="363"/>
      <c r="I132" s="363"/>
      <c r="J132" s="363"/>
      <c r="K132" s="363"/>
      <c r="L132" s="363"/>
      <c r="M132" s="363"/>
      <c r="N132" s="363"/>
      <c r="O132" s="363"/>
      <c r="P132" s="363"/>
      <c r="Q132" s="363"/>
      <c r="R132" s="363"/>
      <c r="S132" s="363"/>
      <c r="T132" s="363"/>
      <c r="U132" s="363"/>
      <c r="V132" s="363"/>
      <c r="W132" s="363"/>
      <c r="X132" s="363"/>
      <c r="Y132" s="363"/>
      <c r="Z132" s="363"/>
    </row>
    <row r="133" spans="1:26" ht="9.75" customHeight="1">
      <c r="A133" s="90"/>
      <c r="B133" s="90"/>
      <c r="C133" s="90"/>
      <c r="D133" s="90"/>
      <c r="E133" s="90"/>
      <c r="F133" s="90"/>
      <c r="G133" s="90"/>
      <c r="H133" s="363"/>
      <c r="I133" s="363"/>
      <c r="J133" s="363"/>
      <c r="K133" s="363"/>
      <c r="L133" s="363"/>
      <c r="M133" s="363"/>
      <c r="N133" s="363"/>
      <c r="O133" s="363"/>
      <c r="P133" s="363"/>
      <c r="Q133" s="363"/>
      <c r="R133" s="363"/>
      <c r="S133" s="363"/>
      <c r="T133" s="363"/>
      <c r="U133" s="363"/>
      <c r="V133" s="363"/>
      <c r="W133" s="363"/>
      <c r="X133" s="363"/>
      <c r="Y133" s="363"/>
      <c r="Z133" s="363"/>
    </row>
    <row r="134" spans="1:26" ht="9.75" customHeight="1">
      <c r="A134" s="90"/>
      <c r="B134" s="90"/>
      <c r="C134" s="90"/>
      <c r="D134" s="90"/>
      <c r="E134" s="90"/>
      <c r="F134" s="90"/>
      <c r="G134" s="90"/>
      <c r="H134" s="363"/>
      <c r="I134" s="363"/>
      <c r="J134" s="363"/>
      <c r="K134" s="363"/>
      <c r="L134" s="363"/>
      <c r="M134" s="363"/>
      <c r="N134" s="363"/>
      <c r="O134" s="363"/>
      <c r="P134" s="363"/>
      <c r="Q134" s="363"/>
      <c r="R134" s="363"/>
      <c r="S134" s="363"/>
      <c r="T134" s="363"/>
      <c r="U134" s="363"/>
      <c r="V134" s="363"/>
      <c r="W134" s="363"/>
      <c r="X134" s="363"/>
      <c r="Y134" s="363"/>
      <c r="Z134" s="363"/>
    </row>
    <row r="135" spans="1:26" ht="9.75" customHeight="1">
      <c r="A135" s="90"/>
      <c r="B135" s="90"/>
      <c r="C135" s="90"/>
      <c r="D135" s="90"/>
      <c r="E135" s="90"/>
      <c r="F135" s="90"/>
      <c r="G135" s="90"/>
      <c r="H135" s="363"/>
      <c r="I135" s="363"/>
      <c r="J135" s="363"/>
      <c r="K135" s="363"/>
      <c r="L135" s="363"/>
      <c r="M135" s="363"/>
      <c r="N135" s="363"/>
      <c r="O135" s="363"/>
      <c r="P135" s="363"/>
      <c r="Q135" s="363"/>
      <c r="R135" s="363"/>
      <c r="S135" s="363"/>
      <c r="T135" s="363"/>
      <c r="U135" s="363"/>
      <c r="V135" s="363"/>
      <c r="W135" s="363"/>
      <c r="X135" s="363"/>
      <c r="Y135" s="363"/>
      <c r="Z135" s="363"/>
    </row>
    <row r="136" spans="1:26" ht="9.75" customHeight="1">
      <c r="A136" s="90"/>
      <c r="B136" s="90"/>
      <c r="C136" s="90"/>
      <c r="D136" s="90"/>
      <c r="E136" s="90"/>
      <c r="F136" s="90"/>
      <c r="G136" s="90"/>
      <c r="H136" s="363"/>
      <c r="I136" s="363"/>
      <c r="J136" s="363"/>
      <c r="K136" s="363"/>
      <c r="L136" s="363"/>
      <c r="M136" s="363"/>
      <c r="N136" s="363"/>
      <c r="O136" s="363"/>
      <c r="P136" s="363"/>
      <c r="Q136" s="363"/>
      <c r="R136" s="363"/>
      <c r="S136" s="363"/>
      <c r="T136" s="363"/>
      <c r="U136" s="363"/>
      <c r="V136" s="363"/>
      <c r="W136" s="363"/>
      <c r="X136" s="363"/>
      <c r="Y136" s="363"/>
      <c r="Z136" s="363"/>
    </row>
    <row r="137" spans="1:26" ht="9.75" customHeight="1">
      <c r="A137" s="90"/>
      <c r="B137" s="90"/>
      <c r="C137" s="90"/>
      <c r="D137" s="90"/>
      <c r="E137" s="90"/>
      <c r="F137" s="90"/>
      <c r="G137" s="90"/>
      <c r="H137" s="363"/>
      <c r="I137" s="363"/>
      <c r="J137" s="363"/>
      <c r="K137" s="363"/>
      <c r="L137" s="363"/>
      <c r="M137" s="363"/>
      <c r="N137" s="363"/>
      <c r="O137" s="363"/>
      <c r="P137" s="363"/>
      <c r="Q137" s="363"/>
      <c r="R137" s="363"/>
      <c r="S137" s="363"/>
      <c r="T137" s="363"/>
      <c r="U137" s="363"/>
      <c r="V137" s="363"/>
      <c r="W137" s="363"/>
      <c r="X137" s="363"/>
      <c r="Y137" s="363"/>
      <c r="Z137" s="363"/>
    </row>
    <row r="138" spans="1:26" ht="9.75" customHeight="1">
      <c r="A138" s="90"/>
      <c r="B138" s="90"/>
      <c r="C138" s="90"/>
      <c r="D138" s="90"/>
      <c r="E138" s="90"/>
      <c r="F138" s="90"/>
      <c r="G138" s="90"/>
      <c r="H138" s="363"/>
      <c r="I138" s="363"/>
      <c r="J138" s="363"/>
      <c r="K138" s="363"/>
      <c r="L138" s="363"/>
      <c r="M138" s="363"/>
      <c r="N138" s="363"/>
      <c r="O138" s="363"/>
      <c r="P138" s="363"/>
      <c r="Q138" s="363"/>
      <c r="R138" s="363"/>
      <c r="S138" s="363"/>
      <c r="T138" s="363"/>
      <c r="U138" s="363"/>
      <c r="V138" s="363"/>
      <c r="W138" s="363"/>
      <c r="X138" s="363"/>
      <c r="Y138" s="363"/>
      <c r="Z138" s="363"/>
    </row>
    <row r="139" spans="1:26" ht="9.75" customHeight="1">
      <c r="A139" s="90"/>
      <c r="B139" s="90"/>
      <c r="C139" s="90"/>
      <c r="D139" s="90"/>
      <c r="E139" s="90"/>
      <c r="F139" s="90"/>
      <c r="G139" s="90"/>
      <c r="H139" s="363"/>
      <c r="I139" s="363"/>
      <c r="J139" s="363"/>
      <c r="K139" s="363"/>
      <c r="L139" s="363"/>
      <c r="M139" s="363"/>
      <c r="N139" s="363"/>
      <c r="O139" s="363"/>
      <c r="P139" s="363"/>
      <c r="Q139" s="363"/>
      <c r="R139" s="363"/>
      <c r="S139" s="363"/>
      <c r="T139" s="363"/>
      <c r="U139" s="363"/>
      <c r="V139" s="363"/>
      <c r="W139" s="363"/>
      <c r="X139" s="363"/>
      <c r="Y139" s="363"/>
      <c r="Z139" s="363"/>
    </row>
    <row r="140" spans="1:26" ht="9.75" customHeight="1">
      <c r="A140" s="90"/>
      <c r="B140" s="90"/>
      <c r="C140" s="90"/>
      <c r="D140" s="90"/>
      <c r="E140" s="90"/>
      <c r="F140" s="90"/>
      <c r="G140" s="90"/>
      <c r="H140" s="363"/>
      <c r="I140" s="363"/>
      <c r="J140" s="363"/>
      <c r="K140" s="363"/>
      <c r="L140" s="363"/>
      <c r="M140" s="363"/>
      <c r="N140" s="363"/>
      <c r="O140" s="363"/>
      <c r="P140" s="363"/>
      <c r="Q140" s="363"/>
      <c r="R140" s="363"/>
      <c r="S140" s="363"/>
      <c r="T140" s="363"/>
      <c r="U140" s="363"/>
      <c r="V140" s="363"/>
      <c r="W140" s="363"/>
      <c r="X140" s="363"/>
      <c r="Y140" s="363"/>
      <c r="Z140" s="363"/>
    </row>
    <row r="141" spans="1:26" ht="9.75" customHeight="1">
      <c r="A141" s="90"/>
      <c r="B141" s="90"/>
      <c r="C141" s="90"/>
      <c r="D141" s="90"/>
      <c r="E141" s="90"/>
      <c r="F141" s="90"/>
      <c r="G141" s="90"/>
      <c r="H141" s="363"/>
      <c r="I141" s="363"/>
      <c r="J141" s="363"/>
      <c r="K141" s="363"/>
      <c r="L141" s="363"/>
      <c r="M141" s="363"/>
      <c r="N141" s="363"/>
      <c r="O141" s="363"/>
      <c r="P141" s="363"/>
      <c r="Q141" s="363"/>
      <c r="R141" s="363"/>
      <c r="S141" s="363"/>
      <c r="T141" s="363"/>
      <c r="U141" s="363"/>
      <c r="V141" s="363"/>
      <c r="W141" s="363"/>
      <c r="X141" s="363"/>
      <c r="Y141" s="363"/>
      <c r="Z141" s="363"/>
    </row>
    <row r="142" spans="1:26" ht="9.75" customHeight="1">
      <c r="A142" s="90"/>
      <c r="B142" s="90"/>
      <c r="C142" s="90"/>
      <c r="D142" s="90"/>
      <c r="E142" s="90"/>
      <c r="F142" s="90"/>
      <c r="G142" s="90"/>
      <c r="H142" s="363"/>
      <c r="I142" s="363"/>
      <c r="J142" s="363"/>
      <c r="K142" s="363"/>
      <c r="L142" s="363"/>
      <c r="M142" s="363"/>
      <c r="N142" s="363"/>
      <c r="O142" s="363"/>
      <c r="P142" s="363"/>
      <c r="Q142" s="363"/>
      <c r="R142" s="363"/>
      <c r="S142" s="363"/>
      <c r="T142" s="363"/>
      <c r="U142" s="363"/>
      <c r="V142" s="363"/>
      <c r="W142" s="363"/>
      <c r="X142" s="363"/>
      <c r="Y142" s="363"/>
      <c r="Z142" s="363"/>
    </row>
    <row r="143" spans="1:26" ht="9.75" customHeight="1">
      <c r="A143" s="90"/>
      <c r="B143" s="90"/>
      <c r="C143" s="90"/>
      <c r="D143" s="90"/>
      <c r="E143" s="90"/>
      <c r="F143" s="90"/>
      <c r="G143" s="90"/>
      <c r="H143" s="363"/>
      <c r="I143" s="363"/>
      <c r="J143" s="363"/>
      <c r="K143" s="363"/>
      <c r="L143" s="363"/>
      <c r="M143" s="363"/>
      <c r="N143" s="363"/>
      <c r="O143" s="363"/>
      <c r="P143" s="363"/>
      <c r="Q143" s="363"/>
      <c r="R143" s="363"/>
      <c r="S143" s="363"/>
      <c r="T143" s="363"/>
      <c r="U143" s="363"/>
      <c r="V143" s="363"/>
      <c r="W143" s="363"/>
      <c r="X143" s="363"/>
      <c r="Y143" s="363"/>
      <c r="Z143" s="363"/>
    </row>
    <row r="144" spans="1:26" ht="9.75" customHeight="1">
      <c r="A144" s="90"/>
      <c r="B144" s="90"/>
      <c r="C144" s="90"/>
      <c r="D144" s="90"/>
      <c r="E144" s="90"/>
      <c r="F144" s="90"/>
      <c r="G144" s="90"/>
      <c r="H144" s="363"/>
      <c r="I144" s="363"/>
      <c r="J144" s="363"/>
      <c r="K144" s="363"/>
      <c r="L144" s="363"/>
      <c r="M144" s="363"/>
      <c r="N144" s="363"/>
      <c r="O144" s="363"/>
      <c r="P144" s="363"/>
      <c r="Q144" s="363"/>
      <c r="R144" s="363"/>
      <c r="S144" s="363"/>
      <c r="T144" s="363"/>
      <c r="U144" s="363"/>
      <c r="V144" s="363"/>
      <c r="W144" s="363"/>
      <c r="X144" s="363"/>
      <c r="Y144" s="363"/>
      <c r="Z144" s="363"/>
    </row>
    <row r="145" spans="1:26" ht="9.75" customHeight="1">
      <c r="A145" s="90"/>
      <c r="B145" s="90"/>
      <c r="C145" s="90"/>
      <c r="D145" s="90"/>
      <c r="E145" s="90"/>
      <c r="F145" s="90"/>
      <c r="G145" s="90"/>
      <c r="H145" s="363"/>
      <c r="I145" s="363"/>
      <c r="J145" s="363"/>
      <c r="K145" s="363"/>
      <c r="L145" s="363"/>
      <c r="M145" s="363"/>
      <c r="N145" s="363"/>
      <c r="O145" s="363"/>
      <c r="P145" s="363"/>
      <c r="Q145" s="363"/>
      <c r="R145" s="363"/>
      <c r="S145" s="363"/>
      <c r="T145" s="363"/>
      <c r="U145" s="363"/>
      <c r="V145" s="363"/>
      <c r="W145" s="363"/>
      <c r="X145" s="363"/>
      <c r="Y145" s="363"/>
      <c r="Z145" s="363"/>
    </row>
    <row r="146" spans="1:26" ht="9.75" customHeight="1">
      <c r="A146" s="90"/>
      <c r="B146" s="90"/>
      <c r="C146" s="90"/>
      <c r="D146" s="90"/>
      <c r="E146" s="90"/>
      <c r="F146" s="90"/>
      <c r="G146" s="90"/>
      <c r="H146" s="363"/>
      <c r="I146" s="363"/>
      <c r="J146" s="363"/>
      <c r="K146" s="363"/>
      <c r="L146" s="363"/>
      <c r="M146" s="363"/>
      <c r="N146" s="363"/>
      <c r="O146" s="363"/>
      <c r="P146" s="363"/>
      <c r="Q146" s="363"/>
      <c r="R146" s="363"/>
      <c r="S146" s="363"/>
      <c r="T146" s="363"/>
      <c r="U146" s="363"/>
      <c r="V146" s="363"/>
      <c r="W146" s="363"/>
      <c r="X146" s="363"/>
      <c r="Y146" s="363"/>
      <c r="Z146" s="363"/>
    </row>
    <row r="147" spans="1:26" ht="9.75" customHeight="1">
      <c r="A147" s="90"/>
      <c r="B147" s="90"/>
      <c r="C147" s="90"/>
      <c r="D147" s="90"/>
      <c r="E147" s="90"/>
      <c r="F147" s="90"/>
      <c r="G147" s="90"/>
      <c r="H147" s="363"/>
      <c r="I147" s="363"/>
      <c r="J147" s="363"/>
      <c r="K147" s="363"/>
      <c r="L147" s="363"/>
      <c r="M147" s="363"/>
      <c r="N147" s="363"/>
      <c r="O147" s="363"/>
      <c r="P147" s="363"/>
      <c r="Q147" s="363"/>
      <c r="R147" s="363"/>
      <c r="S147" s="363"/>
      <c r="T147" s="363"/>
      <c r="U147" s="363"/>
      <c r="V147" s="363"/>
      <c r="W147" s="363"/>
      <c r="X147" s="363"/>
      <c r="Y147" s="363"/>
      <c r="Z147" s="363"/>
    </row>
    <row r="148" spans="1:26" ht="9.75" customHeight="1">
      <c r="A148" s="90"/>
      <c r="B148" s="90"/>
      <c r="C148" s="90"/>
      <c r="D148" s="90"/>
      <c r="E148" s="90"/>
      <c r="F148" s="90"/>
      <c r="G148" s="90"/>
      <c r="H148" s="363"/>
      <c r="I148" s="363"/>
      <c r="J148" s="363"/>
      <c r="K148" s="363"/>
      <c r="L148" s="363"/>
      <c r="M148" s="363"/>
      <c r="N148" s="363"/>
      <c r="O148" s="363"/>
      <c r="P148" s="363"/>
      <c r="Q148" s="363"/>
      <c r="R148" s="363"/>
      <c r="S148" s="363"/>
      <c r="T148" s="363"/>
      <c r="U148" s="363"/>
      <c r="V148" s="363"/>
      <c r="W148" s="363"/>
      <c r="X148" s="363"/>
      <c r="Y148" s="363"/>
      <c r="Z148" s="363"/>
    </row>
    <row r="149" spans="1:26" ht="9.75" customHeight="1">
      <c r="A149" s="90"/>
      <c r="B149" s="90"/>
      <c r="C149" s="90"/>
      <c r="D149" s="90"/>
      <c r="E149" s="90"/>
      <c r="F149" s="90"/>
      <c r="G149" s="90"/>
      <c r="H149" s="363"/>
      <c r="I149" s="363"/>
      <c r="J149" s="363"/>
      <c r="K149" s="363"/>
      <c r="L149" s="363"/>
      <c r="M149" s="363"/>
      <c r="N149" s="363"/>
      <c r="O149" s="363"/>
      <c r="P149" s="363"/>
      <c r="Q149" s="363"/>
      <c r="R149" s="363"/>
      <c r="S149" s="363"/>
      <c r="T149" s="363"/>
      <c r="U149" s="363"/>
      <c r="V149" s="363"/>
      <c r="W149" s="363"/>
      <c r="X149" s="363"/>
      <c r="Y149" s="363"/>
      <c r="Z149" s="363"/>
    </row>
    <row r="150" spans="1:26" ht="9.75" customHeight="1">
      <c r="A150" s="90"/>
      <c r="B150" s="90"/>
      <c r="C150" s="90"/>
      <c r="D150" s="90"/>
      <c r="E150" s="90"/>
      <c r="F150" s="90"/>
      <c r="G150" s="90"/>
      <c r="H150" s="363"/>
      <c r="I150" s="363"/>
      <c r="J150" s="363"/>
      <c r="K150" s="363"/>
      <c r="L150" s="363"/>
      <c r="M150" s="363"/>
      <c r="N150" s="363"/>
      <c r="O150" s="363"/>
      <c r="P150" s="363"/>
      <c r="Q150" s="363"/>
      <c r="R150" s="363"/>
      <c r="S150" s="363"/>
      <c r="T150" s="363"/>
      <c r="U150" s="363"/>
      <c r="V150" s="363"/>
      <c r="W150" s="363"/>
      <c r="X150" s="363"/>
      <c r="Y150" s="363"/>
      <c r="Z150" s="363"/>
    </row>
    <row r="151" spans="1:26" ht="9.75" customHeight="1">
      <c r="A151" s="90"/>
      <c r="B151" s="90"/>
      <c r="C151" s="90"/>
      <c r="D151" s="90"/>
      <c r="E151" s="90"/>
      <c r="F151" s="90"/>
      <c r="G151" s="90"/>
      <c r="H151" s="363"/>
      <c r="I151" s="363"/>
      <c r="J151" s="363"/>
      <c r="K151" s="363"/>
      <c r="L151" s="363"/>
      <c r="M151" s="363"/>
      <c r="N151" s="363"/>
      <c r="O151" s="363"/>
      <c r="P151" s="363"/>
      <c r="Q151" s="363"/>
      <c r="R151" s="363"/>
      <c r="S151" s="363"/>
      <c r="T151" s="363"/>
      <c r="U151" s="363"/>
      <c r="V151" s="363"/>
      <c r="W151" s="363"/>
      <c r="X151" s="363"/>
      <c r="Y151" s="363"/>
      <c r="Z151" s="363"/>
    </row>
    <row r="152" spans="1:26" ht="9.75" customHeight="1">
      <c r="A152" s="90"/>
      <c r="B152" s="90"/>
      <c r="C152" s="90"/>
      <c r="D152" s="90"/>
      <c r="E152" s="90"/>
      <c r="F152" s="90"/>
      <c r="G152" s="90"/>
      <c r="H152" s="363"/>
      <c r="I152" s="363"/>
      <c r="J152" s="363"/>
      <c r="K152" s="363"/>
      <c r="L152" s="363"/>
      <c r="M152" s="363"/>
      <c r="N152" s="363"/>
      <c r="O152" s="363"/>
      <c r="P152" s="363"/>
      <c r="Q152" s="363"/>
      <c r="R152" s="363"/>
      <c r="S152" s="363"/>
      <c r="T152" s="363"/>
      <c r="U152" s="363"/>
      <c r="V152" s="363"/>
      <c r="W152" s="363"/>
      <c r="X152" s="363"/>
      <c r="Y152" s="363"/>
      <c r="Z152" s="363"/>
    </row>
    <row r="153" spans="1:26" ht="9.75" customHeight="1">
      <c r="A153" s="90"/>
      <c r="B153" s="90"/>
      <c r="C153" s="90"/>
      <c r="D153" s="90"/>
      <c r="E153" s="90"/>
      <c r="F153" s="90"/>
      <c r="G153" s="90"/>
      <c r="H153" s="363"/>
      <c r="I153" s="363"/>
      <c r="J153" s="363"/>
      <c r="K153" s="363"/>
      <c r="L153" s="363"/>
      <c r="M153" s="363"/>
      <c r="N153" s="363"/>
      <c r="O153" s="363"/>
      <c r="P153" s="363"/>
      <c r="Q153" s="363"/>
      <c r="R153" s="363"/>
      <c r="S153" s="363"/>
      <c r="T153" s="363"/>
      <c r="U153" s="363"/>
      <c r="V153" s="363"/>
      <c r="W153" s="363"/>
      <c r="X153" s="363"/>
      <c r="Y153" s="363"/>
      <c r="Z153" s="363"/>
    </row>
    <row r="154" spans="1:26" ht="9.75" customHeight="1">
      <c r="A154" s="90"/>
      <c r="B154" s="90"/>
      <c r="C154" s="90"/>
      <c r="D154" s="90"/>
      <c r="E154" s="90"/>
      <c r="F154" s="90"/>
      <c r="G154" s="90"/>
      <c r="H154" s="363"/>
      <c r="I154" s="363"/>
      <c r="J154" s="363"/>
      <c r="K154" s="363"/>
      <c r="L154" s="363"/>
      <c r="M154" s="363"/>
      <c r="N154" s="363"/>
      <c r="O154" s="363"/>
      <c r="P154" s="363"/>
      <c r="Q154" s="363"/>
      <c r="R154" s="363"/>
      <c r="S154" s="363"/>
      <c r="T154" s="363"/>
      <c r="U154" s="363"/>
      <c r="V154" s="363"/>
      <c r="W154" s="363"/>
      <c r="X154" s="363"/>
      <c r="Y154" s="363"/>
      <c r="Z154" s="363"/>
    </row>
    <row r="155" spans="1:26" ht="9.75" customHeight="1">
      <c r="A155" s="90"/>
      <c r="B155" s="90"/>
      <c r="C155" s="90"/>
      <c r="D155" s="90"/>
      <c r="E155" s="90"/>
      <c r="F155" s="90"/>
      <c r="G155" s="90"/>
      <c r="H155" s="363"/>
      <c r="I155" s="363"/>
      <c r="J155" s="363"/>
      <c r="K155" s="363"/>
      <c r="L155" s="363"/>
      <c r="M155" s="363"/>
      <c r="N155" s="363"/>
      <c r="O155" s="363"/>
      <c r="P155" s="363"/>
      <c r="Q155" s="363"/>
      <c r="R155" s="363"/>
      <c r="S155" s="363"/>
      <c r="T155" s="363"/>
      <c r="U155" s="363"/>
      <c r="V155" s="363"/>
      <c r="W155" s="363"/>
      <c r="X155" s="363"/>
      <c r="Y155" s="363"/>
      <c r="Z155" s="363"/>
    </row>
    <row r="156" spans="1:26" ht="9.75" customHeight="1">
      <c r="A156" s="90"/>
      <c r="B156" s="90"/>
      <c r="C156" s="90"/>
      <c r="D156" s="90"/>
      <c r="E156" s="90"/>
      <c r="F156" s="90"/>
      <c r="G156" s="90"/>
      <c r="H156" s="363"/>
      <c r="I156" s="363"/>
      <c r="J156" s="363"/>
      <c r="K156" s="363"/>
      <c r="L156" s="363"/>
      <c r="M156" s="363"/>
      <c r="N156" s="363"/>
      <c r="O156" s="363"/>
      <c r="P156" s="363"/>
      <c r="Q156" s="363"/>
      <c r="R156" s="363"/>
      <c r="S156" s="363"/>
      <c r="T156" s="363"/>
      <c r="U156" s="363"/>
      <c r="V156" s="363"/>
      <c r="W156" s="363"/>
      <c r="X156" s="363"/>
      <c r="Y156" s="363"/>
      <c r="Z156" s="363"/>
    </row>
    <row r="157" spans="1:26" ht="9.75" customHeight="1">
      <c r="A157" s="90"/>
      <c r="B157" s="90"/>
      <c r="C157" s="90"/>
      <c r="D157" s="90"/>
      <c r="E157" s="90"/>
      <c r="F157" s="90"/>
      <c r="G157" s="90"/>
      <c r="H157" s="363"/>
      <c r="I157" s="363"/>
      <c r="J157" s="363"/>
      <c r="K157" s="363"/>
      <c r="L157" s="363"/>
      <c r="M157" s="363"/>
      <c r="N157" s="363"/>
      <c r="O157" s="363"/>
      <c r="P157" s="363"/>
      <c r="Q157" s="363"/>
      <c r="R157" s="363"/>
      <c r="S157" s="363"/>
      <c r="T157" s="363"/>
      <c r="U157" s="363"/>
      <c r="V157" s="363"/>
      <c r="W157" s="363"/>
      <c r="X157" s="363"/>
      <c r="Y157" s="363"/>
      <c r="Z157" s="363"/>
    </row>
    <row r="158" spans="1:26" ht="9.75" customHeight="1">
      <c r="A158" s="90"/>
      <c r="B158" s="90"/>
      <c r="C158" s="90"/>
      <c r="D158" s="90"/>
      <c r="E158" s="90"/>
      <c r="F158" s="90"/>
      <c r="G158" s="90"/>
      <c r="H158" s="363"/>
      <c r="I158" s="363"/>
      <c r="J158" s="363"/>
      <c r="K158" s="363"/>
      <c r="L158" s="363"/>
      <c r="M158" s="363"/>
      <c r="N158" s="363"/>
      <c r="O158" s="363"/>
      <c r="P158" s="363"/>
      <c r="Q158" s="363"/>
      <c r="R158" s="363"/>
      <c r="S158" s="363"/>
      <c r="T158" s="363"/>
      <c r="U158" s="363"/>
      <c r="V158" s="363"/>
      <c r="W158" s="363"/>
      <c r="X158" s="363"/>
      <c r="Y158" s="363"/>
      <c r="Z158" s="363"/>
    </row>
    <row r="159" spans="1:26" ht="9.75" customHeight="1">
      <c r="A159" s="90"/>
      <c r="B159" s="90"/>
      <c r="C159" s="90"/>
      <c r="D159" s="90"/>
      <c r="E159" s="90"/>
      <c r="F159" s="90"/>
      <c r="G159" s="90"/>
      <c r="H159" s="363"/>
      <c r="I159" s="363"/>
      <c r="J159" s="363"/>
      <c r="K159" s="363"/>
      <c r="L159" s="363"/>
      <c r="M159" s="363"/>
      <c r="N159" s="363"/>
      <c r="O159" s="363"/>
      <c r="P159" s="363"/>
      <c r="Q159" s="363"/>
      <c r="R159" s="363"/>
      <c r="S159" s="363"/>
      <c r="T159" s="363"/>
      <c r="U159" s="363"/>
      <c r="V159" s="363"/>
      <c r="W159" s="363"/>
      <c r="X159" s="363"/>
      <c r="Y159" s="363"/>
      <c r="Z159" s="363"/>
    </row>
    <row r="160" spans="1:26" ht="9.75" customHeight="1">
      <c r="A160" s="90"/>
      <c r="B160" s="90"/>
      <c r="C160" s="90"/>
      <c r="D160" s="90"/>
      <c r="E160" s="90"/>
      <c r="F160" s="90"/>
      <c r="G160" s="90"/>
      <c r="H160" s="363"/>
      <c r="I160" s="363"/>
      <c r="J160" s="363"/>
      <c r="K160" s="363"/>
      <c r="L160" s="363"/>
      <c r="M160" s="363"/>
      <c r="N160" s="363"/>
      <c r="O160" s="363"/>
      <c r="P160" s="363"/>
      <c r="Q160" s="363"/>
      <c r="R160" s="363"/>
      <c r="S160" s="363"/>
      <c r="T160" s="363"/>
      <c r="U160" s="363"/>
      <c r="V160" s="363"/>
      <c r="W160" s="363"/>
      <c r="X160" s="363"/>
      <c r="Y160" s="363"/>
      <c r="Z160" s="363"/>
    </row>
    <row r="161" spans="1:26" ht="9.75" customHeight="1">
      <c r="A161" s="90"/>
      <c r="B161" s="90"/>
      <c r="C161" s="90"/>
      <c r="D161" s="90"/>
      <c r="E161" s="90"/>
      <c r="F161" s="90"/>
      <c r="G161" s="90"/>
      <c r="H161" s="363"/>
      <c r="I161" s="363"/>
      <c r="J161" s="363"/>
      <c r="K161" s="363"/>
      <c r="L161" s="363"/>
      <c r="M161" s="363"/>
      <c r="N161" s="363"/>
      <c r="O161" s="363"/>
      <c r="P161" s="363"/>
      <c r="Q161" s="363"/>
      <c r="R161" s="363"/>
      <c r="S161" s="363"/>
      <c r="T161" s="363"/>
      <c r="U161" s="363"/>
      <c r="V161" s="363"/>
      <c r="W161" s="363"/>
      <c r="X161" s="363"/>
      <c r="Y161" s="363"/>
      <c r="Z161" s="363"/>
    </row>
    <row r="162" spans="1:26" ht="9.75" customHeight="1">
      <c r="A162" s="90"/>
      <c r="B162" s="90"/>
      <c r="C162" s="90"/>
      <c r="D162" s="90"/>
      <c r="E162" s="90"/>
      <c r="F162" s="90"/>
      <c r="G162" s="90"/>
      <c r="H162" s="363"/>
      <c r="I162" s="363"/>
      <c r="J162" s="363"/>
      <c r="K162" s="363"/>
      <c r="L162" s="363"/>
      <c r="M162" s="363"/>
      <c r="N162" s="363"/>
      <c r="O162" s="363"/>
      <c r="P162" s="363"/>
      <c r="Q162" s="363"/>
      <c r="R162" s="363"/>
      <c r="S162" s="363"/>
      <c r="T162" s="363"/>
      <c r="U162" s="363"/>
      <c r="V162" s="363"/>
      <c r="W162" s="363"/>
      <c r="X162" s="363"/>
      <c r="Y162" s="363"/>
      <c r="Z162" s="363"/>
    </row>
    <row r="163" spans="1:26" ht="9.75" customHeight="1">
      <c r="A163" s="90"/>
      <c r="B163" s="90"/>
      <c r="C163" s="90"/>
      <c r="D163" s="90"/>
      <c r="E163" s="90"/>
      <c r="F163" s="90"/>
      <c r="G163" s="90"/>
      <c r="H163" s="363"/>
      <c r="I163" s="363"/>
      <c r="J163" s="363"/>
      <c r="K163" s="363"/>
      <c r="L163" s="363"/>
      <c r="M163" s="363"/>
      <c r="N163" s="363"/>
      <c r="O163" s="363"/>
      <c r="P163" s="363"/>
      <c r="Q163" s="363"/>
      <c r="R163" s="363"/>
      <c r="S163" s="363"/>
      <c r="T163" s="363"/>
      <c r="U163" s="363"/>
      <c r="V163" s="363"/>
      <c r="W163" s="363"/>
      <c r="X163" s="363"/>
      <c r="Y163" s="363"/>
      <c r="Z163" s="363"/>
    </row>
    <row r="164" spans="1:26" ht="9.75" customHeight="1">
      <c r="A164" s="90"/>
      <c r="B164" s="90"/>
      <c r="C164" s="90"/>
      <c r="D164" s="90"/>
      <c r="E164" s="90"/>
      <c r="F164" s="90"/>
      <c r="G164" s="90"/>
      <c r="H164" s="363"/>
      <c r="I164" s="363"/>
      <c r="J164" s="363"/>
      <c r="K164" s="363"/>
      <c r="L164" s="363"/>
      <c r="M164" s="363"/>
      <c r="N164" s="363"/>
      <c r="O164" s="363"/>
      <c r="P164" s="363"/>
      <c r="Q164" s="363"/>
      <c r="R164" s="363"/>
      <c r="S164" s="363"/>
      <c r="T164" s="363"/>
      <c r="U164" s="363"/>
      <c r="V164" s="363"/>
      <c r="W164" s="363"/>
      <c r="X164" s="363"/>
      <c r="Y164" s="363"/>
      <c r="Z164" s="363"/>
    </row>
    <row r="165" spans="1:26" ht="9.75" customHeight="1">
      <c r="A165" s="90"/>
      <c r="B165" s="90"/>
      <c r="C165" s="90"/>
      <c r="D165" s="90"/>
      <c r="E165" s="90"/>
      <c r="F165" s="90"/>
      <c r="G165" s="90"/>
      <c r="H165" s="363"/>
      <c r="I165" s="363"/>
      <c r="J165" s="363"/>
      <c r="K165" s="363"/>
      <c r="L165" s="363"/>
      <c r="M165" s="363"/>
      <c r="N165" s="363"/>
      <c r="O165" s="363"/>
      <c r="P165" s="363"/>
      <c r="Q165" s="363"/>
      <c r="R165" s="363"/>
      <c r="S165" s="363"/>
      <c r="T165" s="363"/>
      <c r="U165" s="363"/>
      <c r="V165" s="363"/>
      <c r="W165" s="363"/>
      <c r="X165" s="363"/>
      <c r="Y165" s="363"/>
      <c r="Z165" s="363"/>
    </row>
    <row r="166" spans="1:26" ht="9.75" customHeight="1">
      <c r="A166" s="90"/>
      <c r="B166" s="90"/>
      <c r="C166" s="90"/>
      <c r="D166" s="90"/>
      <c r="E166" s="90"/>
      <c r="F166" s="90"/>
      <c r="G166" s="90"/>
      <c r="H166" s="363"/>
      <c r="I166" s="363"/>
      <c r="J166" s="363"/>
      <c r="K166" s="363"/>
      <c r="L166" s="363"/>
      <c r="M166" s="363"/>
      <c r="N166" s="363"/>
      <c r="O166" s="363"/>
      <c r="P166" s="363"/>
      <c r="Q166" s="363"/>
      <c r="R166" s="363"/>
      <c r="S166" s="363"/>
      <c r="T166" s="363"/>
      <c r="U166" s="363"/>
      <c r="V166" s="363"/>
      <c r="W166" s="363"/>
      <c r="X166" s="363"/>
      <c r="Y166" s="363"/>
      <c r="Z166" s="363"/>
    </row>
    <row r="167" spans="1:26" ht="9.75" customHeight="1">
      <c r="A167" s="90"/>
      <c r="B167" s="90"/>
      <c r="C167" s="90"/>
      <c r="D167" s="90"/>
      <c r="E167" s="90"/>
      <c r="F167" s="90"/>
      <c r="G167" s="90"/>
      <c r="H167" s="363"/>
      <c r="I167" s="363"/>
      <c r="J167" s="363"/>
      <c r="K167" s="363"/>
      <c r="L167" s="363"/>
      <c r="M167" s="363"/>
      <c r="N167" s="363"/>
      <c r="O167" s="363"/>
      <c r="P167" s="363"/>
      <c r="Q167" s="363"/>
      <c r="R167" s="363"/>
      <c r="S167" s="363"/>
      <c r="T167" s="363"/>
      <c r="U167" s="363"/>
      <c r="V167" s="363"/>
      <c r="W167" s="363"/>
      <c r="X167" s="363"/>
      <c r="Y167" s="363"/>
      <c r="Z167" s="363"/>
    </row>
    <row r="168" spans="1:26" ht="9.75" customHeight="1">
      <c r="A168" s="90"/>
      <c r="B168" s="90"/>
      <c r="C168" s="90"/>
      <c r="D168" s="90"/>
      <c r="E168" s="90"/>
      <c r="F168" s="90"/>
      <c r="G168" s="90"/>
      <c r="H168" s="363"/>
      <c r="I168" s="363"/>
      <c r="J168" s="363"/>
      <c r="K168" s="363"/>
      <c r="L168" s="363"/>
      <c r="M168" s="363"/>
      <c r="N168" s="363"/>
      <c r="O168" s="363"/>
      <c r="P168" s="363"/>
      <c r="Q168" s="363"/>
      <c r="R168" s="363"/>
      <c r="S168" s="363"/>
      <c r="T168" s="363"/>
      <c r="U168" s="363"/>
      <c r="V168" s="363"/>
      <c r="W168" s="363"/>
      <c r="X168" s="363"/>
      <c r="Y168" s="363"/>
      <c r="Z168" s="363"/>
    </row>
    <row r="169" spans="1:26" ht="9.75" customHeight="1">
      <c r="A169" s="90"/>
      <c r="B169" s="90"/>
      <c r="C169" s="90"/>
      <c r="D169" s="90"/>
      <c r="E169" s="90"/>
      <c r="F169" s="90"/>
      <c r="G169" s="90"/>
      <c r="H169" s="363"/>
      <c r="I169" s="363"/>
      <c r="J169" s="363"/>
      <c r="K169" s="363"/>
      <c r="L169" s="363"/>
      <c r="M169" s="363"/>
      <c r="N169" s="363"/>
      <c r="O169" s="363"/>
      <c r="P169" s="363"/>
      <c r="Q169" s="363"/>
      <c r="R169" s="363"/>
      <c r="S169" s="363"/>
      <c r="T169" s="363"/>
      <c r="U169" s="363"/>
      <c r="V169" s="363"/>
      <c r="W169" s="363"/>
      <c r="X169" s="363"/>
      <c r="Y169" s="363"/>
      <c r="Z169" s="363"/>
    </row>
    <row r="170" spans="1:26" ht="9.75" customHeight="1">
      <c r="A170" s="90"/>
      <c r="B170" s="90"/>
      <c r="C170" s="90"/>
      <c r="D170" s="90"/>
      <c r="E170" s="90"/>
      <c r="F170" s="90"/>
      <c r="G170" s="90"/>
      <c r="H170" s="363"/>
      <c r="I170" s="363"/>
      <c r="J170" s="363"/>
      <c r="K170" s="363"/>
      <c r="L170" s="363"/>
      <c r="M170" s="363"/>
      <c r="N170" s="363"/>
      <c r="O170" s="363"/>
      <c r="P170" s="363"/>
      <c r="Q170" s="363"/>
      <c r="R170" s="363"/>
      <c r="S170" s="363"/>
      <c r="T170" s="363"/>
      <c r="U170" s="363"/>
      <c r="V170" s="363"/>
      <c r="W170" s="363"/>
      <c r="X170" s="363"/>
      <c r="Y170" s="363"/>
      <c r="Z170" s="363"/>
    </row>
    <row r="171" spans="1:26" ht="9.75" customHeight="1">
      <c r="A171" s="90"/>
      <c r="B171" s="90"/>
      <c r="C171" s="90"/>
      <c r="D171" s="90"/>
      <c r="E171" s="90"/>
      <c r="F171" s="90"/>
      <c r="G171" s="90"/>
      <c r="H171" s="363"/>
      <c r="I171" s="363"/>
      <c r="J171" s="363"/>
      <c r="K171" s="363"/>
      <c r="L171" s="363"/>
      <c r="M171" s="363"/>
      <c r="N171" s="363"/>
      <c r="O171" s="363"/>
      <c r="P171" s="363"/>
      <c r="Q171" s="363"/>
      <c r="R171" s="363"/>
      <c r="S171" s="363"/>
      <c r="T171" s="363"/>
      <c r="U171" s="363"/>
      <c r="V171" s="363"/>
      <c r="W171" s="363"/>
      <c r="X171" s="363"/>
      <c r="Y171" s="363"/>
      <c r="Z171" s="363"/>
    </row>
    <row r="172" spans="1:26" ht="9.75" customHeight="1">
      <c r="A172" s="90"/>
      <c r="B172" s="90"/>
      <c r="C172" s="90"/>
      <c r="D172" s="90"/>
      <c r="E172" s="90"/>
      <c r="F172" s="90"/>
      <c r="G172" s="90"/>
      <c r="H172" s="363"/>
      <c r="I172" s="363"/>
      <c r="J172" s="363"/>
      <c r="K172" s="363"/>
      <c r="L172" s="363"/>
      <c r="M172" s="363"/>
      <c r="N172" s="363"/>
      <c r="O172" s="363"/>
      <c r="P172" s="363"/>
      <c r="Q172" s="363"/>
      <c r="R172" s="363"/>
      <c r="S172" s="363"/>
      <c r="T172" s="363"/>
      <c r="U172" s="363"/>
      <c r="V172" s="363"/>
      <c r="W172" s="363"/>
      <c r="X172" s="363"/>
      <c r="Y172" s="363"/>
      <c r="Z172" s="363"/>
    </row>
    <row r="173" spans="1:26" ht="9.75" customHeight="1">
      <c r="A173" s="90"/>
      <c r="B173" s="90"/>
      <c r="C173" s="90"/>
      <c r="D173" s="90"/>
      <c r="E173" s="90"/>
      <c r="F173" s="90"/>
      <c r="G173" s="90"/>
      <c r="H173" s="363"/>
      <c r="I173" s="363"/>
      <c r="J173" s="363"/>
      <c r="K173" s="363"/>
      <c r="L173" s="363"/>
      <c r="M173" s="363"/>
      <c r="N173" s="363"/>
      <c r="O173" s="363"/>
      <c r="P173" s="363"/>
      <c r="Q173" s="363"/>
      <c r="R173" s="363"/>
      <c r="S173" s="363"/>
      <c r="T173" s="363"/>
      <c r="U173" s="363"/>
      <c r="V173" s="363"/>
      <c r="W173" s="363"/>
      <c r="X173" s="363"/>
      <c r="Y173" s="363"/>
      <c r="Z173" s="363"/>
    </row>
    <row r="174" spans="1:26" ht="9.75" customHeight="1">
      <c r="A174" s="90"/>
      <c r="B174" s="90"/>
      <c r="C174" s="90"/>
      <c r="D174" s="90"/>
      <c r="E174" s="90"/>
      <c r="F174" s="90"/>
      <c r="G174" s="90"/>
      <c r="H174" s="363"/>
      <c r="I174" s="363"/>
      <c r="J174" s="363"/>
      <c r="K174" s="363"/>
      <c r="L174" s="363"/>
      <c r="M174" s="363"/>
      <c r="N174" s="363"/>
      <c r="O174" s="363"/>
      <c r="P174" s="363"/>
      <c r="Q174" s="363"/>
      <c r="R174" s="363"/>
      <c r="S174" s="363"/>
      <c r="T174" s="363"/>
      <c r="U174" s="363"/>
      <c r="V174" s="363"/>
      <c r="W174" s="363"/>
      <c r="X174" s="363"/>
      <c r="Y174" s="363"/>
      <c r="Z174" s="363"/>
    </row>
    <row r="175" spans="1:26" ht="9.75" customHeight="1">
      <c r="A175" s="90"/>
      <c r="B175" s="90"/>
      <c r="C175" s="90"/>
      <c r="D175" s="90"/>
      <c r="E175" s="90"/>
      <c r="F175" s="90"/>
      <c r="G175" s="90"/>
      <c r="H175" s="363"/>
      <c r="I175" s="363"/>
      <c r="J175" s="363"/>
      <c r="K175" s="363"/>
      <c r="L175" s="363"/>
      <c r="M175" s="363"/>
      <c r="N175" s="363"/>
      <c r="O175" s="363"/>
      <c r="P175" s="363"/>
      <c r="Q175" s="363"/>
      <c r="R175" s="363"/>
      <c r="S175" s="363"/>
      <c r="T175" s="363"/>
      <c r="U175" s="363"/>
      <c r="V175" s="363"/>
      <c r="W175" s="363"/>
      <c r="X175" s="363"/>
      <c r="Y175" s="363"/>
      <c r="Z175" s="363"/>
    </row>
    <row r="176" spans="1:26" ht="9.75" customHeight="1">
      <c r="A176" s="90"/>
      <c r="B176" s="90"/>
      <c r="C176" s="90"/>
      <c r="D176" s="90"/>
      <c r="E176" s="90"/>
      <c r="F176" s="90"/>
      <c r="G176" s="90"/>
      <c r="H176" s="363"/>
      <c r="I176" s="363"/>
      <c r="J176" s="363"/>
      <c r="K176" s="363"/>
      <c r="L176" s="363"/>
      <c r="M176" s="363"/>
      <c r="N176" s="363"/>
      <c r="O176" s="363"/>
      <c r="P176" s="363"/>
      <c r="Q176" s="363"/>
      <c r="R176" s="363"/>
      <c r="S176" s="363"/>
      <c r="T176" s="363"/>
      <c r="U176" s="363"/>
      <c r="V176" s="363"/>
      <c r="W176" s="363"/>
      <c r="X176" s="363"/>
      <c r="Y176" s="363"/>
      <c r="Z176" s="363"/>
    </row>
    <row r="177" spans="1:26" ht="9.75" customHeight="1">
      <c r="A177" s="90"/>
      <c r="B177" s="90"/>
      <c r="C177" s="90"/>
      <c r="D177" s="90"/>
      <c r="E177" s="90"/>
      <c r="F177" s="90"/>
      <c r="G177" s="90"/>
      <c r="H177" s="363"/>
      <c r="I177" s="363"/>
      <c r="J177" s="363"/>
      <c r="K177" s="363"/>
      <c r="L177" s="363"/>
      <c r="M177" s="363"/>
      <c r="N177" s="363"/>
      <c r="O177" s="363"/>
      <c r="P177" s="363"/>
      <c r="Q177" s="363"/>
      <c r="R177" s="363"/>
      <c r="S177" s="363"/>
      <c r="T177" s="363"/>
      <c r="U177" s="363"/>
      <c r="V177" s="363"/>
      <c r="W177" s="363"/>
      <c r="X177" s="363"/>
      <c r="Y177" s="363"/>
      <c r="Z177" s="363"/>
    </row>
    <row r="178" spans="1:26" ht="9.75" customHeight="1">
      <c r="A178" s="90"/>
      <c r="B178" s="90"/>
      <c r="C178" s="90"/>
      <c r="D178" s="90"/>
      <c r="E178" s="90"/>
      <c r="F178" s="90"/>
      <c r="G178" s="90"/>
      <c r="H178" s="363"/>
      <c r="I178" s="363"/>
      <c r="J178" s="363"/>
      <c r="K178" s="363"/>
      <c r="L178" s="363"/>
      <c r="M178" s="363"/>
      <c r="N178" s="363"/>
      <c r="O178" s="363"/>
      <c r="P178" s="363"/>
      <c r="Q178" s="363"/>
      <c r="R178" s="363"/>
      <c r="S178" s="363"/>
      <c r="T178" s="363"/>
      <c r="U178" s="363"/>
      <c r="V178" s="363"/>
      <c r="W178" s="363"/>
      <c r="X178" s="363"/>
      <c r="Y178" s="363"/>
      <c r="Z178" s="363"/>
    </row>
    <row r="179" spans="1:26" ht="9.75" customHeight="1">
      <c r="A179" s="90"/>
      <c r="B179" s="90"/>
      <c r="C179" s="90"/>
      <c r="D179" s="90"/>
      <c r="E179" s="90"/>
      <c r="F179" s="90"/>
      <c r="G179" s="90"/>
      <c r="H179" s="363"/>
      <c r="I179" s="363"/>
      <c r="J179" s="363"/>
      <c r="K179" s="363"/>
      <c r="L179" s="363"/>
      <c r="M179" s="363"/>
      <c r="N179" s="363"/>
      <c r="O179" s="363"/>
      <c r="P179" s="363"/>
      <c r="Q179" s="363"/>
      <c r="R179" s="363"/>
      <c r="S179" s="363"/>
      <c r="T179" s="363"/>
      <c r="U179" s="363"/>
      <c r="V179" s="363"/>
      <c r="W179" s="363"/>
      <c r="X179" s="363"/>
      <c r="Y179" s="363"/>
      <c r="Z179" s="363"/>
    </row>
    <row r="180" spans="1:26" ht="9.75" customHeight="1">
      <c r="A180" s="90"/>
      <c r="B180" s="90"/>
      <c r="C180" s="90"/>
      <c r="D180" s="90"/>
      <c r="E180" s="90"/>
      <c r="F180" s="90"/>
      <c r="G180" s="90"/>
      <c r="H180" s="363"/>
      <c r="I180" s="363"/>
      <c r="J180" s="363"/>
      <c r="K180" s="363"/>
      <c r="L180" s="363"/>
      <c r="M180" s="363"/>
      <c r="N180" s="363"/>
      <c r="O180" s="363"/>
      <c r="P180" s="363"/>
      <c r="Q180" s="363"/>
      <c r="R180" s="363"/>
      <c r="S180" s="363"/>
      <c r="T180" s="363"/>
      <c r="U180" s="363"/>
      <c r="V180" s="363"/>
      <c r="W180" s="363"/>
      <c r="X180" s="363"/>
      <c r="Y180" s="363"/>
      <c r="Z180" s="363"/>
    </row>
    <row r="181" spans="1:26" ht="9.75" customHeight="1">
      <c r="A181" s="90"/>
      <c r="B181" s="90"/>
      <c r="C181" s="90"/>
      <c r="D181" s="90"/>
      <c r="E181" s="90"/>
      <c r="F181" s="90"/>
      <c r="G181" s="90"/>
      <c r="H181" s="363"/>
      <c r="I181" s="363"/>
      <c r="J181" s="363"/>
      <c r="K181" s="363"/>
      <c r="L181" s="363"/>
      <c r="M181" s="363"/>
      <c r="N181" s="363"/>
      <c r="O181" s="363"/>
      <c r="P181" s="363"/>
      <c r="Q181" s="363"/>
      <c r="R181" s="363"/>
      <c r="S181" s="363"/>
      <c r="T181" s="363"/>
      <c r="U181" s="363"/>
      <c r="V181" s="363"/>
      <c r="W181" s="363"/>
      <c r="X181" s="363"/>
      <c r="Y181" s="363"/>
      <c r="Z181" s="363"/>
    </row>
    <row r="182" spans="1:26" ht="9.75" customHeight="1">
      <c r="A182" s="90"/>
      <c r="B182" s="90"/>
      <c r="C182" s="90"/>
      <c r="D182" s="90"/>
      <c r="E182" s="90"/>
      <c r="F182" s="90"/>
      <c r="G182" s="90"/>
      <c r="H182" s="363"/>
      <c r="I182" s="363"/>
      <c r="J182" s="363"/>
      <c r="K182" s="363"/>
      <c r="L182" s="363"/>
      <c r="M182" s="363"/>
      <c r="N182" s="363"/>
      <c r="O182" s="363"/>
      <c r="P182" s="363"/>
      <c r="Q182" s="363"/>
      <c r="R182" s="363"/>
      <c r="S182" s="363"/>
      <c r="T182" s="363"/>
      <c r="U182" s="363"/>
      <c r="V182" s="363"/>
      <c r="W182" s="363"/>
      <c r="X182" s="363"/>
      <c r="Y182" s="363"/>
      <c r="Z182" s="363"/>
    </row>
    <row r="183" spans="1:26" ht="9.75" customHeight="1">
      <c r="A183" s="90"/>
      <c r="B183" s="90"/>
      <c r="C183" s="90"/>
      <c r="D183" s="90"/>
      <c r="E183" s="90"/>
      <c r="F183" s="90"/>
      <c r="G183" s="90"/>
      <c r="H183" s="363"/>
      <c r="I183" s="363"/>
      <c r="J183" s="363"/>
      <c r="K183" s="363"/>
      <c r="L183" s="363"/>
      <c r="M183" s="363"/>
      <c r="N183" s="363"/>
      <c r="O183" s="363"/>
      <c r="P183" s="363"/>
      <c r="Q183" s="363"/>
      <c r="R183" s="363"/>
      <c r="S183" s="363"/>
      <c r="T183" s="363"/>
      <c r="U183" s="363"/>
      <c r="V183" s="363"/>
      <c r="W183" s="363"/>
      <c r="X183" s="363"/>
      <c r="Y183" s="363"/>
      <c r="Z183" s="363"/>
    </row>
    <row r="184" spans="1:26" ht="9.75" customHeight="1">
      <c r="A184" s="90"/>
      <c r="B184" s="90"/>
      <c r="C184" s="90"/>
      <c r="D184" s="90"/>
      <c r="E184" s="90"/>
      <c r="F184" s="90"/>
      <c r="G184" s="90"/>
      <c r="H184" s="363"/>
      <c r="I184" s="363"/>
      <c r="J184" s="363"/>
      <c r="K184" s="363"/>
      <c r="L184" s="363"/>
      <c r="M184" s="363"/>
      <c r="N184" s="363"/>
      <c r="O184" s="363"/>
      <c r="P184" s="363"/>
      <c r="Q184" s="363"/>
      <c r="R184" s="363"/>
      <c r="S184" s="363"/>
      <c r="T184" s="363"/>
      <c r="U184" s="363"/>
      <c r="V184" s="363"/>
      <c r="W184" s="363"/>
      <c r="X184" s="363"/>
      <c r="Y184" s="363"/>
      <c r="Z184" s="363"/>
    </row>
    <row r="185" spans="1:26" ht="9.75" customHeight="1">
      <c r="A185" s="90"/>
      <c r="B185" s="90"/>
      <c r="C185" s="90"/>
      <c r="D185" s="90"/>
      <c r="E185" s="90"/>
      <c r="F185" s="90"/>
      <c r="G185" s="90"/>
      <c r="H185" s="363"/>
      <c r="I185" s="363"/>
      <c r="J185" s="363"/>
      <c r="K185" s="363"/>
      <c r="L185" s="363"/>
      <c r="M185" s="363"/>
      <c r="N185" s="363"/>
      <c r="O185" s="363"/>
      <c r="P185" s="363"/>
      <c r="Q185" s="363"/>
      <c r="R185" s="363"/>
      <c r="S185" s="363"/>
      <c r="T185" s="363"/>
      <c r="U185" s="363"/>
      <c r="V185" s="363"/>
      <c r="W185" s="363"/>
      <c r="X185" s="363"/>
      <c r="Y185" s="363"/>
      <c r="Z185" s="363"/>
    </row>
    <row r="186" spans="1:26" ht="9.75" customHeight="1">
      <c r="A186" s="90"/>
      <c r="B186" s="90"/>
      <c r="C186" s="90"/>
      <c r="D186" s="90"/>
      <c r="E186" s="90"/>
      <c r="F186" s="90"/>
      <c r="G186" s="90"/>
      <c r="H186" s="363"/>
      <c r="I186" s="363"/>
      <c r="J186" s="363"/>
      <c r="K186" s="363"/>
      <c r="L186" s="363"/>
      <c r="M186" s="363"/>
      <c r="N186" s="363"/>
      <c r="O186" s="363"/>
      <c r="P186" s="363"/>
      <c r="Q186" s="363"/>
      <c r="R186" s="363"/>
      <c r="S186" s="363"/>
      <c r="T186" s="363"/>
      <c r="U186" s="363"/>
      <c r="V186" s="363"/>
      <c r="W186" s="363"/>
      <c r="X186" s="363"/>
      <c r="Y186" s="363"/>
      <c r="Z186" s="363"/>
    </row>
    <row r="187" spans="1:26" ht="9.75" customHeight="1">
      <c r="A187" s="90"/>
      <c r="B187" s="90"/>
      <c r="C187" s="90"/>
      <c r="D187" s="90"/>
      <c r="E187" s="90"/>
      <c r="F187" s="90"/>
      <c r="G187" s="90"/>
      <c r="H187" s="363"/>
      <c r="I187" s="363"/>
      <c r="J187" s="363"/>
      <c r="K187" s="363"/>
      <c r="L187" s="363"/>
      <c r="M187" s="363"/>
      <c r="N187" s="363"/>
      <c r="O187" s="363"/>
      <c r="P187" s="363"/>
      <c r="Q187" s="363"/>
      <c r="R187" s="363"/>
      <c r="S187" s="363"/>
      <c r="T187" s="363"/>
      <c r="U187" s="363"/>
      <c r="V187" s="363"/>
      <c r="W187" s="363"/>
      <c r="X187" s="363"/>
      <c r="Y187" s="363"/>
      <c r="Z187" s="363"/>
    </row>
    <row r="188" spans="1:26" ht="9.75" customHeight="1">
      <c r="A188" s="90"/>
      <c r="B188" s="90"/>
      <c r="C188" s="90"/>
      <c r="D188" s="90"/>
      <c r="E188" s="90"/>
      <c r="F188" s="90"/>
      <c r="G188" s="90"/>
      <c r="H188" s="363"/>
      <c r="I188" s="363"/>
      <c r="J188" s="363"/>
      <c r="K188" s="363"/>
      <c r="L188" s="363"/>
      <c r="M188" s="363"/>
      <c r="N188" s="363"/>
      <c r="O188" s="363"/>
      <c r="P188" s="363"/>
      <c r="Q188" s="363"/>
      <c r="R188" s="363"/>
      <c r="S188" s="363"/>
      <c r="T188" s="363"/>
      <c r="U188" s="363"/>
      <c r="V188" s="363"/>
      <c r="W188" s="363"/>
      <c r="X188" s="363"/>
      <c r="Y188" s="363"/>
      <c r="Z188" s="363"/>
    </row>
    <row r="189" spans="1:26" ht="9.75" customHeight="1">
      <c r="A189" s="90"/>
      <c r="B189" s="90"/>
      <c r="C189" s="90"/>
      <c r="D189" s="90"/>
      <c r="E189" s="90"/>
      <c r="F189" s="90"/>
      <c r="G189" s="90"/>
      <c r="H189" s="363"/>
      <c r="I189" s="363"/>
      <c r="J189" s="363"/>
      <c r="K189" s="363"/>
      <c r="L189" s="363"/>
      <c r="M189" s="363"/>
      <c r="N189" s="363"/>
      <c r="O189" s="363"/>
      <c r="P189" s="363"/>
      <c r="Q189" s="363"/>
      <c r="R189" s="363"/>
      <c r="S189" s="363"/>
      <c r="T189" s="363"/>
      <c r="U189" s="363"/>
      <c r="V189" s="363"/>
      <c r="W189" s="363"/>
      <c r="X189" s="363"/>
      <c r="Y189" s="363"/>
      <c r="Z189" s="363"/>
    </row>
    <row r="190" spans="1:26" ht="9.75" customHeight="1">
      <c r="A190" s="90"/>
      <c r="B190" s="90"/>
      <c r="C190" s="90"/>
      <c r="D190" s="90"/>
      <c r="E190" s="90"/>
      <c r="F190" s="90"/>
      <c r="G190" s="90"/>
      <c r="H190" s="363"/>
      <c r="I190" s="363"/>
      <c r="J190" s="363"/>
      <c r="K190" s="363"/>
      <c r="L190" s="363"/>
      <c r="M190" s="363"/>
      <c r="N190" s="363"/>
      <c r="O190" s="363"/>
      <c r="P190" s="363"/>
      <c r="Q190" s="363"/>
      <c r="R190" s="363"/>
      <c r="S190" s="363"/>
      <c r="T190" s="363"/>
      <c r="U190" s="363"/>
      <c r="V190" s="363"/>
      <c r="W190" s="363"/>
      <c r="X190" s="363"/>
      <c r="Y190" s="363"/>
      <c r="Z190" s="363"/>
    </row>
    <row r="191" spans="1:26" ht="9.75" customHeight="1">
      <c r="A191" s="90"/>
      <c r="B191" s="90"/>
      <c r="C191" s="90"/>
      <c r="D191" s="90"/>
      <c r="E191" s="90"/>
      <c r="F191" s="90"/>
      <c r="G191" s="90"/>
      <c r="H191" s="363"/>
      <c r="I191" s="363"/>
      <c r="J191" s="363"/>
      <c r="K191" s="363"/>
      <c r="L191" s="363"/>
      <c r="M191" s="363"/>
      <c r="N191" s="363"/>
      <c r="O191" s="363"/>
      <c r="P191" s="363"/>
      <c r="Q191" s="363"/>
      <c r="R191" s="363"/>
      <c r="S191" s="363"/>
      <c r="T191" s="363"/>
      <c r="U191" s="363"/>
      <c r="V191" s="363"/>
      <c r="W191" s="363"/>
      <c r="X191" s="363"/>
      <c r="Y191" s="363"/>
      <c r="Z191" s="363"/>
    </row>
    <row r="192" spans="1:26" ht="9.75" customHeight="1">
      <c r="A192" s="90"/>
      <c r="B192" s="90"/>
      <c r="C192" s="90"/>
      <c r="D192" s="90"/>
      <c r="E192" s="90"/>
      <c r="F192" s="90"/>
      <c r="G192" s="90"/>
      <c r="H192" s="363"/>
      <c r="I192" s="363"/>
      <c r="J192" s="363"/>
      <c r="K192" s="363"/>
      <c r="L192" s="363"/>
      <c r="M192" s="363"/>
      <c r="N192" s="363"/>
      <c r="O192" s="363"/>
      <c r="P192" s="363"/>
      <c r="Q192" s="363"/>
      <c r="R192" s="363"/>
      <c r="S192" s="363"/>
      <c r="T192" s="363"/>
      <c r="U192" s="363"/>
      <c r="V192" s="363"/>
      <c r="W192" s="363"/>
      <c r="X192" s="363"/>
      <c r="Y192" s="363"/>
      <c r="Z192" s="363"/>
    </row>
    <row r="193" spans="1:26" ht="9.75" customHeight="1">
      <c r="A193" s="90"/>
      <c r="B193" s="90"/>
      <c r="C193" s="90"/>
      <c r="D193" s="90"/>
      <c r="E193" s="90"/>
      <c r="F193" s="90"/>
      <c r="G193" s="90"/>
      <c r="H193" s="363"/>
      <c r="I193" s="363"/>
      <c r="J193" s="363"/>
      <c r="K193" s="363"/>
      <c r="L193" s="363"/>
      <c r="M193" s="363"/>
      <c r="N193" s="363"/>
      <c r="O193" s="363"/>
      <c r="P193" s="363"/>
      <c r="Q193" s="363"/>
      <c r="R193" s="363"/>
      <c r="S193" s="363"/>
      <c r="T193" s="363"/>
      <c r="U193" s="363"/>
      <c r="V193" s="363"/>
      <c r="W193" s="363"/>
      <c r="X193" s="363"/>
      <c r="Y193" s="363"/>
      <c r="Z193" s="363"/>
    </row>
    <row r="194" spans="1:26" ht="9.75" customHeight="1">
      <c r="A194" s="90"/>
      <c r="B194" s="90"/>
      <c r="C194" s="90"/>
      <c r="D194" s="90"/>
      <c r="E194" s="90"/>
      <c r="F194" s="90"/>
      <c r="G194" s="90"/>
      <c r="H194" s="363"/>
      <c r="I194" s="363"/>
      <c r="J194" s="363"/>
      <c r="K194" s="363"/>
      <c r="L194" s="363"/>
      <c r="M194" s="363"/>
      <c r="N194" s="363"/>
      <c r="O194" s="363"/>
      <c r="P194" s="363"/>
      <c r="Q194" s="363"/>
      <c r="R194" s="363"/>
      <c r="S194" s="363"/>
      <c r="T194" s="363"/>
      <c r="U194" s="363"/>
      <c r="V194" s="363"/>
      <c r="W194" s="363"/>
      <c r="X194" s="363"/>
      <c r="Y194" s="363"/>
      <c r="Z194" s="363"/>
    </row>
    <row r="195" spans="1:26" ht="9.75" customHeight="1">
      <c r="A195" s="90"/>
      <c r="B195" s="90"/>
      <c r="C195" s="90"/>
      <c r="D195" s="90"/>
      <c r="E195" s="90"/>
      <c r="F195" s="90"/>
      <c r="G195" s="90"/>
      <c r="H195" s="363"/>
      <c r="I195" s="363"/>
      <c r="J195" s="363"/>
      <c r="K195" s="363"/>
      <c r="L195" s="363"/>
      <c r="M195" s="363"/>
      <c r="N195" s="363"/>
      <c r="O195" s="363"/>
      <c r="P195" s="363"/>
      <c r="Q195" s="363"/>
      <c r="R195" s="363"/>
      <c r="S195" s="363"/>
      <c r="T195" s="363"/>
      <c r="U195" s="363"/>
      <c r="V195" s="363"/>
      <c r="W195" s="363"/>
      <c r="X195" s="363"/>
      <c r="Y195" s="363"/>
      <c r="Z195" s="363"/>
    </row>
    <row r="196" spans="1:26" ht="9.75" customHeight="1">
      <c r="A196" s="90"/>
      <c r="B196" s="90"/>
      <c r="C196" s="90"/>
      <c r="D196" s="90"/>
      <c r="E196" s="90"/>
      <c r="F196" s="90"/>
      <c r="G196" s="90"/>
      <c r="H196" s="363"/>
      <c r="I196" s="363"/>
      <c r="J196" s="363"/>
      <c r="K196" s="363"/>
      <c r="L196" s="363"/>
      <c r="M196" s="363"/>
      <c r="N196" s="363"/>
      <c r="O196" s="363"/>
      <c r="P196" s="363"/>
      <c r="Q196" s="363"/>
      <c r="R196" s="363"/>
      <c r="S196" s="363"/>
      <c r="T196" s="363"/>
      <c r="U196" s="363"/>
      <c r="V196" s="363"/>
      <c r="W196" s="363"/>
      <c r="X196" s="363"/>
      <c r="Y196" s="363"/>
      <c r="Z196" s="363"/>
    </row>
    <row r="197" spans="1:26" ht="9.75" customHeight="1">
      <c r="A197" s="90"/>
      <c r="B197" s="90"/>
      <c r="C197" s="90"/>
      <c r="D197" s="90"/>
      <c r="E197" s="90"/>
      <c r="F197" s="90"/>
      <c r="G197" s="90"/>
      <c r="H197" s="363"/>
      <c r="I197" s="363"/>
      <c r="J197" s="363"/>
      <c r="K197" s="363"/>
      <c r="L197" s="363"/>
      <c r="M197" s="363"/>
      <c r="N197" s="363"/>
      <c r="O197" s="363"/>
      <c r="P197" s="363"/>
      <c r="Q197" s="363"/>
      <c r="R197" s="363"/>
      <c r="S197" s="363"/>
      <c r="T197" s="363"/>
      <c r="U197" s="363"/>
      <c r="V197" s="363"/>
      <c r="W197" s="363"/>
      <c r="X197" s="363"/>
      <c r="Y197" s="363"/>
      <c r="Z197" s="363"/>
    </row>
    <row r="198" spans="1:26" ht="9.75" customHeight="1">
      <c r="A198" s="90"/>
      <c r="B198" s="90"/>
      <c r="C198" s="90"/>
      <c r="D198" s="90"/>
      <c r="E198" s="90"/>
      <c r="F198" s="90"/>
      <c r="G198" s="90"/>
      <c r="H198" s="363"/>
      <c r="I198" s="363"/>
      <c r="J198" s="363"/>
      <c r="K198" s="363"/>
      <c r="L198" s="363"/>
      <c r="M198" s="363"/>
      <c r="N198" s="363"/>
      <c r="O198" s="363"/>
      <c r="P198" s="363"/>
      <c r="Q198" s="363"/>
      <c r="R198" s="363"/>
      <c r="S198" s="363"/>
      <c r="T198" s="363"/>
      <c r="U198" s="363"/>
      <c r="V198" s="363"/>
      <c r="W198" s="363"/>
      <c r="X198" s="363"/>
      <c r="Y198" s="363"/>
      <c r="Z198" s="363"/>
    </row>
    <row r="199" spans="1:26" ht="9.75" customHeight="1">
      <c r="A199" s="90"/>
      <c r="B199" s="90"/>
      <c r="C199" s="90"/>
      <c r="D199" s="90"/>
      <c r="E199" s="90"/>
      <c r="F199" s="90"/>
      <c r="G199" s="90"/>
      <c r="H199" s="363"/>
      <c r="I199" s="363"/>
      <c r="J199" s="363"/>
      <c r="K199" s="363"/>
      <c r="L199" s="363"/>
      <c r="M199" s="363"/>
      <c r="N199" s="363"/>
      <c r="O199" s="363"/>
      <c r="P199" s="363"/>
      <c r="Q199" s="363"/>
      <c r="R199" s="363"/>
      <c r="S199" s="363"/>
      <c r="T199" s="363"/>
      <c r="U199" s="363"/>
      <c r="V199" s="363"/>
      <c r="W199" s="363"/>
      <c r="X199" s="363"/>
      <c r="Y199" s="363"/>
      <c r="Z199" s="363"/>
    </row>
    <row r="200" spans="1:26" ht="9.75" customHeight="1">
      <c r="A200" s="90"/>
      <c r="B200" s="90"/>
      <c r="C200" s="90"/>
      <c r="D200" s="90"/>
      <c r="E200" s="90"/>
      <c r="F200" s="90"/>
      <c r="G200" s="90"/>
      <c r="H200" s="363"/>
      <c r="I200" s="363"/>
      <c r="J200" s="363"/>
      <c r="K200" s="363"/>
      <c r="L200" s="363"/>
      <c r="M200" s="363"/>
      <c r="N200" s="363"/>
      <c r="O200" s="363"/>
      <c r="P200" s="363"/>
      <c r="Q200" s="363"/>
      <c r="R200" s="363"/>
      <c r="S200" s="363"/>
      <c r="T200" s="363"/>
      <c r="U200" s="363"/>
      <c r="V200" s="363"/>
      <c r="W200" s="363"/>
      <c r="X200" s="363"/>
      <c r="Y200" s="363"/>
      <c r="Z200" s="363"/>
    </row>
    <row r="201" spans="1:26" ht="9.75" customHeight="1">
      <c r="A201" s="90"/>
      <c r="B201" s="90"/>
      <c r="C201" s="90"/>
      <c r="D201" s="90"/>
      <c r="E201" s="90"/>
      <c r="F201" s="90"/>
      <c r="G201" s="90"/>
      <c r="H201" s="363"/>
      <c r="I201" s="363"/>
      <c r="J201" s="363"/>
      <c r="K201" s="363"/>
      <c r="L201" s="363"/>
      <c r="M201" s="363"/>
      <c r="N201" s="363"/>
      <c r="O201" s="363"/>
      <c r="P201" s="363"/>
      <c r="Q201" s="363"/>
      <c r="R201" s="363"/>
      <c r="S201" s="363"/>
      <c r="T201" s="363"/>
      <c r="U201" s="363"/>
      <c r="V201" s="363"/>
      <c r="W201" s="363"/>
      <c r="X201" s="363"/>
      <c r="Y201" s="363"/>
      <c r="Z201" s="363"/>
    </row>
    <row r="202" spans="1:26" ht="9.75" customHeight="1">
      <c r="A202" s="90"/>
      <c r="B202" s="90"/>
      <c r="C202" s="90"/>
      <c r="D202" s="90"/>
      <c r="E202" s="90"/>
      <c r="F202" s="90"/>
      <c r="G202" s="90"/>
      <c r="H202" s="363"/>
      <c r="I202" s="363"/>
      <c r="J202" s="363"/>
      <c r="K202" s="363"/>
      <c r="L202" s="363"/>
      <c r="M202" s="363"/>
      <c r="N202" s="363"/>
      <c r="O202" s="363"/>
      <c r="P202" s="363"/>
      <c r="Q202" s="363"/>
      <c r="R202" s="363"/>
      <c r="S202" s="363"/>
      <c r="T202" s="363"/>
      <c r="U202" s="363"/>
      <c r="V202" s="363"/>
      <c r="W202" s="363"/>
      <c r="X202" s="363"/>
      <c r="Y202" s="363"/>
      <c r="Z202" s="363"/>
    </row>
    <row r="203" spans="1:26" ht="9.75" customHeight="1">
      <c r="A203" s="90"/>
      <c r="B203" s="90"/>
      <c r="C203" s="90"/>
      <c r="D203" s="90"/>
      <c r="E203" s="90"/>
      <c r="F203" s="90"/>
      <c r="G203" s="90"/>
      <c r="H203" s="363"/>
      <c r="I203" s="363"/>
      <c r="J203" s="363"/>
      <c r="K203" s="363"/>
      <c r="L203" s="363"/>
      <c r="M203" s="363"/>
      <c r="N203" s="363"/>
      <c r="O203" s="363"/>
      <c r="P203" s="363"/>
      <c r="Q203" s="363"/>
      <c r="R203" s="363"/>
      <c r="S203" s="363"/>
      <c r="T203" s="363"/>
      <c r="U203" s="363"/>
      <c r="V203" s="363"/>
      <c r="W203" s="363"/>
      <c r="X203" s="363"/>
      <c r="Y203" s="363"/>
      <c r="Z203" s="363"/>
    </row>
    <row r="204" spans="1:26" ht="9.75" customHeight="1">
      <c r="A204" s="90"/>
      <c r="B204" s="90"/>
      <c r="C204" s="90"/>
      <c r="D204" s="90"/>
      <c r="E204" s="90"/>
      <c r="F204" s="90"/>
      <c r="G204" s="90"/>
      <c r="H204" s="363"/>
      <c r="I204" s="363"/>
      <c r="J204" s="363"/>
      <c r="K204" s="363"/>
      <c r="L204" s="363"/>
      <c r="M204" s="363"/>
      <c r="N204" s="363"/>
      <c r="O204" s="363"/>
      <c r="P204" s="363"/>
      <c r="Q204" s="363"/>
      <c r="R204" s="363"/>
      <c r="S204" s="363"/>
      <c r="T204" s="363"/>
      <c r="U204" s="363"/>
      <c r="V204" s="363"/>
      <c r="W204" s="363"/>
      <c r="X204" s="363"/>
      <c r="Y204" s="363"/>
      <c r="Z204" s="363"/>
    </row>
    <row r="205" spans="1:26" ht="9.75" customHeight="1">
      <c r="A205" s="90"/>
      <c r="B205" s="90"/>
      <c r="C205" s="90"/>
      <c r="D205" s="90"/>
      <c r="E205" s="90"/>
      <c r="F205" s="90"/>
      <c r="G205" s="90"/>
      <c r="H205" s="363"/>
      <c r="I205" s="363"/>
      <c r="J205" s="363"/>
      <c r="K205" s="363"/>
      <c r="L205" s="363"/>
      <c r="M205" s="363"/>
      <c r="N205" s="363"/>
      <c r="O205" s="363"/>
      <c r="P205" s="363"/>
      <c r="Q205" s="363"/>
      <c r="R205" s="363"/>
      <c r="S205" s="363"/>
      <c r="T205" s="363"/>
      <c r="U205" s="363"/>
      <c r="V205" s="363"/>
      <c r="W205" s="363"/>
      <c r="X205" s="363"/>
      <c r="Y205" s="363"/>
      <c r="Z205" s="363"/>
    </row>
    <row r="206" spans="1:26" ht="9.75" customHeight="1">
      <c r="A206" s="90"/>
      <c r="B206" s="90"/>
      <c r="C206" s="90"/>
      <c r="D206" s="90"/>
      <c r="E206" s="90"/>
      <c r="F206" s="90"/>
      <c r="G206" s="90"/>
      <c r="H206" s="363"/>
      <c r="I206" s="363"/>
      <c r="J206" s="363"/>
      <c r="K206" s="363"/>
      <c r="L206" s="363"/>
      <c r="M206" s="363"/>
      <c r="N206" s="363"/>
      <c r="O206" s="363"/>
      <c r="P206" s="363"/>
      <c r="Q206" s="363"/>
      <c r="R206" s="363"/>
      <c r="S206" s="363"/>
      <c r="T206" s="363"/>
      <c r="U206" s="363"/>
      <c r="V206" s="363"/>
      <c r="W206" s="363"/>
      <c r="X206" s="363"/>
      <c r="Y206" s="363"/>
      <c r="Z206" s="363"/>
    </row>
    <row r="207" spans="1:26" ht="9.75" customHeight="1">
      <c r="A207" s="90"/>
      <c r="B207" s="90"/>
      <c r="C207" s="90"/>
      <c r="D207" s="90"/>
      <c r="E207" s="90"/>
      <c r="F207" s="90"/>
      <c r="G207" s="90"/>
      <c r="H207" s="363"/>
      <c r="I207" s="363"/>
      <c r="J207" s="363"/>
      <c r="K207" s="363"/>
      <c r="L207" s="363"/>
      <c r="M207" s="363"/>
      <c r="N207" s="363"/>
      <c r="O207" s="363"/>
      <c r="P207" s="363"/>
      <c r="Q207" s="363"/>
      <c r="R207" s="363"/>
      <c r="S207" s="363"/>
      <c r="T207" s="363"/>
      <c r="U207" s="363"/>
      <c r="V207" s="363"/>
      <c r="W207" s="363"/>
      <c r="X207" s="363"/>
      <c r="Y207" s="363"/>
      <c r="Z207" s="363"/>
    </row>
    <row r="208" spans="1:26" ht="9.75" customHeight="1">
      <c r="A208" s="90"/>
      <c r="B208" s="90"/>
      <c r="C208" s="90"/>
      <c r="D208" s="90"/>
      <c r="E208" s="90"/>
      <c r="F208" s="90"/>
      <c r="G208" s="90"/>
      <c r="H208" s="363"/>
      <c r="I208" s="363"/>
      <c r="J208" s="363"/>
      <c r="K208" s="363"/>
      <c r="L208" s="363"/>
      <c r="M208" s="363"/>
      <c r="N208" s="363"/>
      <c r="O208" s="363"/>
      <c r="P208" s="363"/>
      <c r="Q208" s="363"/>
      <c r="R208" s="363"/>
      <c r="S208" s="363"/>
      <c r="T208" s="363"/>
      <c r="U208" s="363"/>
      <c r="V208" s="363"/>
      <c r="W208" s="363"/>
      <c r="X208" s="363"/>
      <c r="Y208" s="363"/>
      <c r="Z208" s="363"/>
    </row>
    <row r="209" spans="1:26" ht="9.75" customHeight="1">
      <c r="A209" s="90"/>
      <c r="B209" s="90"/>
      <c r="C209" s="90"/>
      <c r="D209" s="90"/>
      <c r="E209" s="90"/>
      <c r="F209" s="90"/>
      <c r="G209" s="90"/>
      <c r="H209" s="363"/>
      <c r="I209" s="363"/>
      <c r="J209" s="363"/>
      <c r="K209" s="363"/>
      <c r="L209" s="363"/>
      <c r="M209" s="363"/>
      <c r="N209" s="363"/>
      <c r="O209" s="363"/>
      <c r="P209" s="363"/>
      <c r="Q209" s="363"/>
      <c r="R209" s="363"/>
      <c r="S209" s="363"/>
      <c r="T209" s="363"/>
      <c r="U209" s="363"/>
      <c r="V209" s="363"/>
      <c r="W209" s="363"/>
      <c r="X209" s="363"/>
      <c r="Y209" s="363"/>
      <c r="Z209" s="363"/>
    </row>
    <row r="210" spans="1:26" ht="9.75" customHeight="1">
      <c r="A210" s="90"/>
      <c r="B210" s="90"/>
      <c r="C210" s="90"/>
      <c r="D210" s="90"/>
      <c r="E210" s="90"/>
      <c r="F210" s="90"/>
      <c r="G210" s="90"/>
      <c r="H210" s="363"/>
      <c r="I210" s="363"/>
      <c r="J210" s="363"/>
      <c r="K210" s="363"/>
      <c r="L210" s="363"/>
      <c r="M210" s="363"/>
      <c r="N210" s="363"/>
      <c r="O210" s="363"/>
      <c r="P210" s="363"/>
      <c r="Q210" s="363"/>
      <c r="R210" s="363"/>
      <c r="S210" s="363"/>
      <c r="T210" s="363"/>
      <c r="U210" s="363"/>
      <c r="V210" s="363"/>
      <c r="W210" s="363"/>
      <c r="X210" s="363"/>
      <c r="Y210" s="363"/>
      <c r="Z210" s="363"/>
    </row>
    <row r="211" spans="1:26" ht="9.75" customHeight="1">
      <c r="A211" s="90"/>
      <c r="B211" s="90"/>
      <c r="C211" s="90"/>
      <c r="D211" s="90"/>
      <c r="E211" s="90"/>
      <c r="F211" s="90"/>
      <c r="G211" s="90"/>
      <c r="H211" s="363"/>
      <c r="I211" s="363"/>
      <c r="J211" s="363"/>
      <c r="K211" s="363"/>
      <c r="L211" s="363"/>
      <c r="M211" s="363"/>
      <c r="N211" s="363"/>
      <c r="O211" s="363"/>
      <c r="P211" s="363"/>
      <c r="Q211" s="363"/>
      <c r="R211" s="363"/>
      <c r="S211" s="363"/>
      <c r="T211" s="363"/>
      <c r="U211" s="363"/>
      <c r="V211" s="363"/>
      <c r="W211" s="363"/>
      <c r="X211" s="363"/>
      <c r="Y211" s="363"/>
      <c r="Z211" s="363"/>
    </row>
    <row r="212" spans="1:26" ht="9.75" customHeight="1">
      <c r="A212" s="90"/>
      <c r="B212" s="90"/>
      <c r="C212" s="90"/>
      <c r="D212" s="90"/>
      <c r="E212" s="90"/>
      <c r="F212" s="90"/>
      <c r="G212" s="90"/>
      <c r="H212" s="363"/>
      <c r="I212" s="363"/>
      <c r="J212" s="363"/>
      <c r="K212" s="363"/>
      <c r="L212" s="363"/>
      <c r="M212" s="363"/>
      <c r="N212" s="363"/>
      <c r="O212" s="363"/>
      <c r="P212" s="363"/>
      <c r="Q212" s="363"/>
      <c r="R212" s="363"/>
      <c r="S212" s="363"/>
      <c r="T212" s="363"/>
      <c r="U212" s="363"/>
      <c r="V212" s="363"/>
      <c r="W212" s="363"/>
      <c r="X212" s="363"/>
      <c r="Y212" s="363"/>
      <c r="Z212" s="363"/>
    </row>
    <row r="213" spans="1:26" ht="9.75" customHeight="1">
      <c r="A213" s="90"/>
      <c r="B213" s="90"/>
      <c r="C213" s="90"/>
      <c r="D213" s="90"/>
      <c r="E213" s="90"/>
      <c r="F213" s="90"/>
      <c r="G213" s="90"/>
      <c r="H213" s="363"/>
      <c r="I213" s="363"/>
      <c r="J213" s="363"/>
      <c r="K213" s="363"/>
      <c r="L213" s="363"/>
      <c r="M213" s="363"/>
      <c r="N213" s="363"/>
      <c r="O213" s="363"/>
      <c r="P213" s="363"/>
      <c r="Q213" s="363"/>
      <c r="R213" s="363"/>
      <c r="S213" s="363"/>
      <c r="T213" s="363"/>
      <c r="U213" s="363"/>
      <c r="V213" s="363"/>
      <c r="W213" s="363"/>
      <c r="X213" s="363"/>
      <c r="Y213" s="363"/>
      <c r="Z213" s="363"/>
    </row>
    <row r="214" spans="1:26" ht="9.75" customHeight="1">
      <c r="A214" s="90"/>
      <c r="B214" s="90"/>
      <c r="C214" s="90"/>
      <c r="D214" s="90"/>
      <c r="E214" s="90"/>
      <c r="F214" s="90"/>
      <c r="G214" s="90"/>
      <c r="H214" s="363"/>
      <c r="I214" s="363"/>
      <c r="J214" s="363"/>
      <c r="K214" s="363"/>
      <c r="L214" s="363"/>
      <c r="M214" s="363"/>
      <c r="N214" s="363"/>
      <c r="O214" s="363"/>
      <c r="P214" s="363"/>
      <c r="Q214" s="363"/>
      <c r="R214" s="363"/>
      <c r="S214" s="363"/>
      <c r="T214" s="363"/>
      <c r="U214" s="363"/>
      <c r="V214" s="363"/>
      <c r="W214" s="363"/>
      <c r="X214" s="363"/>
      <c r="Y214" s="363"/>
      <c r="Z214" s="363"/>
    </row>
    <row r="215" spans="1:26" ht="9.75" customHeight="1">
      <c r="A215" s="90"/>
      <c r="B215" s="90"/>
      <c r="C215" s="90"/>
      <c r="D215" s="90"/>
      <c r="E215" s="90"/>
      <c r="F215" s="90"/>
      <c r="G215" s="90"/>
      <c r="H215" s="363"/>
      <c r="I215" s="363"/>
      <c r="J215" s="363"/>
      <c r="K215" s="363"/>
      <c r="L215" s="363"/>
      <c r="M215" s="363"/>
      <c r="N215" s="363"/>
      <c r="O215" s="363"/>
      <c r="P215" s="363"/>
      <c r="Q215" s="363"/>
      <c r="R215" s="363"/>
      <c r="S215" s="363"/>
      <c r="T215" s="363"/>
      <c r="U215" s="363"/>
      <c r="V215" s="363"/>
      <c r="W215" s="363"/>
      <c r="X215" s="363"/>
      <c r="Y215" s="363"/>
      <c r="Z215" s="363"/>
    </row>
    <row r="216" spans="1:26" ht="9.75" customHeight="1">
      <c r="A216" s="90"/>
      <c r="B216" s="90"/>
      <c r="C216" s="90"/>
      <c r="D216" s="90"/>
      <c r="E216" s="90"/>
      <c r="F216" s="90"/>
      <c r="G216" s="90"/>
      <c r="H216" s="363"/>
      <c r="I216" s="363"/>
      <c r="J216" s="363"/>
      <c r="K216" s="363"/>
      <c r="L216" s="363"/>
      <c r="M216" s="363"/>
      <c r="N216" s="363"/>
      <c r="O216" s="363"/>
      <c r="P216" s="363"/>
      <c r="Q216" s="363"/>
      <c r="R216" s="363"/>
      <c r="S216" s="363"/>
      <c r="T216" s="363"/>
      <c r="U216" s="363"/>
      <c r="V216" s="363"/>
      <c r="W216" s="363"/>
      <c r="X216" s="363"/>
      <c r="Y216" s="363"/>
      <c r="Z216" s="363"/>
    </row>
    <row r="217" spans="1:26" ht="9.75" customHeight="1">
      <c r="A217" s="90"/>
      <c r="B217" s="90"/>
      <c r="C217" s="90"/>
      <c r="D217" s="90"/>
      <c r="E217" s="90"/>
      <c r="F217" s="90"/>
      <c r="G217" s="90"/>
      <c r="H217" s="363"/>
      <c r="I217" s="363"/>
      <c r="J217" s="363"/>
      <c r="K217" s="363"/>
      <c r="L217" s="363"/>
      <c r="M217" s="363"/>
      <c r="N217" s="363"/>
      <c r="O217" s="363"/>
      <c r="P217" s="363"/>
      <c r="Q217" s="363"/>
      <c r="R217" s="363"/>
      <c r="S217" s="363"/>
      <c r="T217" s="363"/>
      <c r="U217" s="363"/>
      <c r="V217" s="363"/>
      <c r="W217" s="363"/>
      <c r="X217" s="363"/>
      <c r="Y217" s="363"/>
      <c r="Z217" s="363"/>
    </row>
    <row r="218" spans="1:26" ht="9.75" customHeight="1">
      <c r="A218" s="90"/>
      <c r="B218" s="90"/>
      <c r="C218" s="90"/>
      <c r="D218" s="90"/>
      <c r="E218" s="90"/>
      <c r="F218" s="90"/>
      <c r="G218" s="90"/>
      <c r="H218" s="363"/>
      <c r="I218" s="363"/>
      <c r="J218" s="363"/>
      <c r="K218" s="363"/>
      <c r="L218" s="363"/>
      <c r="M218" s="363"/>
      <c r="N218" s="363"/>
      <c r="O218" s="363"/>
      <c r="P218" s="363"/>
      <c r="Q218" s="363"/>
      <c r="R218" s="363"/>
      <c r="S218" s="363"/>
      <c r="T218" s="363"/>
      <c r="U218" s="363"/>
      <c r="V218" s="363"/>
      <c r="W218" s="363"/>
      <c r="X218" s="363"/>
      <c r="Y218" s="363"/>
      <c r="Z218" s="363"/>
    </row>
    <row r="219" spans="1:26" ht="9.75" customHeight="1">
      <c r="A219" s="90"/>
      <c r="B219" s="90"/>
      <c r="C219" s="90"/>
      <c r="D219" s="90"/>
      <c r="E219" s="90"/>
      <c r="F219" s="90"/>
      <c r="G219" s="90"/>
      <c r="H219" s="363"/>
      <c r="I219" s="363"/>
      <c r="J219" s="363"/>
      <c r="K219" s="363"/>
      <c r="L219" s="363"/>
      <c r="M219" s="363"/>
      <c r="N219" s="363"/>
      <c r="O219" s="363"/>
      <c r="P219" s="363"/>
      <c r="Q219" s="363"/>
      <c r="R219" s="363"/>
      <c r="S219" s="363"/>
      <c r="T219" s="363"/>
      <c r="U219" s="363"/>
      <c r="V219" s="363"/>
      <c r="W219" s="363"/>
      <c r="X219" s="363"/>
      <c r="Y219" s="363"/>
      <c r="Z219" s="363"/>
    </row>
    <row r="220" spans="1:26" ht="9.75" customHeight="1">
      <c r="A220" s="90"/>
      <c r="B220" s="90"/>
      <c r="C220" s="90"/>
      <c r="D220" s="90"/>
      <c r="E220" s="90"/>
      <c r="F220" s="90"/>
      <c r="G220" s="90"/>
      <c r="H220" s="363"/>
      <c r="I220" s="363"/>
      <c r="J220" s="363"/>
      <c r="K220" s="363"/>
      <c r="L220" s="363"/>
      <c r="M220" s="363"/>
      <c r="N220" s="363"/>
      <c r="O220" s="363"/>
      <c r="P220" s="363"/>
      <c r="Q220" s="363"/>
      <c r="R220" s="363"/>
      <c r="S220" s="363"/>
      <c r="T220" s="363"/>
      <c r="U220" s="363"/>
      <c r="V220" s="363"/>
      <c r="W220" s="363"/>
      <c r="X220" s="363"/>
      <c r="Y220" s="363"/>
      <c r="Z220" s="363"/>
    </row>
    <row r="221" spans="1:26" ht="9.75" customHeight="1">
      <c r="A221" s="90"/>
      <c r="B221" s="90"/>
      <c r="C221" s="90"/>
      <c r="D221" s="90"/>
      <c r="E221" s="90"/>
      <c r="F221" s="90"/>
      <c r="G221" s="90"/>
      <c r="H221" s="363"/>
      <c r="I221" s="363"/>
      <c r="J221" s="363"/>
      <c r="K221" s="363"/>
      <c r="L221" s="363"/>
      <c r="M221" s="363"/>
      <c r="N221" s="363"/>
      <c r="O221" s="363"/>
      <c r="P221" s="363"/>
      <c r="Q221" s="363"/>
      <c r="R221" s="363"/>
      <c r="S221" s="363"/>
      <c r="T221" s="363"/>
      <c r="U221" s="363"/>
      <c r="V221" s="363"/>
      <c r="W221" s="363"/>
      <c r="X221" s="363"/>
      <c r="Y221" s="363"/>
      <c r="Z221" s="363"/>
    </row>
    <row r="222" spans="1:26" ht="9.75" customHeight="1">
      <c r="A222" s="90"/>
      <c r="B222" s="90"/>
      <c r="C222" s="90"/>
      <c r="D222" s="90"/>
      <c r="E222" s="90"/>
      <c r="F222" s="90"/>
      <c r="G222" s="90"/>
      <c r="H222" s="363"/>
      <c r="I222" s="363"/>
      <c r="J222" s="363"/>
      <c r="K222" s="363"/>
      <c r="L222" s="363"/>
      <c r="M222" s="363"/>
      <c r="N222" s="363"/>
      <c r="O222" s="363"/>
      <c r="P222" s="363"/>
      <c r="Q222" s="363"/>
      <c r="R222" s="363"/>
      <c r="S222" s="363"/>
      <c r="T222" s="363"/>
      <c r="U222" s="363"/>
      <c r="V222" s="363"/>
      <c r="W222" s="363"/>
      <c r="X222" s="363"/>
      <c r="Y222" s="363"/>
      <c r="Z222" s="363"/>
    </row>
    <row r="223" spans="1:26" ht="9.75" customHeight="1">
      <c r="A223" s="90"/>
      <c r="B223" s="90"/>
      <c r="C223" s="90"/>
      <c r="D223" s="90"/>
      <c r="E223" s="90"/>
      <c r="F223" s="90"/>
      <c r="G223" s="90"/>
      <c r="H223" s="363"/>
      <c r="I223" s="363"/>
      <c r="J223" s="363"/>
      <c r="K223" s="363"/>
      <c r="L223" s="363"/>
      <c r="M223" s="363"/>
      <c r="N223" s="363"/>
      <c r="O223" s="363"/>
      <c r="P223" s="363"/>
      <c r="Q223" s="363"/>
      <c r="R223" s="363"/>
      <c r="S223" s="363"/>
      <c r="T223" s="363"/>
      <c r="U223" s="363"/>
      <c r="V223" s="363"/>
      <c r="W223" s="363"/>
      <c r="X223" s="363"/>
      <c r="Y223" s="363"/>
      <c r="Z223" s="363"/>
    </row>
    <row r="224" spans="1:26" ht="9.75" customHeight="1">
      <c r="A224" s="90"/>
      <c r="B224" s="90"/>
      <c r="C224" s="90"/>
      <c r="D224" s="90"/>
      <c r="E224" s="90"/>
      <c r="F224" s="90"/>
      <c r="G224" s="90"/>
      <c r="H224" s="363"/>
      <c r="I224" s="363"/>
      <c r="J224" s="363"/>
      <c r="K224" s="363"/>
      <c r="L224" s="363"/>
      <c r="M224" s="363"/>
      <c r="N224" s="363"/>
      <c r="O224" s="363"/>
      <c r="P224" s="363"/>
      <c r="Q224" s="363"/>
      <c r="R224" s="363"/>
      <c r="S224" s="363"/>
      <c r="T224" s="363"/>
      <c r="U224" s="363"/>
      <c r="V224" s="363"/>
      <c r="W224" s="363"/>
      <c r="X224" s="363"/>
      <c r="Y224" s="363"/>
      <c r="Z224" s="363"/>
    </row>
    <row r="225" spans="1:26" ht="9.75" customHeight="1">
      <c r="A225" s="90"/>
      <c r="B225" s="90"/>
      <c r="C225" s="90"/>
      <c r="D225" s="90"/>
      <c r="E225" s="90"/>
      <c r="F225" s="90"/>
      <c r="G225" s="90"/>
      <c r="H225" s="363"/>
      <c r="I225" s="363"/>
      <c r="J225" s="363"/>
      <c r="K225" s="363"/>
      <c r="L225" s="363"/>
      <c r="M225" s="363"/>
      <c r="N225" s="363"/>
      <c r="O225" s="363"/>
      <c r="P225" s="363"/>
      <c r="Q225" s="363"/>
      <c r="R225" s="363"/>
      <c r="S225" s="363"/>
      <c r="T225" s="363"/>
      <c r="U225" s="363"/>
      <c r="V225" s="363"/>
      <c r="W225" s="363"/>
      <c r="X225" s="363"/>
      <c r="Y225" s="363"/>
      <c r="Z225" s="363"/>
    </row>
    <row r="226" spans="1:26" ht="9.75" customHeight="1">
      <c r="A226" s="90"/>
      <c r="B226" s="90"/>
      <c r="C226" s="90"/>
      <c r="D226" s="90"/>
      <c r="E226" s="90"/>
      <c r="F226" s="90"/>
      <c r="G226" s="90"/>
      <c r="H226" s="363"/>
      <c r="I226" s="363"/>
      <c r="J226" s="363"/>
      <c r="K226" s="363"/>
      <c r="L226" s="363"/>
      <c r="M226" s="363"/>
      <c r="N226" s="363"/>
      <c r="O226" s="363"/>
      <c r="P226" s="363"/>
      <c r="Q226" s="363"/>
      <c r="R226" s="363"/>
      <c r="S226" s="363"/>
      <c r="T226" s="363"/>
      <c r="U226" s="363"/>
      <c r="V226" s="363"/>
      <c r="W226" s="363"/>
      <c r="X226" s="363"/>
      <c r="Y226" s="363"/>
      <c r="Z226" s="363"/>
    </row>
    <row r="227" spans="1:26" ht="9.75" customHeight="1">
      <c r="A227" s="90"/>
      <c r="B227" s="90"/>
      <c r="C227" s="90"/>
      <c r="D227" s="90"/>
      <c r="E227" s="90"/>
      <c r="F227" s="90"/>
      <c r="G227" s="90"/>
      <c r="H227" s="363"/>
      <c r="I227" s="363"/>
      <c r="J227" s="363"/>
      <c r="K227" s="363"/>
      <c r="L227" s="363"/>
      <c r="M227" s="363"/>
      <c r="N227" s="363"/>
      <c r="O227" s="363"/>
      <c r="P227" s="363"/>
      <c r="Q227" s="363"/>
      <c r="R227" s="363"/>
      <c r="S227" s="363"/>
      <c r="T227" s="363"/>
      <c r="U227" s="363"/>
      <c r="V227" s="363"/>
      <c r="W227" s="363"/>
      <c r="X227" s="363"/>
      <c r="Y227" s="363"/>
      <c r="Z227" s="363"/>
    </row>
    <row r="228" spans="1:26" ht="9.75" customHeight="1">
      <c r="A228" s="90"/>
      <c r="B228" s="90"/>
      <c r="C228" s="90"/>
      <c r="D228" s="90"/>
      <c r="E228" s="90"/>
      <c r="F228" s="90"/>
      <c r="G228" s="90"/>
      <c r="H228" s="363"/>
      <c r="I228" s="363"/>
      <c r="J228" s="363"/>
      <c r="K228" s="363"/>
      <c r="L228" s="363"/>
      <c r="M228" s="363"/>
      <c r="N228" s="363"/>
      <c r="O228" s="363"/>
      <c r="P228" s="363"/>
      <c r="Q228" s="363"/>
      <c r="R228" s="363"/>
      <c r="S228" s="363"/>
      <c r="T228" s="363"/>
      <c r="U228" s="363"/>
      <c r="V228" s="363"/>
      <c r="W228" s="363"/>
      <c r="X228" s="363"/>
      <c r="Y228" s="363"/>
      <c r="Z228" s="363"/>
    </row>
    <row r="229" spans="1:26" ht="9.75" customHeight="1">
      <c r="A229" s="90"/>
      <c r="B229" s="90"/>
      <c r="C229" s="90"/>
      <c r="D229" s="90"/>
      <c r="E229" s="90"/>
      <c r="F229" s="90"/>
      <c r="G229" s="90"/>
      <c r="H229" s="363"/>
      <c r="I229" s="363"/>
      <c r="J229" s="363"/>
      <c r="K229" s="363"/>
      <c r="L229" s="363"/>
      <c r="M229" s="363"/>
      <c r="N229" s="363"/>
      <c r="O229" s="363"/>
      <c r="P229" s="363"/>
      <c r="Q229" s="363"/>
      <c r="R229" s="363"/>
      <c r="S229" s="363"/>
      <c r="T229" s="363"/>
      <c r="U229" s="363"/>
      <c r="V229" s="363"/>
      <c r="W229" s="363"/>
      <c r="X229" s="363"/>
      <c r="Y229" s="363"/>
      <c r="Z229" s="363"/>
    </row>
    <row r="230" spans="1:26" ht="9.75" customHeight="1">
      <c r="A230" s="90"/>
      <c r="B230" s="90"/>
      <c r="C230" s="90"/>
      <c r="D230" s="90"/>
      <c r="E230" s="90"/>
      <c r="F230" s="90"/>
      <c r="G230" s="90"/>
      <c r="H230" s="363"/>
      <c r="I230" s="363"/>
      <c r="J230" s="363"/>
      <c r="K230" s="363"/>
      <c r="L230" s="363"/>
      <c r="M230" s="363"/>
      <c r="N230" s="363"/>
      <c r="O230" s="363"/>
      <c r="P230" s="363"/>
      <c r="Q230" s="363"/>
      <c r="R230" s="363"/>
      <c r="S230" s="363"/>
      <c r="T230" s="363"/>
      <c r="U230" s="363"/>
      <c r="V230" s="363"/>
      <c r="W230" s="363"/>
      <c r="X230" s="363"/>
      <c r="Y230" s="363"/>
      <c r="Z230" s="363"/>
    </row>
    <row r="231" spans="1:26" ht="9.75" customHeight="1">
      <c r="A231" s="90"/>
      <c r="B231" s="90"/>
      <c r="C231" s="90"/>
      <c r="D231" s="90"/>
      <c r="E231" s="90"/>
      <c r="F231" s="90"/>
      <c r="G231" s="90"/>
      <c r="H231" s="363"/>
      <c r="I231" s="363"/>
      <c r="J231" s="363"/>
      <c r="K231" s="363"/>
      <c r="L231" s="363"/>
      <c r="M231" s="363"/>
      <c r="N231" s="363"/>
      <c r="O231" s="363"/>
      <c r="P231" s="363"/>
      <c r="Q231" s="363"/>
      <c r="R231" s="363"/>
      <c r="S231" s="363"/>
      <c r="T231" s="363"/>
      <c r="U231" s="363"/>
      <c r="V231" s="363"/>
      <c r="W231" s="363"/>
      <c r="X231" s="363"/>
      <c r="Y231" s="363"/>
      <c r="Z231" s="363"/>
    </row>
    <row r="232" spans="1:26" ht="9.75" customHeight="1">
      <c r="A232" s="90"/>
      <c r="B232" s="90"/>
      <c r="C232" s="90"/>
      <c r="D232" s="90"/>
      <c r="E232" s="90"/>
      <c r="F232" s="90"/>
      <c r="G232" s="90"/>
      <c r="H232" s="363"/>
      <c r="I232" s="363"/>
      <c r="J232" s="363"/>
      <c r="K232" s="363"/>
      <c r="L232" s="363"/>
      <c r="M232" s="363"/>
      <c r="N232" s="363"/>
      <c r="O232" s="363"/>
      <c r="P232" s="363"/>
      <c r="Q232" s="363"/>
      <c r="R232" s="363"/>
      <c r="S232" s="363"/>
      <c r="T232" s="363"/>
      <c r="U232" s="363"/>
      <c r="V232" s="363"/>
      <c r="W232" s="363"/>
      <c r="X232" s="363"/>
      <c r="Y232" s="363"/>
      <c r="Z232" s="363"/>
    </row>
    <row r="233" spans="1:26" ht="9.75" customHeight="1">
      <c r="A233" s="90"/>
      <c r="B233" s="90"/>
      <c r="C233" s="90"/>
      <c r="D233" s="90"/>
      <c r="E233" s="90"/>
      <c r="F233" s="90"/>
      <c r="G233" s="90"/>
      <c r="H233" s="363"/>
      <c r="I233" s="363"/>
      <c r="J233" s="363"/>
      <c r="K233" s="363"/>
      <c r="L233" s="363"/>
      <c r="M233" s="363"/>
      <c r="N233" s="363"/>
      <c r="O233" s="363"/>
      <c r="P233" s="363"/>
      <c r="Q233" s="363"/>
      <c r="R233" s="363"/>
      <c r="S233" s="363"/>
      <c r="T233" s="363"/>
      <c r="U233" s="363"/>
      <c r="V233" s="363"/>
      <c r="W233" s="363"/>
      <c r="X233" s="363"/>
      <c r="Y233" s="363"/>
      <c r="Z233" s="363"/>
    </row>
    <row r="234" spans="1:26" ht="9.75" customHeight="1">
      <c r="A234" s="90"/>
      <c r="B234" s="90"/>
      <c r="C234" s="90"/>
      <c r="D234" s="90"/>
      <c r="E234" s="90"/>
      <c r="F234" s="90"/>
      <c r="G234" s="90"/>
      <c r="H234" s="363"/>
      <c r="I234" s="363"/>
      <c r="J234" s="363"/>
      <c r="K234" s="363"/>
      <c r="L234" s="363"/>
      <c r="M234" s="363"/>
      <c r="N234" s="363"/>
      <c r="O234" s="363"/>
      <c r="P234" s="363"/>
      <c r="Q234" s="363"/>
      <c r="R234" s="363"/>
      <c r="S234" s="363"/>
      <c r="T234" s="363"/>
      <c r="U234" s="363"/>
      <c r="V234" s="363"/>
      <c r="W234" s="363"/>
      <c r="X234" s="363"/>
      <c r="Y234" s="363"/>
      <c r="Z234" s="363"/>
    </row>
    <row r="235" spans="1:26" ht="9.75" customHeight="1">
      <c r="A235" s="90"/>
      <c r="B235" s="90"/>
      <c r="C235" s="90"/>
      <c r="D235" s="90"/>
      <c r="E235" s="90"/>
      <c r="F235" s="90"/>
      <c r="G235" s="90"/>
      <c r="H235" s="363"/>
      <c r="I235" s="363"/>
      <c r="J235" s="363"/>
      <c r="K235" s="363"/>
      <c r="L235" s="363"/>
      <c r="M235" s="363"/>
      <c r="N235" s="363"/>
      <c r="O235" s="363"/>
      <c r="P235" s="363"/>
      <c r="Q235" s="363"/>
      <c r="R235" s="363"/>
      <c r="S235" s="363"/>
      <c r="T235" s="363"/>
      <c r="U235" s="363"/>
      <c r="V235" s="363"/>
      <c r="W235" s="363"/>
      <c r="X235" s="363"/>
      <c r="Y235" s="363"/>
      <c r="Z235" s="363"/>
    </row>
    <row r="236" spans="1:26" ht="9.75" customHeight="1">
      <c r="A236" s="90"/>
      <c r="B236" s="90"/>
      <c r="C236" s="90"/>
      <c r="D236" s="90"/>
      <c r="E236" s="90"/>
      <c r="F236" s="90"/>
      <c r="G236" s="90"/>
      <c r="H236" s="363"/>
      <c r="I236" s="363"/>
      <c r="J236" s="363"/>
      <c r="K236" s="363"/>
      <c r="L236" s="363"/>
      <c r="M236" s="363"/>
      <c r="N236" s="363"/>
      <c r="O236" s="363"/>
      <c r="P236" s="363"/>
      <c r="Q236" s="363"/>
      <c r="R236" s="363"/>
      <c r="S236" s="363"/>
      <c r="T236" s="363"/>
      <c r="U236" s="363"/>
      <c r="V236" s="363"/>
      <c r="W236" s="363"/>
      <c r="X236" s="363"/>
      <c r="Y236" s="363"/>
      <c r="Z236" s="363"/>
    </row>
    <row r="237" spans="1:26" ht="9.75" customHeight="1">
      <c r="A237" s="90"/>
      <c r="B237" s="90"/>
      <c r="C237" s="90"/>
      <c r="D237" s="90"/>
      <c r="E237" s="90"/>
      <c r="F237" s="90"/>
      <c r="G237" s="90"/>
      <c r="H237" s="363"/>
      <c r="I237" s="363"/>
      <c r="J237" s="363"/>
      <c r="K237" s="363"/>
      <c r="L237" s="363"/>
      <c r="M237" s="363"/>
      <c r="N237" s="363"/>
      <c r="O237" s="363"/>
      <c r="P237" s="363"/>
      <c r="Q237" s="363"/>
      <c r="R237" s="363"/>
      <c r="S237" s="363"/>
      <c r="T237" s="363"/>
      <c r="U237" s="363"/>
      <c r="V237" s="363"/>
      <c r="W237" s="363"/>
      <c r="X237" s="363"/>
      <c r="Y237" s="363"/>
      <c r="Z237" s="363"/>
    </row>
    <row r="238" spans="1:26" ht="9.75" customHeight="1">
      <c r="A238" s="90"/>
      <c r="B238" s="90"/>
      <c r="C238" s="90"/>
      <c r="D238" s="90"/>
      <c r="E238" s="90"/>
      <c r="F238" s="90"/>
      <c r="G238" s="90"/>
      <c r="H238" s="363"/>
      <c r="I238" s="363"/>
      <c r="J238" s="363"/>
      <c r="K238" s="363"/>
      <c r="L238" s="363"/>
      <c r="M238" s="363"/>
      <c r="N238" s="363"/>
      <c r="O238" s="363"/>
      <c r="P238" s="363"/>
      <c r="Q238" s="363"/>
      <c r="R238" s="363"/>
      <c r="S238" s="363"/>
      <c r="T238" s="363"/>
      <c r="U238" s="363"/>
      <c r="V238" s="363"/>
      <c r="W238" s="363"/>
      <c r="X238" s="363"/>
      <c r="Y238" s="363"/>
      <c r="Z238" s="363"/>
    </row>
    <row r="239" spans="1:26" ht="9.75" customHeight="1">
      <c r="A239" s="90"/>
      <c r="B239" s="90"/>
      <c r="C239" s="90"/>
      <c r="D239" s="90"/>
      <c r="E239" s="90"/>
      <c r="F239" s="90"/>
      <c r="G239" s="90"/>
      <c r="H239" s="363"/>
      <c r="I239" s="363"/>
      <c r="J239" s="363"/>
      <c r="K239" s="363"/>
      <c r="L239" s="363"/>
      <c r="M239" s="363"/>
      <c r="N239" s="363"/>
      <c r="O239" s="363"/>
      <c r="P239" s="363"/>
      <c r="Q239" s="363"/>
      <c r="R239" s="363"/>
      <c r="S239" s="363"/>
      <c r="T239" s="363"/>
      <c r="U239" s="363"/>
      <c r="V239" s="363"/>
      <c r="W239" s="363"/>
      <c r="X239" s="363"/>
      <c r="Y239" s="363"/>
      <c r="Z239" s="363"/>
    </row>
    <row r="240" spans="1:26" ht="9.75" customHeight="1">
      <c r="A240" s="90"/>
      <c r="B240" s="90"/>
      <c r="C240" s="90"/>
      <c r="D240" s="90"/>
      <c r="E240" s="90"/>
      <c r="F240" s="90"/>
      <c r="G240" s="90"/>
      <c r="H240" s="363"/>
      <c r="I240" s="363"/>
      <c r="J240" s="363"/>
      <c r="K240" s="363"/>
      <c r="L240" s="363"/>
      <c r="M240" s="363"/>
      <c r="N240" s="363"/>
      <c r="O240" s="363"/>
      <c r="P240" s="363"/>
      <c r="Q240" s="363"/>
      <c r="R240" s="363"/>
      <c r="S240" s="363"/>
      <c r="T240" s="363"/>
      <c r="U240" s="363"/>
      <c r="V240" s="363"/>
      <c r="W240" s="363"/>
      <c r="X240" s="363"/>
      <c r="Y240" s="363"/>
      <c r="Z240" s="363"/>
    </row>
    <row r="241" spans="1:26" ht="9.75" customHeight="1">
      <c r="A241" s="90"/>
      <c r="B241" s="90"/>
      <c r="C241" s="90"/>
      <c r="D241" s="90"/>
      <c r="E241" s="90"/>
      <c r="F241" s="90"/>
      <c r="G241" s="90"/>
      <c r="H241" s="363"/>
      <c r="I241" s="363"/>
      <c r="J241" s="363"/>
      <c r="K241" s="363"/>
      <c r="L241" s="363"/>
      <c r="M241" s="363"/>
      <c r="N241" s="363"/>
      <c r="O241" s="363"/>
      <c r="P241" s="363"/>
      <c r="Q241" s="363"/>
      <c r="R241" s="363"/>
      <c r="S241" s="363"/>
      <c r="T241" s="363"/>
      <c r="U241" s="363"/>
      <c r="V241" s="363"/>
      <c r="W241" s="363"/>
      <c r="X241" s="363"/>
      <c r="Y241" s="363"/>
      <c r="Z241" s="363"/>
    </row>
    <row r="242" spans="1:26" ht="9.75" customHeight="1">
      <c r="A242" s="90"/>
      <c r="B242" s="90"/>
      <c r="C242" s="90"/>
      <c r="D242" s="90"/>
      <c r="E242" s="90"/>
      <c r="F242" s="90"/>
      <c r="G242" s="90"/>
      <c r="H242" s="363"/>
      <c r="I242" s="363"/>
      <c r="J242" s="363"/>
      <c r="K242" s="363"/>
      <c r="L242" s="363"/>
      <c r="M242" s="363"/>
      <c r="N242" s="363"/>
      <c r="O242" s="363"/>
      <c r="P242" s="363"/>
      <c r="Q242" s="363"/>
      <c r="R242" s="363"/>
      <c r="S242" s="363"/>
      <c r="T242" s="363"/>
      <c r="U242" s="363"/>
      <c r="V242" s="363"/>
      <c r="W242" s="363"/>
      <c r="X242" s="363"/>
      <c r="Y242" s="363"/>
      <c r="Z242" s="363"/>
    </row>
    <row r="243" spans="1:26" ht="9.75" customHeight="1">
      <c r="A243" s="90"/>
      <c r="B243" s="90"/>
      <c r="C243" s="90"/>
      <c r="D243" s="90"/>
      <c r="E243" s="90"/>
      <c r="F243" s="90"/>
      <c r="G243" s="90"/>
      <c r="H243" s="363"/>
      <c r="I243" s="363"/>
      <c r="J243" s="363"/>
      <c r="K243" s="363"/>
      <c r="L243" s="363"/>
      <c r="M243" s="363"/>
      <c r="N243" s="363"/>
      <c r="O243" s="363"/>
      <c r="P243" s="363"/>
      <c r="Q243" s="363"/>
      <c r="R243" s="363"/>
      <c r="S243" s="363"/>
      <c r="T243" s="363"/>
      <c r="U243" s="363"/>
      <c r="V243" s="363"/>
      <c r="W243" s="363"/>
      <c r="X243" s="363"/>
      <c r="Y243" s="363"/>
      <c r="Z243" s="363"/>
    </row>
    <row r="244" spans="1:26" ht="9.75" customHeight="1">
      <c r="A244" s="90"/>
      <c r="B244" s="90"/>
      <c r="C244" s="90"/>
      <c r="D244" s="90"/>
      <c r="E244" s="90"/>
      <c r="F244" s="90"/>
      <c r="G244" s="90"/>
      <c r="H244" s="363"/>
      <c r="I244" s="363"/>
      <c r="J244" s="363"/>
      <c r="K244" s="363"/>
      <c r="L244" s="363"/>
      <c r="M244" s="363"/>
      <c r="N244" s="363"/>
      <c r="O244" s="363"/>
      <c r="P244" s="363"/>
      <c r="Q244" s="363"/>
      <c r="R244" s="363"/>
      <c r="S244" s="363"/>
      <c r="T244" s="363"/>
      <c r="U244" s="363"/>
      <c r="V244" s="363"/>
      <c r="W244" s="363"/>
      <c r="X244" s="363"/>
      <c r="Y244" s="363"/>
      <c r="Z244" s="363"/>
    </row>
    <row r="245" spans="1:26" ht="9.75" customHeight="1">
      <c r="A245" s="90"/>
      <c r="B245" s="90"/>
      <c r="C245" s="90"/>
      <c r="D245" s="90"/>
      <c r="E245" s="90"/>
      <c r="F245" s="90"/>
      <c r="G245" s="90"/>
      <c r="H245" s="363"/>
      <c r="I245" s="363"/>
      <c r="J245" s="363"/>
      <c r="K245" s="363"/>
      <c r="L245" s="363"/>
      <c r="M245" s="363"/>
      <c r="N245" s="363"/>
      <c r="O245" s="363"/>
      <c r="P245" s="363"/>
      <c r="Q245" s="363"/>
      <c r="R245" s="363"/>
      <c r="S245" s="363"/>
      <c r="T245" s="363"/>
      <c r="U245" s="363"/>
      <c r="V245" s="363"/>
      <c r="W245" s="363"/>
      <c r="X245" s="363"/>
      <c r="Y245" s="363"/>
      <c r="Z245" s="363"/>
    </row>
    <row r="246" spans="1:26" ht="9.75" customHeight="1">
      <c r="A246" s="90"/>
      <c r="B246" s="90"/>
      <c r="C246" s="90"/>
      <c r="D246" s="90"/>
      <c r="E246" s="90"/>
      <c r="F246" s="90"/>
      <c r="G246" s="90"/>
      <c r="H246" s="363"/>
      <c r="I246" s="363"/>
      <c r="J246" s="363"/>
      <c r="K246" s="363"/>
      <c r="L246" s="363"/>
      <c r="M246" s="363"/>
      <c r="N246" s="363"/>
      <c r="O246" s="363"/>
      <c r="P246" s="363"/>
      <c r="Q246" s="363"/>
      <c r="R246" s="363"/>
      <c r="S246" s="363"/>
      <c r="T246" s="363"/>
      <c r="U246" s="363"/>
      <c r="V246" s="363"/>
      <c r="W246" s="363"/>
      <c r="X246" s="363"/>
      <c r="Y246" s="363"/>
      <c r="Z246" s="363"/>
    </row>
    <row r="247" spans="1:26" ht="9.75" customHeight="1">
      <c r="A247" s="90"/>
      <c r="B247" s="90"/>
      <c r="C247" s="90"/>
      <c r="D247" s="90"/>
      <c r="E247" s="90"/>
      <c r="F247" s="90"/>
      <c r="G247" s="90"/>
      <c r="H247" s="363"/>
      <c r="I247" s="363"/>
      <c r="J247" s="363"/>
      <c r="K247" s="363"/>
      <c r="L247" s="363"/>
      <c r="M247" s="363"/>
      <c r="N247" s="363"/>
      <c r="O247" s="363"/>
      <c r="P247" s="363"/>
      <c r="Q247" s="363"/>
      <c r="R247" s="363"/>
      <c r="S247" s="363"/>
      <c r="T247" s="363"/>
      <c r="U247" s="363"/>
      <c r="V247" s="363"/>
      <c r="W247" s="363"/>
      <c r="X247" s="363"/>
      <c r="Y247" s="363"/>
      <c r="Z247" s="363"/>
    </row>
    <row r="248" spans="1:26" ht="9.75" customHeight="1">
      <c r="A248" s="90"/>
      <c r="B248" s="90"/>
      <c r="C248" s="90"/>
      <c r="D248" s="90"/>
      <c r="E248" s="90"/>
      <c r="F248" s="90"/>
      <c r="G248" s="90"/>
      <c r="H248" s="363"/>
      <c r="I248" s="363"/>
      <c r="J248" s="363"/>
      <c r="K248" s="363"/>
      <c r="L248" s="363"/>
      <c r="M248" s="363"/>
      <c r="N248" s="363"/>
      <c r="O248" s="363"/>
      <c r="P248" s="363"/>
      <c r="Q248" s="363"/>
      <c r="R248" s="363"/>
      <c r="S248" s="363"/>
      <c r="T248" s="363"/>
      <c r="U248" s="363"/>
      <c r="V248" s="363"/>
      <c r="W248" s="363"/>
      <c r="X248" s="363"/>
      <c r="Y248" s="363"/>
      <c r="Z248" s="363"/>
    </row>
    <row r="249" spans="1:26" ht="9.75" customHeight="1">
      <c r="A249" s="90"/>
      <c r="B249" s="90"/>
      <c r="C249" s="90"/>
      <c r="D249" s="90"/>
      <c r="E249" s="90"/>
      <c r="F249" s="90"/>
      <c r="G249" s="90"/>
      <c r="H249" s="363"/>
      <c r="I249" s="363"/>
      <c r="J249" s="363"/>
      <c r="K249" s="363"/>
      <c r="L249" s="363"/>
      <c r="M249" s="363"/>
      <c r="N249" s="363"/>
      <c r="O249" s="363"/>
      <c r="P249" s="363"/>
      <c r="Q249" s="363"/>
      <c r="R249" s="363"/>
      <c r="S249" s="363"/>
      <c r="T249" s="363"/>
      <c r="U249" s="363"/>
      <c r="V249" s="363"/>
      <c r="W249" s="363"/>
      <c r="X249" s="363"/>
      <c r="Y249" s="363"/>
      <c r="Z249" s="363"/>
    </row>
    <row r="250" spans="1:26" ht="9.75" customHeight="1">
      <c r="A250" s="90"/>
      <c r="B250" s="90"/>
      <c r="C250" s="90"/>
      <c r="D250" s="90"/>
      <c r="E250" s="90"/>
      <c r="F250" s="90"/>
      <c r="G250" s="90"/>
      <c r="H250" s="363"/>
      <c r="I250" s="363"/>
      <c r="J250" s="363"/>
      <c r="K250" s="363"/>
      <c r="L250" s="363"/>
      <c r="M250" s="363"/>
      <c r="N250" s="363"/>
      <c r="O250" s="363"/>
      <c r="P250" s="363"/>
      <c r="Q250" s="363"/>
      <c r="R250" s="363"/>
      <c r="S250" s="363"/>
      <c r="T250" s="363"/>
      <c r="U250" s="363"/>
      <c r="V250" s="363"/>
      <c r="W250" s="363"/>
      <c r="X250" s="363"/>
      <c r="Y250" s="363"/>
      <c r="Z250" s="363"/>
    </row>
    <row r="251" spans="1:26" ht="9.75" customHeight="1">
      <c r="A251" s="90"/>
      <c r="B251" s="90"/>
      <c r="C251" s="90"/>
      <c r="D251" s="90"/>
      <c r="E251" s="90"/>
      <c r="F251" s="90"/>
      <c r="G251" s="90"/>
      <c r="H251" s="363"/>
      <c r="I251" s="363"/>
      <c r="J251" s="363"/>
      <c r="K251" s="363"/>
      <c r="L251" s="363"/>
      <c r="M251" s="363"/>
      <c r="N251" s="363"/>
      <c r="O251" s="363"/>
      <c r="P251" s="363"/>
      <c r="Q251" s="363"/>
      <c r="R251" s="363"/>
      <c r="S251" s="363"/>
      <c r="T251" s="363"/>
      <c r="U251" s="363"/>
      <c r="V251" s="363"/>
      <c r="W251" s="363"/>
      <c r="X251" s="363"/>
      <c r="Y251" s="363"/>
      <c r="Z251" s="363"/>
    </row>
    <row r="252" spans="1:26" ht="9.75" customHeight="1">
      <c r="A252" s="90"/>
      <c r="B252" s="90"/>
      <c r="C252" s="90"/>
      <c r="D252" s="90"/>
      <c r="E252" s="90"/>
      <c r="F252" s="90"/>
      <c r="G252" s="90"/>
      <c r="H252" s="363"/>
      <c r="I252" s="363"/>
      <c r="J252" s="363"/>
      <c r="K252" s="363"/>
      <c r="L252" s="363"/>
      <c r="M252" s="363"/>
      <c r="N252" s="363"/>
      <c r="O252" s="363"/>
      <c r="P252" s="363"/>
      <c r="Q252" s="363"/>
      <c r="R252" s="363"/>
      <c r="S252" s="363"/>
      <c r="T252" s="363"/>
      <c r="U252" s="363"/>
      <c r="V252" s="363"/>
      <c r="W252" s="363"/>
      <c r="X252" s="363"/>
      <c r="Y252" s="363"/>
      <c r="Z252" s="363"/>
    </row>
    <row r="253" spans="1:26" ht="9.75" customHeight="1">
      <c r="A253" s="90"/>
      <c r="B253" s="90"/>
      <c r="C253" s="90"/>
      <c r="D253" s="90"/>
      <c r="E253" s="90"/>
      <c r="F253" s="90"/>
      <c r="G253" s="90"/>
      <c r="H253" s="363"/>
      <c r="I253" s="363"/>
      <c r="J253" s="363"/>
      <c r="K253" s="363"/>
      <c r="L253" s="363"/>
      <c r="M253" s="363"/>
      <c r="N253" s="363"/>
      <c r="O253" s="363"/>
      <c r="P253" s="363"/>
      <c r="Q253" s="363"/>
      <c r="R253" s="363"/>
      <c r="S253" s="363"/>
      <c r="T253" s="363"/>
      <c r="U253" s="363"/>
      <c r="V253" s="363"/>
      <c r="W253" s="363"/>
      <c r="X253" s="363"/>
      <c r="Y253" s="363"/>
      <c r="Z253" s="363"/>
    </row>
    <row r="254" spans="1:26" ht="9.75" customHeight="1">
      <c r="A254" s="90"/>
      <c r="B254" s="90"/>
      <c r="C254" s="90"/>
      <c r="D254" s="90"/>
      <c r="E254" s="90"/>
      <c r="F254" s="90"/>
      <c r="G254" s="90"/>
      <c r="H254" s="363"/>
      <c r="I254" s="363"/>
      <c r="J254" s="363"/>
      <c r="K254" s="363"/>
      <c r="L254" s="363"/>
      <c r="M254" s="363"/>
      <c r="N254" s="363"/>
      <c r="O254" s="363"/>
      <c r="P254" s="363"/>
      <c r="Q254" s="363"/>
      <c r="R254" s="363"/>
      <c r="S254" s="363"/>
      <c r="T254" s="363"/>
      <c r="U254" s="363"/>
      <c r="V254" s="363"/>
      <c r="W254" s="363"/>
      <c r="X254" s="363"/>
      <c r="Y254" s="363"/>
      <c r="Z254" s="363"/>
    </row>
    <row r="255" spans="1:26" ht="9.75" customHeight="1">
      <c r="A255" s="90"/>
      <c r="B255" s="90"/>
      <c r="C255" s="90"/>
      <c r="D255" s="90"/>
      <c r="E255" s="90"/>
      <c r="F255" s="90"/>
      <c r="G255" s="90"/>
      <c r="H255" s="363"/>
      <c r="I255" s="363"/>
      <c r="J255" s="363"/>
      <c r="K255" s="363"/>
      <c r="L255" s="363"/>
      <c r="M255" s="363"/>
      <c r="N255" s="363"/>
      <c r="O255" s="363"/>
      <c r="P255" s="363"/>
      <c r="Q255" s="363"/>
      <c r="R255" s="363"/>
      <c r="S255" s="363"/>
      <c r="T255" s="363"/>
      <c r="U255" s="363"/>
      <c r="V255" s="363"/>
      <c r="W255" s="363"/>
      <c r="X255" s="363"/>
      <c r="Y255" s="363"/>
      <c r="Z255" s="363"/>
    </row>
    <row r="256" spans="1:26" ht="9.75" customHeight="1">
      <c r="A256" s="90"/>
      <c r="B256" s="90"/>
      <c r="C256" s="90"/>
      <c r="D256" s="90"/>
      <c r="E256" s="90"/>
      <c r="F256" s="90"/>
      <c r="G256" s="90"/>
      <c r="H256" s="363"/>
      <c r="I256" s="363"/>
      <c r="J256" s="363"/>
      <c r="K256" s="363"/>
      <c r="L256" s="363"/>
      <c r="M256" s="363"/>
      <c r="N256" s="363"/>
      <c r="O256" s="363"/>
      <c r="P256" s="363"/>
      <c r="Q256" s="363"/>
      <c r="R256" s="363"/>
      <c r="S256" s="363"/>
      <c r="T256" s="363"/>
      <c r="U256" s="363"/>
      <c r="V256" s="363"/>
      <c r="W256" s="363"/>
      <c r="X256" s="363"/>
      <c r="Y256" s="363"/>
      <c r="Z256" s="363"/>
    </row>
    <row r="257" spans="1:26" ht="9.75" customHeight="1">
      <c r="A257" s="90"/>
      <c r="B257" s="90"/>
      <c r="C257" s="90"/>
      <c r="D257" s="90"/>
      <c r="E257" s="90"/>
      <c r="F257" s="90"/>
      <c r="G257" s="90"/>
      <c r="H257" s="363"/>
      <c r="I257" s="363"/>
      <c r="J257" s="363"/>
      <c r="K257" s="363"/>
      <c r="L257" s="363"/>
      <c r="M257" s="363"/>
      <c r="N257" s="363"/>
      <c r="O257" s="363"/>
      <c r="P257" s="363"/>
      <c r="Q257" s="363"/>
      <c r="R257" s="363"/>
      <c r="S257" s="363"/>
      <c r="T257" s="363"/>
      <c r="U257" s="363"/>
      <c r="V257" s="363"/>
      <c r="W257" s="363"/>
      <c r="X257" s="363"/>
      <c r="Y257" s="363"/>
      <c r="Z257" s="363"/>
    </row>
    <row r="258" spans="1:26" ht="9.75" customHeight="1">
      <c r="A258" s="90"/>
      <c r="B258" s="90"/>
      <c r="C258" s="90"/>
      <c r="D258" s="90"/>
      <c r="E258" s="90"/>
      <c r="F258" s="90"/>
      <c r="G258" s="90"/>
      <c r="H258" s="363"/>
      <c r="I258" s="363"/>
      <c r="J258" s="363"/>
      <c r="K258" s="363"/>
      <c r="L258" s="363"/>
      <c r="M258" s="363"/>
      <c r="N258" s="363"/>
      <c r="O258" s="363"/>
      <c r="P258" s="363"/>
      <c r="Q258" s="363"/>
      <c r="R258" s="363"/>
      <c r="S258" s="363"/>
      <c r="T258" s="363"/>
      <c r="U258" s="363"/>
      <c r="V258" s="363"/>
      <c r="W258" s="363"/>
      <c r="X258" s="363"/>
      <c r="Y258" s="363"/>
      <c r="Z258" s="363"/>
    </row>
    <row r="259" spans="1:26" ht="9.75" customHeight="1">
      <c r="A259" s="90"/>
      <c r="B259" s="90"/>
      <c r="C259" s="90"/>
      <c r="D259" s="90"/>
      <c r="E259" s="90"/>
      <c r="F259" s="90"/>
      <c r="G259" s="90"/>
      <c r="H259" s="363"/>
      <c r="I259" s="363"/>
      <c r="J259" s="363"/>
      <c r="K259" s="363"/>
      <c r="L259" s="363"/>
      <c r="M259" s="363"/>
      <c r="N259" s="363"/>
      <c r="O259" s="363"/>
      <c r="P259" s="363"/>
      <c r="Q259" s="363"/>
      <c r="R259" s="363"/>
      <c r="S259" s="363"/>
      <c r="T259" s="363"/>
      <c r="U259" s="363"/>
      <c r="V259" s="363"/>
      <c r="W259" s="363"/>
      <c r="X259" s="363"/>
      <c r="Y259" s="363"/>
      <c r="Z259" s="363"/>
    </row>
    <row r="260" spans="1:26" ht="9.75" customHeight="1">
      <c r="A260" s="90"/>
      <c r="B260" s="90"/>
      <c r="C260" s="90"/>
      <c r="D260" s="90"/>
      <c r="E260" s="90"/>
      <c r="F260" s="90"/>
      <c r="G260" s="90"/>
      <c r="H260" s="363"/>
      <c r="I260" s="363"/>
      <c r="J260" s="363"/>
      <c r="K260" s="363"/>
      <c r="L260" s="363"/>
      <c r="M260" s="363"/>
      <c r="N260" s="363"/>
      <c r="O260" s="363"/>
      <c r="P260" s="363"/>
      <c r="Q260" s="363"/>
      <c r="R260" s="363"/>
      <c r="S260" s="363"/>
      <c r="T260" s="363"/>
      <c r="U260" s="363"/>
      <c r="V260" s="363"/>
      <c r="W260" s="363"/>
      <c r="X260" s="363"/>
      <c r="Y260" s="363"/>
      <c r="Z260" s="363"/>
    </row>
    <row r="261" spans="1:26" ht="9.75" customHeight="1">
      <c r="A261" s="90"/>
      <c r="B261" s="90"/>
      <c r="C261" s="90"/>
      <c r="D261" s="90"/>
      <c r="E261" s="90"/>
      <c r="F261" s="90"/>
      <c r="G261" s="90"/>
      <c r="H261" s="363"/>
      <c r="I261" s="363"/>
      <c r="J261" s="363"/>
      <c r="K261" s="363"/>
      <c r="L261" s="363"/>
      <c r="M261" s="363"/>
      <c r="N261" s="363"/>
      <c r="O261" s="363"/>
      <c r="P261" s="363"/>
      <c r="Q261" s="363"/>
      <c r="R261" s="363"/>
      <c r="S261" s="363"/>
      <c r="T261" s="363"/>
      <c r="U261" s="363"/>
      <c r="V261" s="363"/>
      <c r="W261" s="363"/>
      <c r="X261" s="363"/>
      <c r="Y261" s="363"/>
      <c r="Z261" s="363"/>
    </row>
    <row r="262" spans="1:26" ht="9.75" customHeight="1">
      <c r="A262" s="90"/>
      <c r="B262" s="90"/>
      <c r="C262" s="90"/>
      <c r="D262" s="90"/>
      <c r="E262" s="90"/>
      <c r="F262" s="90"/>
      <c r="G262" s="90"/>
      <c r="H262" s="363"/>
      <c r="I262" s="363"/>
      <c r="J262" s="363"/>
      <c r="K262" s="363"/>
      <c r="L262" s="363"/>
      <c r="M262" s="363"/>
      <c r="N262" s="363"/>
      <c r="O262" s="363"/>
      <c r="P262" s="363"/>
      <c r="Q262" s="363"/>
      <c r="R262" s="363"/>
      <c r="S262" s="363"/>
      <c r="T262" s="363"/>
      <c r="U262" s="363"/>
      <c r="V262" s="363"/>
      <c r="W262" s="363"/>
      <c r="X262" s="363"/>
      <c r="Y262" s="363"/>
      <c r="Z262" s="363"/>
    </row>
    <row r="263" spans="1:26" ht="9.75" customHeight="1">
      <c r="A263" s="90"/>
      <c r="B263" s="90"/>
      <c r="C263" s="90"/>
      <c r="D263" s="90"/>
      <c r="E263" s="90"/>
      <c r="F263" s="90"/>
      <c r="G263" s="90"/>
      <c r="H263" s="363"/>
      <c r="I263" s="363"/>
      <c r="J263" s="363"/>
      <c r="K263" s="363"/>
      <c r="L263" s="363"/>
      <c r="M263" s="363"/>
      <c r="N263" s="363"/>
      <c r="O263" s="363"/>
      <c r="P263" s="363"/>
      <c r="Q263" s="363"/>
      <c r="R263" s="363"/>
      <c r="S263" s="363"/>
      <c r="T263" s="363"/>
      <c r="U263" s="363"/>
      <c r="V263" s="363"/>
      <c r="W263" s="363"/>
      <c r="X263" s="363"/>
      <c r="Y263" s="363"/>
      <c r="Z263" s="363"/>
    </row>
    <row r="264" spans="1:26" ht="9.75" customHeight="1">
      <c r="A264" s="90"/>
      <c r="B264" s="90"/>
      <c r="C264" s="90"/>
      <c r="D264" s="90"/>
      <c r="E264" s="90"/>
      <c r="F264" s="90"/>
      <c r="G264" s="90"/>
      <c r="H264" s="363"/>
      <c r="I264" s="363"/>
      <c r="J264" s="363"/>
      <c r="K264" s="363"/>
      <c r="L264" s="363"/>
      <c r="M264" s="363"/>
      <c r="N264" s="363"/>
      <c r="O264" s="363"/>
      <c r="P264" s="363"/>
      <c r="Q264" s="363"/>
      <c r="R264" s="363"/>
      <c r="S264" s="363"/>
      <c r="T264" s="363"/>
      <c r="U264" s="363"/>
      <c r="V264" s="363"/>
      <c r="W264" s="363"/>
      <c r="X264" s="363"/>
      <c r="Y264" s="363"/>
      <c r="Z264" s="363"/>
    </row>
    <row r="265" spans="1:26" ht="9.75" customHeight="1">
      <c r="A265" s="90"/>
      <c r="B265" s="90"/>
      <c r="C265" s="90"/>
      <c r="D265" s="90"/>
      <c r="E265" s="90"/>
      <c r="F265" s="90"/>
      <c r="G265" s="90"/>
      <c r="H265" s="363"/>
      <c r="I265" s="363"/>
      <c r="J265" s="363"/>
      <c r="K265" s="363"/>
      <c r="L265" s="363"/>
      <c r="M265" s="363"/>
      <c r="N265" s="363"/>
      <c r="O265" s="363"/>
      <c r="P265" s="363"/>
      <c r="Q265" s="363"/>
      <c r="R265" s="363"/>
      <c r="S265" s="363"/>
      <c r="T265" s="363"/>
      <c r="U265" s="363"/>
      <c r="V265" s="363"/>
      <c r="W265" s="363"/>
      <c r="X265" s="363"/>
      <c r="Y265" s="363"/>
      <c r="Z265" s="363"/>
    </row>
    <row r="266" spans="1:26" ht="9.75" customHeight="1">
      <c r="A266" s="90"/>
      <c r="B266" s="90"/>
      <c r="C266" s="90"/>
      <c r="D266" s="90"/>
      <c r="E266" s="90"/>
      <c r="F266" s="90"/>
      <c r="G266" s="90"/>
      <c r="H266" s="363"/>
      <c r="I266" s="363"/>
      <c r="J266" s="363"/>
      <c r="K266" s="363"/>
      <c r="L266" s="363"/>
      <c r="M266" s="363"/>
      <c r="N266" s="363"/>
      <c r="O266" s="363"/>
      <c r="P266" s="363"/>
      <c r="Q266" s="363"/>
      <c r="R266" s="363"/>
      <c r="S266" s="363"/>
      <c r="T266" s="363"/>
      <c r="U266" s="363"/>
      <c r="V266" s="363"/>
      <c r="W266" s="363"/>
      <c r="X266" s="363"/>
      <c r="Y266" s="363"/>
      <c r="Z266" s="363"/>
    </row>
    <row r="267" spans="1:26" ht="9.75" customHeight="1">
      <c r="A267" s="90"/>
      <c r="B267" s="90"/>
      <c r="C267" s="90"/>
      <c r="D267" s="90"/>
      <c r="E267" s="90"/>
      <c r="F267" s="90"/>
      <c r="G267" s="90"/>
      <c r="H267" s="363"/>
      <c r="I267" s="363"/>
      <c r="J267" s="363"/>
      <c r="K267" s="363"/>
      <c r="L267" s="363"/>
      <c r="M267" s="363"/>
      <c r="N267" s="363"/>
      <c r="O267" s="363"/>
      <c r="P267" s="363"/>
      <c r="Q267" s="363"/>
      <c r="R267" s="363"/>
      <c r="S267" s="363"/>
      <c r="T267" s="363"/>
      <c r="U267" s="363"/>
      <c r="V267" s="363"/>
      <c r="W267" s="363"/>
      <c r="X267" s="363"/>
      <c r="Y267" s="363"/>
      <c r="Z267" s="363"/>
    </row>
    <row r="268" spans="1:26" ht="9.75" customHeight="1">
      <c r="A268" s="90"/>
      <c r="B268" s="90"/>
      <c r="C268" s="90"/>
      <c r="D268" s="90"/>
      <c r="E268" s="90"/>
      <c r="F268" s="90"/>
      <c r="G268" s="90"/>
      <c r="H268" s="363"/>
      <c r="I268" s="363"/>
      <c r="J268" s="363"/>
      <c r="K268" s="363"/>
      <c r="L268" s="363"/>
      <c r="M268" s="363"/>
      <c r="N268" s="363"/>
      <c r="O268" s="363"/>
      <c r="P268" s="363"/>
      <c r="Q268" s="363"/>
      <c r="R268" s="363"/>
      <c r="S268" s="363"/>
      <c r="T268" s="363"/>
      <c r="U268" s="363"/>
      <c r="V268" s="363"/>
      <c r="W268" s="363"/>
      <c r="X268" s="363"/>
      <c r="Y268" s="363"/>
      <c r="Z268" s="363"/>
    </row>
    <row r="269" spans="1:26" ht="9.75" customHeight="1">
      <c r="A269" s="90"/>
      <c r="B269" s="90"/>
      <c r="C269" s="90"/>
      <c r="D269" s="90"/>
      <c r="E269" s="90"/>
      <c r="F269" s="90"/>
      <c r="G269" s="90"/>
      <c r="H269" s="363"/>
      <c r="I269" s="363"/>
      <c r="J269" s="363"/>
      <c r="K269" s="363"/>
      <c r="L269" s="363"/>
      <c r="M269" s="363"/>
      <c r="N269" s="363"/>
      <c r="O269" s="363"/>
      <c r="P269" s="363"/>
      <c r="Q269" s="363"/>
      <c r="R269" s="363"/>
      <c r="S269" s="363"/>
      <c r="T269" s="363"/>
      <c r="U269" s="363"/>
      <c r="V269" s="363"/>
      <c r="W269" s="363"/>
      <c r="X269" s="363"/>
      <c r="Y269" s="363"/>
      <c r="Z269" s="363"/>
    </row>
    <row r="270" spans="1:26" ht="9.75" customHeight="1">
      <c r="A270" s="90"/>
      <c r="B270" s="90"/>
      <c r="C270" s="90"/>
      <c r="D270" s="90"/>
      <c r="E270" s="90"/>
      <c r="F270" s="90"/>
      <c r="G270" s="90"/>
      <c r="H270" s="363"/>
      <c r="I270" s="363"/>
      <c r="J270" s="363"/>
      <c r="K270" s="363"/>
      <c r="L270" s="363"/>
      <c r="M270" s="363"/>
      <c r="N270" s="363"/>
      <c r="O270" s="363"/>
      <c r="P270" s="363"/>
      <c r="Q270" s="363"/>
      <c r="R270" s="363"/>
      <c r="S270" s="363"/>
      <c r="T270" s="363"/>
      <c r="U270" s="363"/>
      <c r="V270" s="363"/>
      <c r="W270" s="363"/>
      <c r="X270" s="363"/>
      <c r="Y270" s="363"/>
      <c r="Z270" s="363"/>
    </row>
    <row r="271" spans="1:26" ht="9.75" customHeight="1">
      <c r="A271" s="90"/>
      <c r="B271" s="90"/>
      <c r="C271" s="90"/>
      <c r="D271" s="90"/>
      <c r="E271" s="90"/>
      <c r="F271" s="90"/>
      <c r="G271" s="90"/>
      <c r="H271" s="363"/>
      <c r="I271" s="363"/>
      <c r="J271" s="363"/>
      <c r="K271" s="363"/>
      <c r="L271" s="363"/>
      <c r="M271" s="363"/>
      <c r="N271" s="363"/>
      <c r="O271" s="363"/>
      <c r="P271" s="363"/>
      <c r="Q271" s="363"/>
      <c r="R271" s="363"/>
      <c r="S271" s="363"/>
      <c r="T271" s="363"/>
      <c r="U271" s="363"/>
      <c r="V271" s="363"/>
      <c r="W271" s="363"/>
      <c r="X271" s="363"/>
      <c r="Y271" s="363"/>
      <c r="Z271" s="363"/>
    </row>
    <row r="272" spans="1:26" ht="9.75" customHeight="1">
      <c r="A272" s="90"/>
      <c r="B272" s="90"/>
      <c r="C272" s="90"/>
      <c r="D272" s="90"/>
      <c r="E272" s="90"/>
      <c r="F272" s="90"/>
      <c r="G272" s="90"/>
      <c r="H272" s="363"/>
      <c r="I272" s="363"/>
      <c r="J272" s="363"/>
      <c r="K272" s="363"/>
      <c r="L272" s="363"/>
      <c r="M272" s="363"/>
      <c r="N272" s="363"/>
      <c r="O272" s="363"/>
      <c r="P272" s="363"/>
      <c r="Q272" s="363"/>
      <c r="R272" s="363"/>
      <c r="S272" s="363"/>
      <c r="T272" s="363"/>
      <c r="U272" s="363"/>
      <c r="V272" s="363"/>
      <c r="W272" s="363"/>
      <c r="X272" s="363"/>
      <c r="Y272" s="363"/>
      <c r="Z272" s="363"/>
    </row>
    <row r="273" spans="1:26" ht="9.75" customHeight="1">
      <c r="A273" s="90"/>
      <c r="B273" s="90"/>
      <c r="C273" s="90"/>
      <c r="D273" s="90"/>
      <c r="E273" s="90"/>
      <c r="F273" s="90"/>
      <c r="G273" s="90"/>
      <c r="H273" s="363"/>
      <c r="I273" s="363"/>
      <c r="J273" s="363"/>
      <c r="K273" s="363"/>
      <c r="L273" s="363"/>
      <c r="M273" s="363"/>
      <c r="N273" s="363"/>
      <c r="O273" s="363"/>
      <c r="P273" s="363"/>
      <c r="Q273" s="363"/>
      <c r="R273" s="363"/>
      <c r="S273" s="363"/>
      <c r="T273" s="363"/>
      <c r="U273" s="363"/>
      <c r="V273" s="363"/>
      <c r="W273" s="363"/>
      <c r="X273" s="363"/>
      <c r="Y273" s="363"/>
      <c r="Z273" s="363"/>
    </row>
    <row r="274" spans="1:26" ht="9.75" customHeight="1">
      <c r="A274" s="90"/>
      <c r="B274" s="90"/>
      <c r="C274" s="90"/>
      <c r="D274" s="90"/>
      <c r="E274" s="90"/>
      <c r="F274" s="90"/>
      <c r="G274" s="90"/>
      <c r="H274" s="363"/>
      <c r="I274" s="363"/>
      <c r="J274" s="363"/>
      <c r="K274" s="363"/>
      <c r="L274" s="363"/>
      <c r="M274" s="363"/>
      <c r="N274" s="363"/>
      <c r="O274" s="363"/>
      <c r="P274" s="363"/>
      <c r="Q274" s="363"/>
      <c r="R274" s="363"/>
      <c r="S274" s="363"/>
      <c r="T274" s="363"/>
      <c r="U274" s="363"/>
      <c r="V274" s="363"/>
      <c r="W274" s="363"/>
      <c r="X274" s="363"/>
      <c r="Y274" s="363"/>
      <c r="Z274" s="363"/>
    </row>
    <row r="275" spans="1:26" ht="9.75" customHeight="1">
      <c r="A275" s="90"/>
      <c r="B275" s="90"/>
      <c r="C275" s="90"/>
      <c r="D275" s="90"/>
      <c r="E275" s="90"/>
      <c r="F275" s="90"/>
      <c r="G275" s="90"/>
      <c r="H275" s="363"/>
      <c r="I275" s="363"/>
      <c r="J275" s="363"/>
      <c r="K275" s="363"/>
      <c r="L275" s="363"/>
      <c r="M275" s="363"/>
      <c r="N275" s="363"/>
      <c r="O275" s="363"/>
      <c r="P275" s="363"/>
      <c r="Q275" s="363"/>
      <c r="R275" s="363"/>
      <c r="S275" s="363"/>
      <c r="T275" s="363"/>
      <c r="U275" s="363"/>
      <c r="V275" s="363"/>
      <c r="W275" s="363"/>
      <c r="X275" s="363"/>
      <c r="Y275" s="363"/>
      <c r="Z275" s="363"/>
    </row>
    <row r="276" spans="1:26" ht="9.75" customHeight="1">
      <c r="A276" s="90"/>
      <c r="B276" s="90"/>
      <c r="C276" s="90"/>
      <c r="D276" s="90"/>
      <c r="E276" s="90"/>
      <c r="F276" s="90"/>
      <c r="G276" s="90"/>
      <c r="H276" s="363"/>
      <c r="I276" s="363"/>
      <c r="J276" s="363"/>
      <c r="K276" s="363"/>
      <c r="L276" s="363"/>
      <c r="M276" s="363"/>
      <c r="N276" s="363"/>
      <c r="O276" s="363"/>
      <c r="P276" s="363"/>
      <c r="Q276" s="363"/>
      <c r="R276" s="363"/>
      <c r="S276" s="363"/>
      <c r="T276" s="363"/>
      <c r="U276" s="363"/>
      <c r="V276" s="363"/>
      <c r="W276" s="363"/>
      <c r="X276" s="363"/>
      <c r="Y276" s="363"/>
      <c r="Z276" s="363"/>
    </row>
    <row r="277" spans="1:26" ht="9.75" customHeight="1">
      <c r="A277" s="90"/>
      <c r="B277" s="90"/>
      <c r="C277" s="90"/>
      <c r="D277" s="90"/>
      <c r="E277" s="90"/>
      <c r="F277" s="90"/>
      <c r="G277" s="90"/>
      <c r="H277" s="363"/>
      <c r="I277" s="363"/>
      <c r="J277" s="363"/>
      <c r="K277" s="363"/>
      <c r="L277" s="363"/>
      <c r="M277" s="363"/>
      <c r="N277" s="363"/>
      <c r="O277" s="363"/>
      <c r="P277" s="363"/>
      <c r="Q277" s="363"/>
      <c r="R277" s="363"/>
      <c r="S277" s="363"/>
      <c r="T277" s="363"/>
      <c r="U277" s="363"/>
      <c r="V277" s="363"/>
      <c r="W277" s="363"/>
      <c r="X277" s="363"/>
      <c r="Y277" s="363"/>
      <c r="Z277" s="363"/>
    </row>
    <row r="278" spans="1:26" ht="9.75" customHeight="1">
      <c r="A278" s="90"/>
      <c r="B278" s="90"/>
      <c r="C278" s="90"/>
      <c r="D278" s="90"/>
      <c r="E278" s="90"/>
      <c r="F278" s="90"/>
      <c r="G278" s="90"/>
      <c r="H278" s="363"/>
      <c r="I278" s="363"/>
      <c r="J278" s="363"/>
      <c r="K278" s="363"/>
      <c r="L278" s="363"/>
      <c r="M278" s="363"/>
      <c r="N278" s="363"/>
      <c r="O278" s="363"/>
      <c r="P278" s="363"/>
      <c r="Q278" s="363"/>
      <c r="R278" s="363"/>
      <c r="S278" s="363"/>
      <c r="T278" s="363"/>
      <c r="U278" s="363"/>
      <c r="V278" s="363"/>
      <c r="W278" s="363"/>
      <c r="X278" s="363"/>
      <c r="Y278" s="363"/>
      <c r="Z278" s="363"/>
    </row>
    <row r="279" spans="1:26" ht="9.75" customHeight="1">
      <c r="A279" s="90"/>
      <c r="B279" s="90"/>
      <c r="C279" s="90"/>
      <c r="D279" s="90"/>
      <c r="E279" s="90"/>
      <c r="F279" s="90"/>
      <c r="G279" s="90"/>
      <c r="H279" s="363"/>
      <c r="I279" s="363"/>
      <c r="J279" s="363"/>
      <c r="K279" s="363"/>
      <c r="L279" s="363"/>
      <c r="M279" s="363"/>
      <c r="N279" s="363"/>
      <c r="O279" s="363"/>
      <c r="P279" s="363"/>
      <c r="Q279" s="363"/>
      <c r="R279" s="363"/>
      <c r="S279" s="363"/>
      <c r="T279" s="363"/>
      <c r="U279" s="363"/>
      <c r="V279" s="363"/>
      <c r="W279" s="363"/>
      <c r="X279" s="363"/>
      <c r="Y279" s="363"/>
      <c r="Z279" s="363"/>
    </row>
    <row r="280" spans="1:26" ht="9.75" customHeight="1">
      <c r="A280" s="90"/>
      <c r="B280" s="90"/>
      <c r="C280" s="90"/>
      <c r="D280" s="90"/>
      <c r="E280" s="90"/>
      <c r="F280" s="90"/>
      <c r="G280" s="90"/>
      <c r="H280" s="363"/>
      <c r="I280" s="363"/>
      <c r="J280" s="363"/>
      <c r="K280" s="363"/>
      <c r="L280" s="363"/>
      <c r="M280" s="363"/>
      <c r="N280" s="363"/>
      <c r="O280" s="363"/>
      <c r="P280" s="363"/>
      <c r="Q280" s="363"/>
      <c r="R280" s="363"/>
      <c r="S280" s="363"/>
      <c r="T280" s="363"/>
      <c r="U280" s="363"/>
      <c r="V280" s="363"/>
      <c r="W280" s="363"/>
      <c r="X280" s="363"/>
      <c r="Y280" s="363"/>
      <c r="Z280" s="363"/>
    </row>
    <row r="281" spans="1:26" ht="9.75" customHeight="1">
      <c r="A281" s="90"/>
      <c r="B281" s="90"/>
      <c r="C281" s="90"/>
      <c r="D281" s="90"/>
      <c r="E281" s="90"/>
      <c r="F281" s="90"/>
      <c r="G281" s="90"/>
      <c r="H281" s="363"/>
      <c r="I281" s="363"/>
      <c r="J281" s="363"/>
      <c r="K281" s="363"/>
      <c r="L281" s="363"/>
      <c r="M281" s="363"/>
      <c r="N281" s="363"/>
      <c r="O281" s="363"/>
      <c r="P281" s="363"/>
      <c r="Q281" s="363"/>
      <c r="R281" s="363"/>
      <c r="S281" s="363"/>
      <c r="T281" s="363"/>
      <c r="U281" s="363"/>
      <c r="V281" s="363"/>
      <c r="W281" s="363"/>
      <c r="X281" s="363"/>
      <c r="Y281" s="363"/>
      <c r="Z281" s="363"/>
    </row>
    <row r="282" spans="1:26" ht="9.75" customHeight="1">
      <c r="A282" s="90"/>
      <c r="B282" s="90"/>
      <c r="C282" s="90"/>
      <c r="D282" s="90"/>
      <c r="E282" s="90"/>
      <c r="F282" s="90"/>
      <c r="G282" s="90"/>
      <c r="H282" s="363"/>
      <c r="I282" s="363"/>
      <c r="J282" s="363"/>
      <c r="K282" s="363"/>
      <c r="L282" s="363"/>
      <c r="M282" s="363"/>
      <c r="N282" s="363"/>
      <c r="O282" s="363"/>
      <c r="P282" s="363"/>
      <c r="Q282" s="363"/>
      <c r="R282" s="363"/>
      <c r="S282" s="363"/>
      <c r="T282" s="363"/>
      <c r="U282" s="363"/>
      <c r="V282" s="363"/>
      <c r="W282" s="363"/>
      <c r="X282" s="363"/>
      <c r="Y282" s="363"/>
      <c r="Z282" s="363"/>
    </row>
    <row r="283" spans="1:26" ht="9.75" customHeight="1">
      <c r="A283" s="90"/>
      <c r="B283" s="90"/>
      <c r="C283" s="90"/>
      <c r="D283" s="90"/>
      <c r="E283" s="90"/>
      <c r="F283" s="90"/>
      <c r="G283" s="90"/>
      <c r="H283" s="363"/>
      <c r="I283" s="363"/>
      <c r="J283" s="363"/>
      <c r="K283" s="363"/>
      <c r="L283" s="363"/>
      <c r="M283" s="363"/>
      <c r="N283" s="363"/>
      <c r="O283" s="363"/>
      <c r="P283" s="363"/>
      <c r="Q283" s="363"/>
      <c r="R283" s="363"/>
      <c r="S283" s="363"/>
      <c r="T283" s="363"/>
      <c r="U283" s="363"/>
      <c r="V283" s="363"/>
      <c r="W283" s="363"/>
      <c r="X283" s="363"/>
      <c r="Y283" s="363"/>
      <c r="Z283" s="363"/>
    </row>
    <row r="284" spans="1:26" ht="9.75" customHeight="1">
      <c r="A284" s="90"/>
      <c r="B284" s="90"/>
      <c r="C284" s="90"/>
      <c r="D284" s="90"/>
      <c r="E284" s="90"/>
      <c r="F284" s="90"/>
      <c r="G284" s="90"/>
      <c r="H284" s="363"/>
      <c r="I284" s="363"/>
      <c r="J284" s="363"/>
      <c r="K284" s="363"/>
      <c r="L284" s="363"/>
      <c r="M284" s="363"/>
      <c r="N284" s="363"/>
      <c r="O284" s="363"/>
      <c r="P284" s="363"/>
      <c r="Q284" s="363"/>
      <c r="R284" s="363"/>
      <c r="S284" s="363"/>
      <c r="T284" s="363"/>
      <c r="U284" s="363"/>
      <c r="V284" s="363"/>
      <c r="W284" s="363"/>
      <c r="X284" s="363"/>
      <c r="Y284" s="363"/>
      <c r="Z284" s="363"/>
    </row>
    <row r="285" spans="1:26" ht="9.75" customHeight="1">
      <c r="A285" s="90"/>
      <c r="B285" s="90"/>
      <c r="C285" s="90"/>
      <c r="D285" s="90"/>
      <c r="E285" s="90"/>
      <c r="F285" s="90"/>
      <c r="G285" s="90"/>
      <c r="H285" s="363"/>
      <c r="I285" s="363"/>
      <c r="J285" s="363"/>
      <c r="K285" s="363"/>
      <c r="L285" s="363"/>
      <c r="M285" s="363"/>
      <c r="N285" s="363"/>
      <c r="O285" s="363"/>
      <c r="P285" s="363"/>
      <c r="Q285" s="363"/>
      <c r="R285" s="363"/>
      <c r="S285" s="363"/>
      <c r="T285" s="363"/>
      <c r="U285" s="363"/>
      <c r="V285" s="363"/>
      <c r="W285" s="363"/>
      <c r="X285" s="363"/>
      <c r="Y285" s="363"/>
      <c r="Z285" s="363"/>
    </row>
    <row r="286" spans="1:26" ht="9.75" customHeight="1">
      <c r="A286" s="90"/>
      <c r="B286" s="90"/>
      <c r="C286" s="90"/>
      <c r="D286" s="90"/>
      <c r="E286" s="90"/>
      <c r="F286" s="90"/>
      <c r="G286" s="90"/>
      <c r="H286" s="363"/>
      <c r="I286" s="363"/>
      <c r="J286" s="363"/>
      <c r="K286" s="363"/>
      <c r="L286" s="363"/>
      <c r="M286" s="363"/>
      <c r="N286" s="363"/>
      <c r="O286" s="363"/>
      <c r="P286" s="363"/>
      <c r="Q286" s="363"/>
      <c r="R286" s="363"/>
      <c r="S286" s="363"/>
      <c r="T286" s="363"/>
      <c r="U286" s="363"/>
      <c r="V286" s="363"/>
      <c r="W286" s="363"/>
      <c r="X286" s="363"/>
      <c r="Y286" s="363"/>
      <c r="Z286" s="363"/>
    </row>
    <row r="287" spans="1:26" ht="9.75" customHeight="1">
      <c r="A287" s="90"/>
      <c r="B287" s="90"/>
      <c r="C287" s="90"/>
      <c r="D287" s="90"/>
      <c r="E287" s="90"/>
      <c r="F287" s="90"/>
      <c r="G287" s="90"/>
      <c r="H287" s="363"/>
      <c r="I287" s="363"/>
      <c r="J287" s="363"/>
      <c r="K287" s="363"/>
      <c r="L287" s="363"/>
      <c r="M287" s="363"/>
      <c r="N287" s="363"/>
      <c r="O287" s="363"/>
      <c r="P287" s="363"/>
      <c r="Q287" s="363"/>
      <c r="R287" s="363"/>
      <c r="S287" s="363"/>
      <c r="T287" s="363"/>
      <c r="U287" s="363"/>
      <c r="V287" s="363"/>
      <c r="W287" s="363"/>
      <c r="X287" s="363"/>
      <c r="Y287" s="363"/>
      <c r="Z287" s="363"/>
    </row>
    <row r="288" spans="1:26" ht="9.75" customHeight="1">
      <c r="A288" s="90"/>
      <c r="B288" s="90"/>
      <c r="C288" s="90"/>
      <c r="D288" s="90"/>
      <c r="E288" s="90"/>
      <c r="F288" s="90"/>
      <c r="G288" s="90"/>
      <c r="H288" s="363"/>
      <c r="I288" s="363"/>
      <c r="J288" s="363"/>
      <c r="K288" s="363"/>
      <c r="L288" s="363"/>
      <c r="M288" s="363"/>
      <c r="N288" s="363"/>
      <c r="O288" s="363"/>
      <c r="P288" s="363"/>
      <c r="Q288" s="363"/>
      <c r="R288" s="363"/>
      <c r="S288" s="363"/>
      <c r="T288" s="363"/>
      <c r="U288" s="363"/>
      <c r="V288" s="363"/>
      <c r="W288" s="363"/>
      <c r="X288" s="363"/>
      <c r="Y288" s="363"/>
      <c r="Z288" s="363"/>
    </row>
    <row r="289" spans="1:26" ht="9.75" customHeight="1">
      <c r="A289" s="90"/>
      <c r="B289" s="90"/>
      <c r="C289" s="90"/>
      <c r="D289" s="90"/>
      <c r="E289" s="90"/>
      <c r="F289" s="90"/>
      <c r="G289" s="90"/>
      <c r="H289" s="363"/>
      <c r="I289" s="363"/>
      <c r="J289" s="363"/>
      <c r="K289" s="363"/>
      <c r="L289" s="363"/>
      <c r="M289" s="363"/>
      <c r="N289" s="363"/>
      <c r="O289" s="363"/>
      <c r="P289" s="363"/>
      <c r="Q289" s="363"/>
      <c r="R289" s="363"/>
      <c r="S289" s="363"/>
      <c r="T289" s="363"/>
      <c r="U289" s="363"/>
      <c r="V289" s="363"/>
      <c r="W289" s="363"/>
      <c r="X289" s="363"/>
      <c r="Y289" s="363"/>
      <c r="Z289" s="363"/>
    </row>
    <row r="290" spans="1:26" ht="9.75" customHeight="1">
      <c r="A290" s="90"/>
      <c r="B290" s="90"/>
      <c r="C290" s="90"/>
      <c r="D290" s="90"/>
      <c r="E290" s="90"/>
      <c r="F290" s="90"/>
      <c r="G290" s="90"/>
      <c r="H290" s="363"/>
      <c r="I290" s="363"/>
      <c r="J290" s="363"/>
      <c r="K290" s="363"/>
      <c r="L290" s="363"/>
      <c r="M290" s="363"/>
      <c r="N290" s="363"/>
      <c r="O290" s="363"/>
      <c r="P290" s="363"/>
      <c r="Q290" s="363"/>
      <c r="R290" s="363"/>
      <c r="S290" s="363"/>
      <c r="T290" s="363"/>
      <c r="U290" s="363"/>
      <c r="V290" s="363"/>
      <c r="W290" s="363"/>
      <c r="X290" s="363"/>
      <c r="Y290" s="363"/>
      <c r="Z290" s="363"/>
    </row>
    <row r="291" spans="1:26" ht="9.75" customHeight="1">
      <c r="A291" s="90"/>
      <c r="B291" s="90"/>
      <c r="C291" s="90"/>
      <c r="D291" s="90"/>
      <c r="E291" s="90"/>
      <c r="F291" s="90"/>
      <c r="G291" s="90"/>
      <c r="H291" s="363"/>
      <c r="I291" s="363"/>
      <c r="J291" s="363"/>
      <c r="K291" s="363"/>
      <c r="L291" s="363"/>
      <c r="M291" s="363"/>
      <c r="N291" s="363"/>
      <c r="O291" s="363"/>
      <c r="P291" s="363"/>
      <c r="Q291" s="363"/>
      <c r="R291" s="363"/>
      <c r="S291" s="363"/>
      <c r="T291" s="363"/>
      <c r="U291" s="363"/>
      <c r="V291" s="363"/>
      <c r="W291" s="363"/>
      <c r="X291" s="363"/>
      <c r="Y291" s="363"/>
      <c r="Z291" s="363"/>
    </row>
    <row r="292" spans="1:26" ht="9.75" customHeight="1">
      <c r="A292" s="90"/>
      <c r="B292" s="90"/>
      <c r="C292" s="90"/>
      <c r="D292" s="90"/>
      <c r="E292" s="90"/>
      <c r="F292" s="90"/>
      <c r="G292" s="90"/>
      <c r="H292" s="363"/>
      <c r="I292" s="363"/>
      <c r="J292" s="363"/>
      <c r="K292" s="363"/>
      <c r="L292" s="363"/>
      <c r="M292" s="363"/>
      <c r="N292" s="363"/>
      <c r="O292" s="363"/>
      <c r="P292" s="363"/>
      <c r="Q292" s="363"/>
      <c r="R292" s="363"/>
      <c r="S292" s="363"/>
      <c r="T292" s="363"/>
      <c r="U292" s="363"/>
      <c r="V292" s="363"/>
      <c r="W292" s="363"/>
      <c r="X292" s="363"/>
      <c r="Y292" s="363"/>
      <c r="Z292" s="363"/>
    </row>
    <row r="293" spans="1:26" ht="9.75" customHeight="1">
      <c r="A293" s="90"/>
      <c r="B293" s="90"/>
      <c r="C293" s="90"/>
      <c r="D293" s="90"/>
      <c r="E293" s="90"/>
      <c r="F293" s="90"/>
      <c r="G293" s="90"/>
      <c r="H293" s="363"/>
      <c r="I293" s="363"/>
      <c r="J293" s="363"/>
      <c r="K293" s="363"/>
      <c r="L293" s="363"/>
      <c r="M293" s="363"/>
      <c r="N293" s="363"/>
      <c r="O293" s="363"/>
      <c r="P293" s="363"/>
      <c r="Q293" s="363"/>
      <c r="R293" s="363"/>
      <c r="S293" s="363"/>
      <c r="T293" s="363"/>
      <c r="U293" s="363"/>
      <c r="V293" s="363"/>
      <c r="W293" s="363"/>
      <c r="X293" s="363"/>
      <c r="Y293" s="363"/>
      <c r="Z293" s="363"/>
    </row>
    <row r="294" spans="1:26" ht="9.75" customHeight="1">
      <c r="A294" s="90"/>
      <c r="B294" s="90"/>
      <c r="C294" s="90"/>
      <c r="D294" s="90"/>
      <c r="E294" s="90"/>
      <c r="F294" s="90"/>
      <c r="G294" s="90"/>
      <c r="H294" s="363"/>
      <c r="I294" s="363"/>
      <c r="J294" s="363"/>
      <c r="K294" s="363"/>
      <c r="L294" s="363"/>
      <c r="M294" s="363"/>
      <c r="N294" s="363"/>
      <c r="O294" s="363"/>
      <c r="P294" s="363"/>
      <c r="Q294" s="363"/>
      <c r="R294" s="363"/>
      <c r="S294" s="363"/>
      <c r="T294" s="363"/>
      <c r="U294" s="363"/>
      <c r="V294" s="363"/>
      <c r="W294" s="363"/>
      <c r="X294" s="363"/>
      <c r="Y294" s="363"/>
      <c r="Z294" s="363"/>
    </row>
    <row r="295" spans="1:26" ht="9.75" customHeight="1">
      <c r="A295" s="90"/>
      <c r="B295" s="90"/>
      <c r="C295" s="90"/>
      <c r="D295" s="90"/>
      <c r="E295" s="90"/>
      <c r="F295" s="90"/>
      <c r="G295" s="90"/>
      <c r="H295" s="363"/>
      <c r="I295" s="363"/>
      <c r="J295" s="363"/>
      <c r="K295" s="363"/>
      <c r="L295" s="363"/>
      <c r="M295" s="363"/>
      <c r="N295" s="363"/>
      <c r="O295" s="363"/>
      <c r="P295" s="363"/>
      <c r="Q295" s="363"/>
      <c r="R295" s="363"/>
      <c r="S295" s="363"/>
      <c r="T295" s="363"/>
      <c r="U295" s="363"/>
      <c r="V295" s="363"/>
      <c r="W295" s="363"/>
      <c r="X295" s="363"/>
      <c r="Y295" s="363"/>
      <c r="Z295" s="363"/>
    </row>
    <row r="296" spans="1:26" ht="9.75" customHeight="1">
      <c r="A296" s="90"/>
      <c r="B296" s="90"/>
      <c r="C296" s="90"/>
      <c r="D296" s="90"/>
      <c r="E296" s="90"/>
      <c r="F296" s="90"/>
      <c r="G296" s="90"/>
      <c r="H296" s="363"/>
      <c r="I296" s="363"/>
      <c r="J296" s="363"/>
      <c r="K296" s="363"/>
      <c r="L296" s="363"/>
      <c r="M296" s="363"/>
      <c r="N296" s="363"/>
      <c r="O296" s="363"/>
      <c r="P296" s="363"/>
      <c r="Q296" s="363"/>
      <c r="R296" s="363"/>
      <c r="S296" s="363"/>
      <c r="T296" s="363"/>
      <c r="U296" s="363"/>
      <c r="V296" s="363"/>
      <c r="W296" s="363"/>
      <c r="X296" s="363"/>
      <c r="Y296" s="363"/>
      <c r="Z296" s="363"/>
    </row>
    <row r="297" spans="1:26" ht="9.75" customHeight="1">
      <c r="A297" s="90"/>
      <c r="B297" s="90"/>
      <c r="C297" s="90"/>
      <c r="D297" s="90"/>
      <c r="E297" s="90"/>
      <c r="F297" s="90"/>
      <c r="G297" s="90"/>
      <c r="H297" s="363"/>
      <c r="I297" s="363"/>
      <c r="J297" s="363"/>
      <c r="K297" s="363"/>
      <c r="L297" s="363"/>
      <c r="M297" s="363"/>
      <c r="N297" s="363"/>
      <c r="O297" s="363"/>
      <c r="P297" s="363"/>
      <c r="Q297" s="363"/>
      <c r="R297" s="363"/>
      <c r="S297" s="363"/>
      <c r="T297" s="363"/>
      <c r="U297" s="363"/>
      <c r="V297" s="363"/>
      <c r="W297" s="363"/>
      <c r="X297" s="363"/>
      <c r="Y297" s="363"/>
      <c r="Z297" s="363"/>
    </row>
    <row r="298" spans="1:26" ht="9.75" customHeight="1">
      <c r="A298" s="90"/>
      <c r="B298" s="90"/>
      <c r="C298" s="90"/>
      <c r="D298" s="90"/>
      <c r="E298" s="90"/>
      <c r="F298" s="90"/>
      <c r="G298" s="90"/>
      <c r="H298" s="363"/>
      <c r="I298" s="363"/>
      <c r="J298" s="363"/>
      <c r="K298" s="363"/>
      <c r="L298" s="363"/>
      <c r="M298" s="363"/>
      <c r="N298" s="363"/>
      <c r="O298" s="363"/>
      <c r="P298" s="363"/>
      <c r="Q298" s="363"/>
      <c r="R298" s="363"/>
      <c r="S298" s="363"/>
      <c r="T298" s="363"/>
      <c r="U298" s="363"/>
      <c r="V298" s="363"/>
      <c r="W298" s="363"/>
      <c r="X298" s="363"/>
      <c r="Y298" s="363"/>
      <c r="Z298" s="363"/>
    </row>
    <row r="299" spans="1:26" ht="9.75" customHeight="1">
      <c r="A299" s="90"/>
      <c r="B299" s="90"/>
      <c r="C299" s="90"/>
      <c r="D299" s="90"/>
      <c r="E299" s="90"/>
      <c r="F299" s="90"/>
      <c r="G299" s="90"/>
      <c r="H299" s="363"/>
      <c r="I299" s="363"/>
      <c r="J299" s="363"/>
      <c r="K299" s="363"/>
      <c r="L299" s="363"/>
      <c r="M299" s="363"/>
      <c r="N299" s="363"/>
      <c r="O299" s="363"/>
      <c r="P299" s="363"/>
      <c r="Q299" s="363"/>
      <c r="R299" s="363"/>
      <c r="S299" s="363"/>
      <c r="T299" s="363"/>
      <c r="U299" s="363"/>
      <c r="V299" s="363"/>
      <c r="W299" s="363"/>
      <c r="X299" s="363"/>
      <c r="Y299" s="363"/>
      <c r="Z299" s="363"/>
    </row>
    <row r="300" spans="1:26" ht="9.75" customHeight="1">
      <c r="A300" s="90"/>
      <c r="B300" s="90"/>
      <c r="C300" s="90"/>
      <c r="D300" s="90"/>
      <c r="E300" s="90"/>
      <c r="F300" s="90"/>
      <c r="G300" s="90"/>
      <c r="H300" s="363"/>
      <c r="I300" s="363"/>
      <c r="J300" s="363"/>
      <c r="K300" s="363"/>
      <c r="L300" s="363"/>
      <c r="M300" s="363"/>
      <c r="N300" s="363"/>
      <c r="O300" s="363"/>
      <c r="P300" s="363"/>
      <c r="Q300" s="363"/>
      <c r="R300" s="363"/>
      <c r="S300" s="363"/>
      <c r="T300" s="363"/>
      <c r="U300" s="363"/>
      <c r="V300" s="363"/>
      <c r="W300" s="363"/>
      <c r="X300" s="363"/>
      <c r="Y300" s="363"/>
      <c r="Z300" s="363"/>
    </row>
    <row r="301" spans="1:26" ht="9.75" customHeight="1">
      <c r="A301" s="90"/>
      <c r="B301" s="90"/>
      <c r="C301" s="90"/>
      <c r="D301" s="90"/>
      <c r="E301" s="90"/>
      <c r="F301" s="90"/>
      <c r="G301" s="90"/>
      <c r="H301" s="363"/>
      <c r="I301" s="363"/>
      <c r="J301" s="363"/>
      <c r="K301" s="363"/>
      <c r="L301" s="363"/>
      <c r="M301" s="363"/>
      <c r="N301" s="363"/>
      <c r="O301" s="363"/>
      <c r="P301" s="363"/>
      <c r="Q301" s="363"/>
      <c r="R301" s="363"/>
      <c r="S301" s="363"/>
      <c r="T301" s="363"/>
      <c r="U301" s="363"/>
      <c r="V301" s="363"/>
      <c r="W301" s="363"/>
      <c r="X301" s="363"/>
      <c r="Y301" s="363"/>
      <c r="Z301" s="363"/>
    </row>
    <row r="302" spans="1:26" ht="9.75" customHeight="1">
      <c r="A302" s="90"/>
      <c r="B302" s="90"/>
      <c r="C302" s="90"/>
      <c r="D302" s="90"/>
      <c r="E302" s="90"/>
      <c r="F302" s="90"/>
      <c r="G302" s="90"/>
      <c r="H302" s="363"/>
      <c r="I302" s="363"/>
      <c r="J302" s="363"/>
      <c r="K302" s="363"/>
      <c r="L302" s="363"/>
      <c r="M302" s="363"/>
      <c r="N302" s="363"/>
      <c r="O302" s="363"/>
      <c r="P302" s="363"/>
      <c r="Q302" s="363"/>
      <c r="R302" s="363"/>
      <c r="S302" s="363"/>
      <c r="T302" s="363"/>
      <c r="U302" s="363"/>
      <c r="V302" s="363"/>
      <c r="W302" s="363"/>
      <c r="X302" s="363"/>
      <c r="Y302" s="363"/>
      <c r="Z302" s="363"/>
    </row>
    <row r="303" spans="1:26" ht="9.75" customHeight="1">
      <c r="A303" s="90"/>
      <c r="B303" s="90"/>
      <c r="C303" s="90"/>
      <c r="D303" s="90"/>
      <c r="E303" s="90"/>
      <c r="F303" s="90"/>
      <c r="G303" s="90"/>
      <c r="H303" s="363"/>
      <c r="I303" s="363"/>
      <c r="J303" s="363"/>
      <c r="K303" s="363"/>
      <c r="L303" s="363"/>
      <c r="M303" s="363"/>
      <c r="N303" s="363"/>
      <c r="O303" s="363"/>
      <c r="P303" s="363"/>
      <c r="Q303" s="363"/>
      <c r="R303" s="363"/>
      <c r="S303" s="363"/>
      <c r="T303" s="363"/>
      <c r="U303" s="363"/>
      <c r="V303" s="363"/>
      <c r="W303" s="363"/>
      <c r="X303" s="363"/>
      <c r="Y303" s="363"/>
      <c r="Z303" s="363"/>
    </row>
    <row r="304" spans="1:26" ht="9.75" customHeight="1">
      <c r="A304" s="90"/>
      <c r="B304" s="90"/>
      <c r="C304" s="90"/>
      <c r="D304" s="90"/>
      <c r="E304" s="90"/>
      <c r="F304" s="90"/>
      <c r="G304" s="90"/>
      <c r="H304" s="363"/>
      <c r="I304" s="363"/>
      <c r="J304" s="363"/>
      <c r="K304" s="363"/>
      <c r="L304" s="363"/>
      <c r="M304" s="363"/>
      <c r="N304" s="363"/>
      <c r="O304" s="363"/>
      <c r="P304" s="363"/>
      <c r="Q304" s="363"/>
      <c r="R304" s="363"/>
      <c r="S304" s="363"/>
      <c r="T304" s="363"/>
      <c r="U304" s="363"/>
      <c r="V304" s="363"/>
      <c r="W304" s="363"/>
      <c r="X304" s="363"/>
      <c r="Y304" s="363"/>
      <c r="Z304" s="363"/>
    </row>
    <row r="305" spans="1:26" ht="9.75" customHeight="1">
      <c r="A305" s="90"/>
      <c r="B305" s="90"/>
      <c r="C305" s="90"/>
      <c r="D305" s="90"/>
      <c r="E305" s="90"/>
      <c r="F305" s="90"/>
      <c r="G305" s="90"/>
      <c r="H305" s="363"/>
      <c r="I305" s="363"/>
      <c r="J305" s="363"/>
      <c r="K305" s="363"/>
      <c r="L305" s="363"/>
      <c r="M305" s="363"/>
      <c r="N305" s="363"/>
      <c r="O305" s="363"/>
      <c r="P305" s="363"/>
      <c r="Q305" s="363"/>
      <c r="R305" s="363"/>
      <c r="S305" s="363"/>
      <c r="T305" s="363"/>
      <c r="U305" s="363"/>
      <c r="V305" s="363"/>
      <c r="W305" s="363"/>
      <c r="X305" s="363"/>
      <c r="Y305" s="363"/>
      <c r="Z305" s="363"/>
    </row>
    <row r="306" spans="1:26" ht="9.75" customHeight="1">
      <c r="A306" s="90"/>
      <c r="B306" s="90"/>
      <c r="C306" s="90"/>
      <c r="D306" s="90"/>
      <c r="E306" s="90"/>
      <c r="F306" s="90"/>
      <c r="G306" s="90"/>
      <c r="H306" s="363"/>
      <c r="I306" s="363"/>
      <c r="J306" s="363"/>
      <c r="K306" s="363"/>
      <c r="L306" s="363"/>
      <c r="M306" s="363"/>
      <c r="N306" s="363"/>
      <c r="O306" s="363"/>
      <c r="P306" s="363"/>
      <c r="Q306" s="363"/>
      <c r="R306" s="363"/>
      <c r="S306" s="363"/>
      <c r="T306" s="363"/>
      <c r="U306" s="363"/>
      <c r="V306" s="363"/>
      <c r="W306" s="363"/>
      <c r="X306" s="363"/>
      <c r="Y306" s="363"/>
      <c r="Z306" s="363"/>
    </row>
    <row r="307" spans="1:26" ht="9.75" customHeight="1">
      <c r="A307" s="90"/>
      <c r="B307" s="90"/>
      <c r="C307" s="90"/>
      <c r="D307" s="90"/>
      <c r="E307" s="90"/>
      <c r="F307" s="90"/>
      <c r="G307" s="90"/>
      <c r="H307" s="363"/>
      <c r="I307" s="363"/>
      <c r="J307" s="363"/>
      <c r="K307" s="363"/>
      <c r="L307" s="363"/>
      <c r="M307" s="363"/>
      <c r="N307" s="363"/>
      <c r="O307" s="363"/>
      <c r="P307" s="363"/>
      <c r="Q307" s="363"/>
      <c r="R307" s="363"/>
      <c r="S307" s="363"/>
      <c r="T307" s="363"/>
      <c r="U307" s="363"/>
      <c r="V307" s="363"/>
      <c r="W307" s="363"/>
      <c r="X307" s="363"/>
      <c r="Y307" s="363"/>
      <c r="Z307" s="363"/>
    </row>
    <row r="308" spans="1:26" ht="9.75" customHeight="1">
      <c r="A308" s="90"/>
      <c r="B308" s="90"/>
      <c r="C308" s="90"/>
      <c r="D308" s="90"/>
      <c r="E308" s="90"/>
      <c r="F308" s="90"/>
      <c r="G308" s="90"/>
      <c r="H308" s="363"/>
      <c r="I308" s="363"/>
      <c r="J308" s="363"/>
      <c r="K308" s="363"/>
      <c r="L308" s="363"/>
      <c r="M308" s="363"/>
      <c r="N308" s="363"/>
      <c r="O308" s="363"/>
      <c r="P308" s="363"/>
      <c r="Q308" s="363"/>
      <c r="R308" s="363"/>
      <c r="S308" s="363"/>
      <c r="T308" s="363"/>
      <c r="U308" s="363"/>
      <c r="V308" s="363"/>
      <c r="W308" s="363"/>
      <c r="X308" s="363"/>
      <c r="Y308" s="363"/>
      <c r="Z308" s="363"/>
    </row>
    <row r="309" spans="1:26" ht="9.75" customHeight="1">
      <c r="A309" s="90"/>
      <c r="B309" s="90"/>
      <c r="C309" s="90"/>
      <c r="D309" s="90"/>
      <c r="E309" s="90"/>
      <c r="F309" s="90"/>
      <c r="G309" s="90"/>
      <c r="H309" s="363"/>
      <c r="I309" s="363"/>
      <c r="J309" s="363"/>
      <c r="K309" s="363"/>
      <c r="L309" s="363"/>
      <c r="M309" s="363"/>
      <c r="N309" s="363"/>
      <c r="O309" s="363"/>
      <c r="P309" s="363"/>
      <c r="Q309" s="363"/>
      <c r="R309" s="363"/>
      <c r="S309" s="363"/>
      <c r="T309" s="363"/>
      <c r="U309" s="363"/>
      <c r="V309" s="363"/>
      <c r="W309" s="363"/>
      <c r="X309" s="363"/>
      <c r="Y309" s="363"/>
      <c r="Z309" s="363"/>
    </row>
    <row r="310" spans="1:26" ht="9.75" customHeight="1">
      <c r="A310" s="90"/>
      <c r="B310" s="90"/>
      <c r="C310" s="90"/>
      <c r="D310" s="90"/>
      <c r="E310" s="90"/>
      <c r="F310" s="90"/>
      <c r="G310" s="90"/>
      <c r="H310" s="363"/>
      <c r="I310" s="363"/>
      <c r="J310" s="363"/>
      <c r="K310" s="363"/>
      <c r="L310" s="363"/>
      <c r="M310" s="363"/>
      <c r="N310" s="363"/>
      <c r="O310" s="363"/>
      <c r="P310" s="363"/>
      <c r="Q310" s="363"/>
      <c r="R310" s="363"/>
      <c r="S310" s="363"/>
      <c r="T310" s="363"/>
      <c r="U310" s="363"/>
      <c r="V310" s="363"/>
      <c r="W310" s="363"/>
      <c r="X310" s="363"/>
      <c r="Y310" s="363"/>
      <c r="Z310" s="363"/>
    </row>
    <row r="311" spans="1:26" ht="9.75" customHeight="1">
      <c r="A311" s="90"/>
      <c r="B311" s="90"/>
      <c r="C311" s="90"/>
      <c r="D311" s="90"/>
      <c r="E311" s="90"/>
      <c r="F311" s="90"/>
      <c r="G311" s="90"/>
      <c r="H311" s="363"/>
      <c r="I311" s="363"/>
      <c r="J311" s="363"/>
      <c r="K311" s="363"/>
      <c r="L311" s="363"/>
      <c r="M311" s="363"/>
      <c r="N311" s="363"/>
      <c r="O311" s="363"/>
      <c r="P311" s="363"/>
      <c r="Q311" s="363"/>
      <c r="R311" s="363"/>
      <c r="S311" s="363"/>
      <c r="T311" s="363"/>
      <c r="U311" s="363"/>
      <c r="V311" s="363"/>
      <c r="W311" s="363"/>
      <c r="X311" s="363"/>
      <c r="Y311" s="363"/>
      <c r="Z311" s="363"/>
    </row>
    <row r="312" spans="1:26" ht="9.75" customHeight="1">
      <c r="A312" s="90"/>
      <c r="B312" s="90"/>
      <c r="C312" s="90"/>
      <c r="D312" s="90"/>
      <c r="E312" s="90"/>
      <c r="F312" s="90"/>
      <c r="G312" s="90"/>
      <c r="H312" s="363"/>
      <c r="I312" s="363"/>
      <c r="J312" s="363"/>
      <c r="K312" s="363"/>
      <c r="L312" s="363"/>
      <c r="M312" s="363"/>
      <c r="N312" s="363"/>
      <c r="O312" s="363"/>
      <c r="P312" s="363"/>
      <c r="Q312" s="363"/>
      <c r="R312" s="363"/>
      <c r="S312" s="363"/>
      <c r="T312" s="363"/>
      <c r="U312" s="363"/>
      <c r="V312" s="363"/>
      <c r="W312" s="363"/>
      <c r="X312" s="363"/>
      <c r="Y312" s="363"/>
      <c r="Z312" s="363"/>
    </row>
    <row r="313" spans="1:26" ht="9.75" customHeight="1">
      <c r="A313" s="90"/>
      <c r="B313" s="90"/>
      <c r="C313" s="90"/>
      <c r="D313" s="90"/>
      <c r="E313" s="90"/>
      <c r="F313" s="90"/>
      <c r="G313" s="90"/>
      <c r="H313" s="363"/>
      <c r="I313" s="363"/>
      <c r="J313" s="363"/>
      <c r="K313" s="363"/>
      <c r="L313" s="363"/>
      <c r="M313" s="363"/>
      <c r="N313" s="363"/>
      <c r="O313" s="363"/>
      <c r="P313" s="363"/>
      <c r="Q313" s="363"/>
      <c r="R313" s="363"/>
      <c r="S313" s="363"/>
      <c r="T313" s="363"/>
      <c r="U313" s="363"/>
      <c r="V313" s="363"/>
      <c r="W313" s="363"/>
      <c r="X313" s="363"/>
      <c r="Y313" s="363"/>
      <c r="Z313" s="363"/>
    </row>
    <row r="314" spans="1:26" ht="9.75" customHeight="1">
      <c r="A314" s="90"/>
      <c r="B314" s="90"/>
      <c r="C314" s="90"/>
      <c r="D314" s="90"/>
      <c r="E314" s="90"/>
      <c r="F314" s="90"/>
      <c r="G314" s="90"/>
      <c r="H314" s="363"/>
      <c r="I314" s="363"/>
      <c r="J314" s="363"/>
      <c r="K314" s="363"/>
      <c r="L314" s="363"/>
      <c r="M314" s="363"/>
      <c r="N314" s="363"/>
      <c r="O314" s="363"/>
      <c r="P314" s="363"/>
      <c r="Q314" s="363"/>
      <c r="R314" s="363"/>
      <c r="S314" s="363"/>
      <c r="T314" s="363"/>
      <c r="U314" s="363"/>
      <c r="V314" s="363"/>
      <c r="W314" s="363"/>
      <c r="X314" s="363"/>
      <c r="Y314" s="363"/>
      <c r="Z314" s="363"/>
    </row>
    <row r="315" spans="1:26" ht="9.75" customHeight="1">
      <c r="A315" s="90"/>
      <c r="B315" s="90"/>
      <c r="C315" s="90"/>
      <c r="D315" s="90"/>
      <c r="E315" s="90"/>
      <c r="F315" s="90"/>
      <c r="G315" s="90"/>
      <c r="H315" s="363"/>
      <c r="I315" s="363"/>
      <c r="J315" s="363"/>
      <c r="K315" s="363"/>
      <c r="L315" s="363"/>
      <c r="M315" s="363"/>
      <c r="N315" s="363"/>
      <c r="O315" s="363"/>
      <c r="P315" s="363"/>
      <c r="Q315" s="363"/>
      <c r="R315" s="363"/>
      <c r="S315" s="363"/>
      <c r="T315" s="363"/>
      <c r="U315" s="363"/>
      <c r="V315" s="363"/>
      <c r="W315" s="363"/>
      <c r="X315" s="363"/>
      <c r="Y315" s="363"/>
      <c r="Z315" s="363"/>
    </row>
    <row r="316" spans="1:26" ht="9.75" customHeight="1">
      <c r="A316" s="90"/>
      <c r="B316" s="90"/>
      <c r="C316" s="90"/>
      <c r="D316" s="90"/>
      <c r="E316" s="90"/>
      <c r="F316" s="90"/>
      <c r="G316" s="90"/>
      <c r="H316" s="363"/>
      <c r="I316" s="363"/>
      <c r="J316" s="363"/>
      <c r="K316" s="363"/>
      <c r="L316" s="363"/>
      <c r="M316" s="363"/>
      <c r="N316" s="363"/>
      <c r="O316" s="363"/>
      <c r="P316" s="363"/>
      <c r="Q316" s="363"/>
      <c r="R316" s="363"/>
      <c r="S316" s="363"/>
      <c r="T316" s="363"/>
      <c r="U316" s="363"/>
      <c r="V316" s="363"/>
      <c r="W316" s="363"/>
      <c r="X316" s="363"/>
      <c r="Y316" s="363"/>
      <c r="Z316" s="363"/>
    </row>
    <row r="317" spans="1:26" ht="9.75" customHeight="1">
      <c r="A317" s="90"/>
      <c r="B317" s="90"/>
      <c r="C317" s="90"/>
      <c r="D317" s="90"/>
      <c r="E317" s="90"/>
      <c r="F317" s="90"/>
      <c r="G317" s="90"/>
      <c r="H317" s="363"/>
      <c r="I317" s="363"/>
      <c r="J317" s="363"/>
      <c r="K317" s="363"/>
      <c r="L317" s="363"/>
      <c r="M317" s="363"/>
      <c r="N317" s="363"/>
      <c r="O317" s="363"/>
      <c r="P317" s="363"/>
      <c r="Q317" s="363"/>
      <c r="R317" s="363"/>
      <c r="S317" s="363"/>
      <c r="T317" s="363"/>
      <c r="U317" s="363"/>
      <c r="V317" s="363"/>
      <c r="W317" s="363"/>
      <c r="X317" s="363"/>
      <c r="Y317" s="363"/>
      <c r="Z317" s="363"/>
    </row>
    <row r="318" spans="1:26" ht="9.75" customHeight="1">
      <c r="A318" s="90"/>
      <c r="B318" s="90"/>
      <c r="C318" s="90"/>
      <c r="D318" s="90"/>
      <c r="E318" s="90"/>
      <c r="F318" s="90"/>
      <c r="G318" s="90"/>
      <c r="H318" s="363"/>
      <c r="I318" s="363"/>
      <c r="J318" s="363"/>
      <c r="K318" s="363"/>
      <c r="L318" s="363"/>
      <c r="M318" s="363"/>
      <c r="N318" s="363"/>
      <c r="O318" s="363"/>
      <c r="P318" s="363"/>
      <c r="Q318" s="363"/>
      <c r="R318" s="363"/>
      <c r="S318" s="363"/>
      <c r="T318" s="363"/>
      <c r="U318" s="363"/>
      <c r="V318" s="363"/>
      <c r="W318" s="363"/>
      <c r="X318" s="363"/>
      <c r="Y318" s="363"/>
      <c r="Z318" s="363"/>
    </row>
    <row r="319" spans="1:26" ht="9.75" customHeight="1">
      <c r="A319" s="90"/>
      <c r="B319" s="90"/>
      <c r="C319" s="90"/>
      <c r="D319" s="90"/>
      <c r="E319" s="90"/>
      <c r="F319" s="90"/>
      <c r="G319" s="90"/>
      <c r="H319" s="363"/>
      <c r="I319" s="363"/>
      <c r="J319" s="363"/>
      <c r="K319" s="363"/>
      <c r="L319" s="363"/>
      <c r="M319" s="363"/>
      <c r="N319" s="363"/>
      <c r="O319" s="363"/>
      <c r="P319" s="363"/>
      <c r="Q319" s="363"/>
      <c r="R319" s="363"/>
      <c r="S319" s="363"/>
      <c r="T319" s="363"/>
      <c r="U319" s="363"/>
      <c r="V319" s="363"/>
      <c r="W319" s="363"/>
      <c r="X319" s="363"/>
      <c r="Y319" s="363"/>
      <c r="Z319" s="363"/>
    </row>
    <row r="320" spans="1:26" ht="9.75" customHeight="1">
      <c r="A320" s="90"/>
      <c r="B320" s="90"/>
      <c r="C320" s="90"/>
      <c r="D320" s="90"/>
      <c r="E320" s="90"/>
      <c r="F320" s="90"/>
      <c r="G320" s="90"/>
      <c r="H320" s="363"/>
      <c r="I320" s="363"/>
      <c r="J320" s="363"/>
      <c r="K320" s="363"/>
      <c r="L320" s="363"/>
      <c r="M320" s="363"/>
      <c r="N320" s="363"/>
      <c r="O320" s="363"/>
      <c r="P320" s="363"/>
      <c r="Q320" s="363"/>
      <c r="R320" s="363"/>
      <c r="S320" s="363"/>
      <c r="T320" s="363"/>
      <c r="U320" s="363"/>
      <c r="V320" s="363"/>
      <c r="W320" s="363"/>
      <c r="X320" s="363"/>
      <c r="Y320" s="363"/>
      <c r="Z320" s="363"/>
    </row>
    <row r="321" spans="1:26" ht="9.75" customHeight="1">
      <c r="A321" s="90"/>
      <c r="B321" s="90"/>
      <c r="C321" s="90"/>
      <c r="D321" s="90"/>
      <c r="E321" s="90"/>
      <c r="F321" s="90"/>
      <c r="G321" s="90"/>
      <c r="H321" s="363"/>
      <c r="I321" s="363"/>
      <c r="J321" s="363"/>
      <c r="K321" s="363"/>
      <c r="L321" s="363"/>
      <c r="M321" s="363"/>
      <c r="N321" s="363"/>
      <c r="O321" s="363"/>
      <c r="P321" s="363"/>
      <c r="Q321" s="363"/>
      <c r="R321" s="363"/>
      <c r="S321" s="363"/>
      <c r="T321" s="363"/>
      <c r="U321" s="363"/>
      <c r="V321" s="363"/>
      <c r="W321" s="363"/>
      <c r="X321" s="363"/>
      <c r="Y321" s="363"/>
      <c r="Z321" s="363"/>
    </row>
    <row r="322" spans="1:26" ht="9.75" customHeight="1">
      <c r="A322" s="90"/>
      <c r="B322" s="90"/>
      <c r="C322" s="90"/>
      <c r="D322" s="90"/>
      <c r="E322" s="90"/>
      <c r="F322" s="90"/>
      <c r="G322" s="90"/>
      <c r="H322" s="363"/>
      <c r="I322" s="363"/>
      <c r="J322" s="363"/>
      <c r="K322" s="363"/>
      <c r="L322" s="363"/>
      <c r="M322" s="363"/>
      <c r="N322" s="363"/>
      <c r="O322" s="363"/>
      <c r="P322" s="363"/>
      <c r="Q322" s="363"/>
      <c r="R322" s="363"/>
      <c r="S322" s="363"/>
      <c r="T322" s="363"/>
      <c r="U322" s="363"/>
      <c r="V322" s="363"/>
      <c r="W322" s="363"/>
      <c r="X322" s="363"/>
      <c r="Y322" s="363"/>
      <c r="Z322" s="363"/>
    </row>
    <row r="323" spans="1:26" ht="9.75" customHeight="1">
      <c r="A323" s="90"/>
      <c r="B323" s="90"/>
      <c r="C323" s="90"/>
      <c r="D323" s="90"/>
      <c r="E323" s="90"/>
      <c r="F323" s="90"/>
      <c r="G323" s="90"/>
      <c r="H323" s="363"/>
      <c r="I323" s="363"/>
      <c r="J323" s="363"/>
      <c r="K323" s="363"/>
      <c r="L323" s="363"/>
      <c r="M323" s="363"/>
      <c r="N323" s="363"/>
      <c r="O323" s="363"/>
      <c r="P323" s="363"/>
      <c r="Q323" s="363"/>
      <c r="R323" s="363"/>
      <c r="S323" s="363"/>
      <c r="T323" s="363"/>
      <c r="U323" s="363"/>
      <c r="V323" s="363"/>
      <c r="W323" s="363"/>
      <c r="X323" s="363"/>
      <c r="Y323" s="363"/>
      <c r="Z323" s="363"/>
    </row>
    <row r="324" spans="1:26" ht="9.75" customHeight="1">
      <c r="A324" s="90"/>
      <c r="B324" s="90"/>
      <c r="C324" s="90"/>
      <c r="D324" s="90"/>
      <c r="E324" s="90"/>
      <c r="F324" s="90"/>
      <c r="G324" s="90"/>
      <c r="H324" s="363"/>
      <c r="I324" s="363"/>
      <c r="J324" s="363"/>
      <c r="K324" s="363"/>
      <c r="L324" s="363"/>
      <c r="M324" s="363"/>
      <c r="N324" s="363"/>
      <c r="O324" s="363"/>
      <c r="P324" s="363"/>
      <c r="Q324" s="363"/>
      <c r="R324" s="363"/>
      <c r="S324" s="363"/>
      <c r="T324" s="363"/>
      <c r="U324" s="363"/>
      <c r="V324" s="363"/>
      <c r="W324" s="363"/>
      <c r="X324" s="363"/>
      <c r="Y324" s="363"/>
      <c r="Z324" s="363"/>
    </row>
    <row r="325" spans="1:26" ht="9.75" customHeight="1">
      <c r="A325" s="90"/>
      <c r="B325" s="90"/>
      <c r="C325" s="90"/>
      <c r="D325" s="90"/>
      <c r="E325" s="90"/>
      <c r="F325" s="90"/>
      <c r="G325" s="90"/>
      <c r="H325" s="363"/>
      <c r="I325" s="363"/>
      <c r="J325" s="363"/>
      <c r="K325" s="363"/>
      <c r="L325" s="363"/>
      <c r="M325" s="363"/>
      <c r="N325" s="363"/>
      <c r="O325" s="363"/>
      <c r="P325" s="363"/>
      <c r="Q325" s="363"/>
      <c r="R325" s="363"/>
      <c r="S325" s="363"/>
      <c r="T325" s="363"/>
      <c r="U325" s="363"/>
      <c r="V325" s="363"/>
      <c r="W325" s="363"/>
      <c r="X325" s="363"/>
      <c r="Y325" s="363"/>
      <c r="Z325" s="363"/>
    </row>
    <row r="326" spans="1:26" ht="9.75" customHeight="1">
      <c r="A326" s="90"/>
      <c r="B326" s="90"/>
      <c r="C326" s="90"/>
      <c r="D326" s="90"/>
      <c r="E326" s="90"/>
      <c r="F326" s="90"/>
      <c r="G326" s="90"/>
      <c r="H326" s="363"/>
      <c r="I326" s="363"/>
      <c r="J326" s="363"/>
      <c r="K326" s="363"/>
      <c r="L326" s="363"/>
      <c r="M326" s="363"/>
      <c r="N326" s="363"/>
      <c r="O326" s="363"/>
      <c r="P326" s="363"/>
      <c r="Q326" s="363"/>
      <c r="R326" s="363"/>
      <c r="S326" s="363"/>
      <c r="T326" s="363"/>
      <c r="U326" s="363"/>
      <c r="V326" s="363"/>
      <c r="W326" s="363"/>
      <c r="X326" s="363"/>
      <c r="Y326" s="363"/>
      <c r="Z326" s="363"/>
    </row>
    <row r="327" spans="1:26" ht="9.75" customHeight="1">
      <c r="A327" s="90"/>
      <c r="B327" s="90"/>
      <c r="C327" s="90"/>
      <c r="D327" s="90"/>
      <c r="E327" s="90"/>
      <c r="F327" s="90"/>
      <c r="G327" s="90"/>
      <c r="H327" s="363"/>
      <c r="I327" s="363"/>
      <c r="J327" s="363"/>
      <c r="K327" s="363"/>
      <c r="L327" s="363"/>
      <c r="M327" s="363"/>
      <c r="N327" s="363"/>
      <c r="O327" s="363"/>
      <c r="P327" s="363"/>
      <c r="Q327" s="363"/>
      <c r="R327" s="363"/>
      <c r="S327" s="363"/>
      <c r="T327" s="363"/>
      <c r="U327" s="363"/>
      <c r="V327" s="363"/>
      <c r="W327" s="363"/>
      <c r="X327" s="363"/>
      <c r="Y327" s="363"/>
      <c r="Z327" s="363"/>
    </row>
    <row r="328" spans="1:26" ht="9.75" customHeight="1">
      <c r="A328" s="90"/>
      <c r="B328" s="90"/>
      <c r="C328" s="90"/>
      <c r="D328" s="90"/>
      <c r="E328" s="90"/>
      <c r="F328" s="90"/>
      <c r="G328" s="90"/>
      <c r="H328" s="363"/>
      <c r="I328" s="363"/>
      <c r="J328" s="363"/>
      <c r="K328" s="363"/>
      <c r="L328" s="363"/>
      <c r="M328" s="363"/>
      <c r="N328" s="363"/>
      <c r="O328" s="363"/>
      <c r="P328" s="363"/>
      <c r="Q328" s="363"/>
      <c r="R328" s="363"/>
      <c r="S328" s="363"/>
      <c r="T328" s="363"/>
      <c r="U328" s="363"/>
      <c r="V328" s="363"/>
      <c r="W328" s="363"/>
      <c r="X328" s="363"/>
      <c r="Y328" s="363"/>
      <c r="Z328" s="363"/>
    </row>
    <row r="329" spans="1:26" ht="9.75" customHeight="1">
      <c r="A329" s="90"/>
      <c r="B329" s="90"/>
      <c r="C329" s="90"/>
      <c r="D329" s="90"/>
      <c r="E329" s="90"/>
      <c r="F329" s="90"/>
      <c r="G329" s="90"/>
      <c r="H329" s="363"/>
      <c r="I329" s="363"/>
      <c r="J329" s="363"/>
      <c r="K329" s="363"/>
      <c r="L329" s="363"/>
      <c r="M329" s="363"/>
      <c r="N329" s="363"/>
      <c r="O329" s="363"/>
      <c r="P329" s="363"/>
      <c r="Q329" s="363"/>
      <c r="R329" s="363"/>
      <c r="S329" s="363"/>
      <c r="T329" s="363"/>
      <c r="U329" s="363"/>
      <c r="V329" s="363"/>
      <c r="W329" s="363"/>
      <c r="X329" s="363"/>
      <c r="Y329" s="363"/>
      <c r="Z329" s="363"/>
    </row>
    <row r="330" spans="1:26" ht="9.75" customHeight="1">
      <c r="A330" s="90"/>
      <c r="B330" s="90"/>
      <c r="C330" s="90"/>
      <c r="D330" s="90"/>
      <c r="E330" s="90"/>
      <c r="F330" s="90"/>
      <c r="G330" s="90"/>
      <c r="H330" s="363"/>
      <c r="I330" s="363"/>
      <c r="J330" s="363"/>
      <c r="K330" s="363"/>
      <c r="L330" s="363"/>
      <c r="M330" s="363"/>
      <c r="N330" s="363"/>
      <c r="O330" s="363"/>
      <c r="P330" s="363"/>
      <c r="Q330" s="363"/>
      <c r="R330" s="363"/>
      <c r="S330" s="363"/>
      <c r="T330" s="363"/>
      <c r="U330" s="363"/>
      <c r="V330" s="363"/>
      <c r="W330" s="363"/>
      <c r="X330" s="363"/>
      <c r="Y330" s="363"/>
      <c r="Z330" s="363"/>
    </row>
    <row r="331" spans="1:26" ht="9.75" customHeight="1">
      <c r="A331" s="90"/>
      <c r="B331" s="90"/>
      <c r="C331" s="90"/>
      <c r="D331" s="90"/>
      <c r="E331" s="90"/>
      <c r="F331" s="90"/>
      <c r="G331" s="90"/>
      <c r="H331" s="363"/>
      <c r="I331" s="363"/>
      <c r="J331" s="363"/>
      <c r="K331" s="363"/>
      <c r="L331" s="363"/>
      <c r="M331" s="363"/>
      <c r="N331" s="363"/>
      <c r="O331" s="363"/>
      <c r="P331" s="363"/>
      <c r="Q331" s="363"/>
      <c r="R331" s="363"/>
      <c r="S331" s="363"/>
      <c r="T331" s="363"/>
      <c r="U331" s="363"/>
      <c r="V331" s="363"/>
      <c r="W331" s="363"/>
      <c r="X331" s="363"/>
      <c r="Y331" s="363"/>
      <c r="Z331" s="363"/>
    </row>
    <row r="332" spans="1:26" ht="9.75" customHeight="1">
      <c r="A332" s="90"/>
      <c r="B332" s="90"/>
      <c r="C332" s="90"/>
      <c r="D332" s="90"/>
      <c r="E332" s="90"/>
      <c r="F332" s="90"/>
      <c r="G332" s="90"/>
      <c r="H332" s="363"/>
      <c r="I332" s="363"/>
      <c r="J332" s="363"/>
      <c r="K332" s="363"/>
      <c r="L332" s="363"/>
      <c r="M332" s="363"/>
      <c r="N332" s="363"/>
      <c r="O332" s="363"/>
      <c r="P332" s="363"/>
      <c r="Q332" s="363"/>
      <c r="R332" s="363"/>
      <c r="S332" s="363"/>
      <c r="T332" s="363"/>
      <c r="U332" s="363"/>
      <c r="V332" s="363"/>
      <c r="W332" s="363"/>
      <c r="X332" s="363"/>
      <c r="Y332" s="363"/>
      <c r="Z332" s="363"/>
    </row>
    <row r="333" spans="1:26" ht="9.75" customHeight="1">
      <c r="A333" s="90"/>
      <c r="B333" s="90"/>
      <c r="C333" s="90"/>
      <c r="D333" s="90"/>
      <c r="E333" s="90"/>
      <c r="F333" s="90"/>
      <c r="G333" s="90"/>
      <c r="H333" s="363"/>
      <c r="I333" s="363"/>
      <c r="J333" s="363"/>
      <c r="K333" s="363"/>
      <c r="L333" s="363"/>
      <c r="M333" s="363"/>
      <c r="N333" s="363"/>
      <c r="O333" s="363"/>
      <c r="P333" s="363"/>
      <c r="Q333" s="363"/>
      <c r="R333" s="363"/>
      <c r="S333" s="363"/>
      <c r="T333" s="363"/>
      <c r="U333" s="363"/>
      <c r="V333" s="363"/>
      <c r="W333" s="363"/>
      <c r="X333" s="363"/>
      <c r="Y333" s="363"/>
      <c r="Z333" s="363"/>
    </row>
    <row r="334" spans="1:26" ht="9.75" customHeight="1">
      <c r="A334" s="90"/>
      <c r="B334" s="90"/>
      <c r="C334" s="90"/>
      <c r="D334" s="90"/>
      <c r="E334" s="90"/>
      <c r="F334" s="90"/>
      <c r="G334" s="90"/>
      <c r="H334" s="363"/>
      <c r="I334" s="363"/>
      <c r="J334" s="363"/>
      <c r="K334" s="363"/>
      <c r="L334" s="363"/>
      <c r="M334" s="363"/>
      <c r="N334" s="363"/>
      <c r="O334" s="363"/>
      <c r="P334" s="363"/>
      <c r="Q334" s="363"/>
      <c r="R334" s="363"/>
      <c r="S334" s="363"/>
      <c r="T334" s="363"/>
      <c r="U334" s="363"/>
      <c r="V334" s="363"/>
      <c r="W334" s="363"/>
      <c r="X334" s="363"/>
      <c r="Y334" s="363"/>
      <c r="Z334" s="363"/>
    </row>
    <row r="335" spans="1:26" ht="9.75" customHeight="1">
      <c r="A335" s="90"/>
      <c r="B335" s="90"/>
      <c r="C335" s="90"/>
      <c r="D335" s="90"/>
      <c r="E335" s="90"/>
      <c r="F335" s="90"/>
      <c r="G335" s="90"/>
      <c r="H335" s="363"/>
      <c r="I335" s="363"/>
      <c r="J335" s="363"/>
      <c r="K335" s="363"/>
      <c r="L335" s="363"/>
      <c r="M335" s="363"/>
      <c r="N335" s="363"/>
      <c r="O335" s="363"/>
      <c r="P335" s="363"/>
      <c r="Q335" s="363"/>
      <c r="R335" s="363"/>
      <c r="S335" s="363"/>
      <c r="T335" s="363"/>
      <c r="U335" s="363"/>
      <c r="V335" s="363"/>
      <c r="W335" s="363"/>
      <c r="X335" s="363"/>
      <c r="Y335" s="363"/>
      <c r="Z335" s="363"/>
    </row>
    <row r="336" spans="1:26" ht="9.75" customHeight="1">
      <c r="A336" s="90"/>
      <c r="B336" s="90"/>
      <c r="C336" s="90"/>
      <c r="D336" s="90"/>
      <c r="E336" s="90"/>
      <c r="F336" s="90"/>
      <c r="G336" s="90"/>
      <c r="H336" s="363"/>
      <c r="I336" s="363"/>
      <c r="J336" s="363"/>
      <c r="K336" s="363"/>
      <c r="L336" s="363"/>
      <c r="M336" s="363"/>
      <c r="N336" s="363"/>
      <c r="O336" s="363"/>
      <c r="P336" s="363"/>
      <c r="Q336" s="363"/>
      <c r="R336" s="363"/>
      <c r="S336" s="363"/>
      <c r="T336" s="363"/>
      <c r="U336" s="363"/>
      <c r="V336" s="363"/>
      <c r="W336" s="363"/>
      <c r="X336" s="363"/>
      <c r="Y336" s="363"/>
      <c r="Z336" s="363"/>
    </row>
    <row r="337" spans="1:26" ht="9.75" customHeight="1">
      <c r="A337" s="90"/>
      <c r="B337" s="90"/>
      <c r="C337" s="90"/>
      <c r="D337" s="90"/>
      <c r="E337" s="90"/>
      <c r="F337" s="90"/>
      <c r="G337" s="90"/>
      <c r="H337" s="363"/>
      <c r="I337" s="363"/>
      <c r="J337" s="363"/>
      <c r="K337" s="363"/>
      <c r="L337" s="363"/>
      <c r="M337" s="363"/>
      <c r="N337" s="363"/>
      <c r="O337" s="363"/>
      <c r="P337" s="363"/>
      <c r="Q337" s="363"/>
      <c r="R337" s="363"/>
      <c r="S337" s="363"/>
      <c r="T337" s="363"/>
      <c r="U337" s="363"/>
      <c r="V337" s="363"/>
      <c r="W337" s="363"/>
      <c r="X337" s="363"/>
      <c r="Y337" s="363"/>
      <c r="Z337" s="363"/>
    </row>
    <row r="338" spans="1:26" ht="9.75" customHeight="1">
      <c r="A338" s="90"/>
      <c r="B338" s="90"/>
      <c r="C338" s="90"/>
      <c r="D338" s="90"/>
      <c r="E338" s="90"/>
      <c r="F338" s="90"/>
      <c r="G338" s="90"/>
      <c r="H338" s="363"/>
      <c r="I338" s="363"/>
      <c r="J338" s="363"/>
      <c r="K338" s="363"/>
      <c r="L338" s="363"/>
      <c r="M338" s="363"/>
      <c r="N338" s="363"/>
      <c r="O338" s="363"/>
      <c r="P338" s="363"/>
      <c r="Q338" s="363"/>
      <c r="R338" s="363"/>
      <c r="S338" s="363"/>
      <c r="T338" s="363"/>
      <c r="U338" s="363"/>
      <c r="V338" s="363"/>
      <c r="W338" s="363"/>
      <c r="X338" s="363"/>
      <c r="Y338" s="363"/>
      <c r="Z338" s="363"/>
    </row>
    <row r="339" spans="1:26" ht="9.75" customHeight="1">
      <c r="A339" s="90"/>
      <c r="B339" s="90"/>
      <c r="C339" s="90"/>
      <c r="D339" s="90"/>
      <c r="E339" s="90"/>
      <c r="F339" s="90"/>
      <c r="G339" s="90"/>
      <c r="H339" s="363"/>
      <c r="I339" s="363"/>
      <c r="J339" s="363"/>
      <c r="K339" s="363"/>
      <c r="L339" s="363"/>
      <c r="M339" s="363"/>
      <c r="N339" s="363"/>
      <c r="O339" s="363"/>
      <c r="P339" s="363"/>
      <c r="Q339" s="363"/>
      <c r="R339" s="363"/>
      <c r="S339" s="363"/>
      <c r="T339" s="363"/>
      <c r="U339" s="363"/>
      <c r="V339" s="363"/>
      <c r="W339" s="363"/>
      <c r="X339" s="363"/>
      <c r="Y339" s="363"/>
      <c r="Z339" s="363"/>
    </row>
    <row r="340" spans="1:26" ht="9.75" customHeight="1">
      <c r="A340" s="90"/>
      <c r="B340" s="90"/>
      <c r="C340" s="90"/>
      <c r="D340" s="90"/>
      <c r="E340" s="90"/>
      <c r="F340" s="90"/>
      <c r="G340" s="90"/>
      <c r="H340" s="363"/>
      <c r="I340" s="363"/>
      <c r="J340" s="363"/>
      <c r="K340" s="363"/>
      <c r="L340" s="363"/>
      <c r="M340" s="363"/>
      <c r="N340" s="363"/>
      <c r="O340" s="363"/>
      <c r="P340" s="363"/>
      <c r="Q340" s="363"/>
      <c r="R340" s="363"/>
      <c r="S340" s="363"/>
      <c r="T340" s="363"/>
      <c r="U340" s="363"/>
      <c r="V340" s="363"/>
      <c r="W340" s="363"/>
      <c r="X340" s="363"/>
      <c r="Y340" s="363"/>
      <c r="Z340" s="363"/>
    </row>
    <row r="341" spans="1:26" ht="9.75" customHeight="1">
      <c r="A341" s="90"/>
      <c r="B341" s="90"/>
      <c r="C341" s="90"/>
      <c r="D341" s="90"/>
      <c r="E341" s="90"/>
      <c r="F341" s="90"/>
      <c r="G341" s="90"/>
      <c r="H341" s="363"/>
      <c r="I341" s="363"/>
      <c r="J341" s="363"/>
      <c r="K341" s="363"/>
      <c r="L341" s="363"/>
      <c r="M341" s="363"/>
      <c r="N341" s="363"/>
      <c r="O341" s="363"/>
      <c r="P341" s="363"/>
      <c r="Q341" s="363"/>
      <c r="R341" s="363"/>
      <c r="S341" s="363"/>
      <c r="T341" s="363"/>
      <c r="U341" s="363"/>
      <c r="V341" s="363"/>
      <c r="W341" s="363"/>
      <c r="X341" s="363"/>
      <c r="Y341" s="363"/>
      <c r="Z341" s="363"/>
    </row>
    <row r="342" spans="1:26" ht="9.75" customHeight="1">
      <c r="A342" s="90"/>
      <c r="B342" s="90"/>
      <c r="C342" s="90"/>
      <c r="D342" s="90"/>
      <c r="E342" s="90"/>
      <c r="F342" s="90"/>
      <c r="G342" s="90"/>
      <c r="H342" s="363"/>
      <c r="I342" s="363"/>
      <c r="J342" s="363"/>
      <c r="K342" s="363"/>
      <c r="L342" s="363"/>
      <c r="M342" s="363"/>
      <c r="N342" s="363"/>
      <c r="O342" s="363"/>
      <c r="P342" s="363"/>
      <c r="Q342" s="363"/>
      <c r="R342" s="363"/>
      <c r="S342" s="363"/>
      <c r="T342" s="363"/>
      <c r="U342" s="363"/>
      <c r="V342" s="363"/>
      <c r="W342" s="363"/>
      <c r="X342" s="363"/>
      <c r="Y342" s="363"/>
      <c r="Z342" s="363"/>
    </row>
    <row r="343" spans="1:26" ht="9.75" customHeight="1">
      <c r="A343" s="90"/>
      <c r="B343" s="90"/>
      <c r="C343" s="90"/>
      <c r="D343" s="90"/>
      <c r="E343" s="90"/>
      <c r="F343" s="90"/>
      <c r="G343" s="90"/>
      <c r="H343" s="363"/>
      <c r="I343" s="363"/>
      <c r="J343" s="363"/>
      <c r="K343" s="363"/>
      <c r="L343" s="363"/>
      <c r="M343" s="363"/>
      <c r="N343" s="363"/>
      <c r="O343" s="363"/>
      <c r="P343" s="363"/>
      <c r="Q343" s="363"/>
      <c r="R343" s="363"/>
      <c r="S343" s="363"/>
      <c r="T343" s="363"/>
      <c r="U343" s="363"/>
      <c r="V343" s="363"/>
      <c r="W343" s="363"/>
      <c r="X343" s="363"/>
      <c r="Y343" s="363"/>
      <c r="Z343" s="363"/>
    </row>
    <row r="344" spans="1:26" ht="9.75" customHeight="1">
      <c r="A344" s="90"/>
      <c r="B344" s="90"/>
      <c r="C344" s="90"/>
      <c r="D344" s="90"/>
      <c r="E344" s="90"/>
      <c r="F344" s="90"/>
      <c r="G344" s="90"/>
      <c r="H344" s="363"/>
      <c r="I344" s="363"/>
      <c r="J344" s="363"/>
      <c r="K344" s="363"/>
      <c r="L344" s="363"/>
      <c r="M344" s="363"/>
      <c r="N344" s="363"/>
      <c r="O344" s="363"/>
      <c r="P344" s="363"/>
      <c r="Q344" s="363"/>
      <c r="R344" s="363"/>
      <c r="S344" s="363"/>
      <c r="T344" s="363"/>
      <c r="U344" s="363"/>
      <c r="V344" s="363"/>
      <c r="W344" s="363"/>
      <c r="X344" s="363"/>
      <c r="Y344" s="363"/>
      <c r="Z344" s="363"/>
    </row>
    <row r="345" spans="1:26" ht="9.75" customHeight="1">
      <c r="A345" s="90"/>
      <c r="B345" s="90"/>
      <c r="C345" s="90"/>
      <c r="D345" s="90"/>
      <c r="E345" s="90"/>
      <c r="F345" s="90"/>
      <c r="G345" s="90"/>
      <c r="H345" s="363"/>
      <c r="I345" s="363"/>
      <c r="J345" s="363"/>
      <c r="K345" s="363"/>
      <c r="L345" s="363"/>
      <c r="M345" s="363"/>
      <c r="N345" s="363"/>
      <c r="O345" s="363"/>
      <c r="P345" s="363"/>
      <c r="Q345" s="363"/>
      <c r="R345" s="363"/>
      <c r="S345" s="363"/>
      <c r="T345" s="363"/>
      <c r="U345" s="363"/>
      <c r="V345" s="363"/>
      <c r="W345" s="363"/>
      <c r="X345" s="363"/>
      <c r="Y345" s="363"/>
      <c r="Z345" s="363"/>
    </row>
    <row r="346" spans="1:26" ht="9.75" customHeight="1">
      <c r="A346" s="90"/>
      <c r="B346" s="90"/>
      <c r="C346" s="90"/>
      <c r="D346" s="90"/>
      <c r="E346" s="90"/>
      <c r="F346" s="90"/>
      <c r="G346" s="90"/>
      <c r="H346" s="363"/>
      <c r="I346" s="363"/>
      <c r="J346" s="363"/>
      <c r="K346" s="363"/>
      <c r="L346" s="363"/>
      <c r="M346" s="363"/>
      <c r="N346" s="363"/>
      <c r="O346" s="363"/>
      <c r="P346" s="363"/>
      <c r="Q346" s="363"/>
      <c r="R346" s="363"/>
      <c r="S346" s="363"/>
      <c r="T346" s="363"/>
      <c r="U346" s="363"/>
      <c r="V346" s="363"/>
      <c r="W346" s="363"/>
      <c r="X346" s="363"/>
      <c r="Y346" s="363"/>
      <c r="Z346" s="363"/>
    </row>
    <row r="347" spans="1:26" ht="9.75" customHeight="1">
      <c r="A347" s="90"/>
      <c r="B347" s="90"/>
      <c r="C347" s="90"/>
      <c r="D347" s="90"/>
      <c r="E347" s="90"/>
      <c r="F347" s="90"/>
      <c r="G347" s="90"/>
      <c r="H347" s="363"/>
      <c r="I347" s="363"/>
      <c r="J347" s="363"/>
      <c r="K347" s="363"/>
      <c r="L347" s="363"/>
      <c r="M347" s="363"/>
      <c r="N347" s="363"/>
      <c r="O347" s="363"/>
      <c r="P347" s="363"/>
      <c r="Q347" s="363"/>
      <c r="R347" s="363"/>
      <c r="S347" s="363"/>
      <c r="T347" s="363"/>
      <c r="U347" s="363"/>
      <c r="V347" s="363"/>
      <c r="W347" s="363"/>
      <c r="X347" s="363"/>
      <c r="Y347" s="363"/>
      <c r="Z347" s="363"/>
    </row>
    <row r="348" spans="1:26" ht="9.75" customHeight="1">
      <c r="A348" s="90"/>
      <c r="B348" s="90"/>
      <c r="C348" s="90"/>
      <c r="D348" s="90"/>
      <c r="E348" s="90"/>
      <c r="F348" s="90"/>
      <c r="G348" s="90"/>
      <c r="H348" s="363"/>
      <c r="I348" s="363"/>
      <c r="J348" s="363"/>
      <c r="K348" s="363"/>
      <c r="L348" s="363"/>
      <c r="M348" s="363"/>
      <c r="N348" s="363"/>
      <c r="O348" s="363"/>
      <c r="P348" s="363"/>
      <c r="Q348" s="363"/>
      <c r="R348" s="363"/>
      <c r="S348" s="363"/>
      <c r="T348" s="363"/>
      <c r="U348" s="363"/>
      <c r="V348" s="363"/>
      <c r="W348" s="363"/>
      <c r="X348" s="363"/>
      <c r="Y348" s="363"/>
      <c r="Z348" s="363"/>
    </row>
    <row r="349" spans="1:26" ht="9.75" customHeight="1">
      <c r="A349" s="90"/>
      <c r="B349" s="90"/>
      <c r="C349" s="90"/>
      <c r="D349" s="90"/>
      <c r="E349" s="90"/>
      <c r="F349" s="90"/>
      <c r="G349" s="90"/>
      <c r="H349" s="363"/>
      <c r="I349" s="363"/>
      <c r="J349" s="363"/>
      <c r="K349" s="363"/>
      <c r="L349" s="363"/>
      <c r="M349" s="363"/>
      <c r="N349" s="363"/>
      <c r="O349" s="363"/>
      <c r="P349" s="363"/>
      <c r="Q349" s="363"/>
      <c r="R349" s="363"/>
      <c r="S349" s="363"/>
      <c r="T349" s="363"/>
      <c r="U349" s="363"/>
      <c r="V349" s="363"/>
      <c r="W349" s="363"/>
      <c r="X349" s="363"/>
      <c r="Y349" s="363"/>
      <c r="Z349" s="363"/>
    </row>
    <row r="350" spans="1:26" ht="9.75" customHeight="1">
      <c r="A350" s="90"/>
      <c r="B350" s="90"/>
      <c r="C350" s="90"/>
      <c r="D350" s="90"/>
      <c r="E350" s="90"/>
      <c r="F350" s="90"/>
      <c r="G350" s="90"/>
      <c r="H350" s="363"/>
      <c r="I350" s="363"/>
      <c r="J350" s="363"/>
      <c r="K350" s="363"/>
      <c r="L350" s="363"/>
      <c r="M350" s="363"/>
      <c r="N350" s="363"/>
      <c r="O350" s="363"/>
      <c r="P350" s="363"/>
      <c r="Q350" s="363"/>
      <c r="R350" s="363"/>
      <c r="S350" s="363"/>
      <c r="T350" s="363"/>
      <c r="U350" s="363"/>
      <c r="V350" s="363"/>
      <c r="W350" s="363"/>
      <c r="X350" s="363"/>
      <c r="Y350" s="363"/>
      <c r="Z350" s="363"/>
    </row>
    <row r="351" spans="1:26" ht="9.75" customHeight="1">
      <c r="A351" s="90"/>
      <c r="B351" s="90"/>
      <c r="C351" s="90"/>
      <c r="D351" s="90"/>
      <c r="E351" s="90"/>
      <c r="F351" s="90"/>
      <c r="G351" s="90"/>
      <c r="H351" s="363"/>
      <c r="I351" s="363"/>
      <c r="J351" s="363"/>
      <c r="K351" s="363"/>
      <c r="L351" s="363"/>
      <c r="M351" s="363"/>
      <c r="N351" s="363"/>
      <c r="O351" s="363"/>
      <c r="P351" s="363"/>
      <c r="Q351" s="363"/>
      <c r="R351" s="363"/>
      <c r="S351" s="363"/>
      <c r="T351" s="363"/>
      <c r="U351" s="363"/>
      <c r="V351" s="363"/>
      <c r="W351" s="363"/>
      <c r="X351" s="363"/>
      <c r="Y351" s="363"/>
      <c r="Z351" s="363"/>
    </row>
    <row r="352" spans="1:26" ht="9.75" customHeight="1">
      <c r="A352" s="90"/>
      <c r="B352" s="90"/>
      <c r="C352" s="90"/>
      <c r="D352" s="90"/>
      <c r="E352" s="90"/>
      <c r="F352" s="90"/>
      <c r="G352" s="90"/>
      <c r="H352" s="363"/>
      <c r="I352" s="363"/>
      <c r="J352" s="363"/>
      <c r="K352" s="363"/>
      <c r="L352" s="363"/>
      <c r="M352" s="363"/>
      <c r="N352" s="363"/>
      <c r="O352" s="363"/>
      <c r="P352" s="363"/>
      <c r="Q352" s="363"/>
      <c r="R352" s="363"/>
      <c r="S352" s="363"/>
      <c r="T352" s="363"/>
      <c r="U352" s="363"/>
      <c r="V352" s="363"/>
      <c r="W352" s="363"/>
      <c r="X352" s="363"/>
      <c r="Y352" s="363"/>
      <c r="Z352" s="363"/>
    </row>
    <row r="353" spans="1:26" ht="9.75" customHeight="1">
      <c r="A353" s="90"/>
      <c r="B353" s="90"/>
      <c r="C353" s="90"/>
      <c r="D353" s="90"/>
      <c r="E353" s="90"/>
      <c r="F353" s="90"/>
      <c r="G353" s="90"/>
      <c r="H353" s="363"/>
      <c r="I353" s="363"/>
      <c r="J353" s="363"/>
      <c r="K353" s="363"/>
      <c r="L353" s="363"/>
      <c r="M353" s="363"/>
      <c r="N353" s="363"/>
      <c r="O353" s="363"/>
      <c r="P353" s="363"/>
      <c r="Q353" s="363"/>
      <c r="R353" s="363"/>
      <c r="S353" s="363"/>
      <c r="T353" s="363"/>
      <c r="U353" s="363"/>
      <c r="V353" s="363"/>
      <c r="W353" s="363"/>
      <c r="X353" s="363"/>
      <c r="Y353" s="363"/>
      <c r="Z353" s="363"/>
    </row>
    <row r="354" spans="1:26" ht="9.75" customHeight="1">
      <c r="A354" s="90"/>
      <c r="B354" s="90"/>
      <c r="C354" s="90"/>
      <c r="D354" s="90"/>
      <c r="E354" s="90"/>
      <c r="F354" s="90"/>
      <c r="G354" s="90"/>
      <c r="H354" s="363"/>
      <c r="I354" s="363"/>
      <c r="J354" s="363"/>
      <c r="K354" s="363"/>
      <c r="L354" s="363"/>
      <c r="M354" s="363"/>
      <c r="N354" s="363"/>
      <c r="O354" s="363"/>
      <c r="P354" s="363"/>
      <c r="Q354" s="363"/>
      <c r="R354" s="363"/>
      <c r="S354" s="363"/>
      <c r="T354" s="363"/>
      <c r="U354" s="363"/>
      <c r="V354" s="363"/>
      <c r="W354" s="363"/>
      <c r="X354" s="363"/>
      <c r="Y354" s="363"/>
      <c r="Z354" s="363"/>
    </row>
    <row r="355" spans="1:26" ht="9.75" customHeight="1">
      <c r="A355" s="90"/>
      <c r="B355" s="90"/>
      <c r="C355" s="90"/>
      <c r="D355" s="90"/>
      <c r="E355" s="90"/>
      <c r="F355" s="90"/>
      <c r="G355" s="90"/>
      <c r="H355" s="363"/>
      <c r="I355" s="363"/>
      <c r="J355" s="363"/>
      <c r="K355" s="363"/>
      <c r="L355" s="363"/>
      <c r="M355" s="363"/>
      <c r="N355" s="363"/>
      <c r="O355" s="363"/>
      <c r="P355" s="363"/>
      <c r="Q355" s="363"/>
      <c r="R355" s="363"/>
      <c r="S355" s="363"/>
      <c r="T355" s="363"/>
      <c r="U355" s="363"/>
      <c r="V355" s="363"/>
      <c r="W355" s="363"/>
      <c r="X355" s="363"/>
      <c r="Y355" s="363"/>
      <c r="Z355" s="363"/>
    </row>
    <row r="356" spans="1:26" ht="9.75" customHeight="1">
      <c r="A356" s="90"/>
      <c r="B356" s="90"/>
      <c r="C356" s="90"/>
      <c r="D356" s="90"/>
      <c r="E356" s="90"/>
      <c r="F356" s="90"/>
      <c r="G356" s="90"/>
      <c r="H356" s="363"/>
      <c r="I356" s="363"/>
      <c r="J356" s="363"/>
      <c r="K356" s="363"/>
      <c r="L356" s="363"/>
      <c r="M356" s="363"/>
      <c r="N356" s="363"/>
      <c r="O356" s="363"/>
      <c r="P356" s="363"/>
      <c r="Q356" s="363"/>
      <c r="R356" s="363"/>
      <c r="S356" s="363"/>
      <c r="T356" s="363"/>
      <c r="U356" s="363"/>
      <c r="V356" s="363"/>
      <c r="W356" s="363"/>
      <c r="X356" s="363"/>
      <c r="Y356" s="363"/>
      <c r="Z356" s="363"/>
    </row>
    <row r="357" spans="1:26" ht="9.75" customHeight="1">
      <c r="A357" s="90"/>
      <c r="B357" s="90"/>
      <c r="C357" s="90"/>
      <c r="D357" s="90"/>
      <c r="E357" s="90"/>
      <c r="F357" s="90"/>
      <c r="G357" s="90"/>
      <c r="H357" s="363"/>
      <c r="I357" s="363"/>
      <c r="J357" s="363"/>
      <c r="K357" s="363"/>
      <c r="L357" s="363"/>
      <c r="M357" s="363"/>
      <c r="N357" s="363"/>
      <c r="O357" s="363"/>
      <c r="P357" s="363"/>
      <c r="Q357" s="363"/>
      <c r="R357" s="363"/>
      <c r="S357" s="363"/>
      <c r="T357" s="363"/>
      <c r="U357" s="363"/>
      <c r="V357" s="363"/>
      <c r="W357" s="363"/>
      <c r="X357" s="363"/>
      <c r="Y357" s="363"/>
      <c r="Z357" s="363"/>
    </row>
    <row r="358" spans="1:26" ht="9.75" customHeight="1">
      <c r="A358" s="90"/>
      <c r="B358" s="90"/>
      <c r="C358" s="90"/>
      <c r="D358" s="90"/>
      <c r="E358" s="90"/>
      <c r="F358" s="90"/>
      <c r="G358" s="90"/>
      <c r="H358" s="363"/>
      <c r="I358" s="363"/>
      <c r="J358" s="363"/>
      <c r="K358" s="363"/>
      <c r="L358" s="363"/>
      <c r="M358" s="363"/>
      <c r="N358" s="363"/>
      <c r="O358" s="363"/>
      <c r="P358" s="363"/>
      <c r="Q358" s="363"/>
      <c r="R358" s="363"/>
      <c r="S358" s="363"/>
      <c r="T358" s="363"/>
      <c r="U358" s="363"/>
      <c r="V358" s="363"/>
      <c r="W358" s="363"/>
      <c r="X358" s="363"/>
      <c r="Y358" s="363"/>
      <c r="Z358" s="363"/>
    </row>
    <row r="359" spans="1:26" ht="9.75" customHeight="1">
      <c r="A359" s="90"/>
      <c r="B359" s="90"/>
      <c r="C359" s="90"/>
      <c r="D359" s="90"/>
      <c r="E359" s="90"/>
      <c r="F359" s="90"/>
      <c r="G359" s="90"/>
      <c r="H359" s="363"/>
      <c r="I359" s="363"/>
      <c r="J359" s="363"/>
      <c r="K359" s="363"/>
      <c r="L359" s="363"/>
      <c r="M359" s="363"/>
      <c r="N359" s="363"/>
      <c r="O359" s="363"/>
      <c r="P359" s="363"/>
      <c r="Q359" s="363"/>
      <c r="R359" s="363"/>
      <c r="S359" s="363"/>
      <c r="T359" s="363"/>
      <c r="U359" s="363"/>
      <c r="V359" s="363"/>
      <c r="W359" s="363"/>
      <c r="X359" s="363"/>
      <c r="Y359" s="363"/>
      <c r="Z359" s="363"/>
    </row>
    <row r="360" spans="1:26" ht="9.75" customHeight="1">
      <c r="A360" s="90"/>
      <c r="B360" s="90"/>
      <c r="C360" s="90"/>
      <c r="D360" s="90"/>
      <c r="E360" s="90"/>
      <c r="F360" s="90"/>
      <c r="G360" s="90"/>
      <c r="H360" s="363"/>
      <c r="I360" s="363"/>
      <c r="J360" s="363"/>
      <c r="K360" s="363"/>
      <c r="L360" s="363"/>
      <c r="M360" s="363"/>
      <c r="N360" s="363"/>
      <c r="O360" s="363"/>
      <c r="P360" s="363"/>
      <c r="Q360" s="363"/>
      <c r="R360" s="363"/>
      <c r="S360" s="363"/>
      <c r="T360" s="363"/>
      <c r="U360" s="363"/>
      <c r="V360" s="363"/>
      <c r="W360" s="363"/>
      <c r="X360" s="363"/>
      <c r="Y360" s="363"/>
      <c r="Z360" s="363"/>
    </row>
    <row r="361" spans="1:26" ht="9.75" customHeight="1">
      <c r="A361" s="90"/>
      <c r="B361" s="90"/>
      <c r="C361" s="90"/>
      <c r="D361" s="90"/>
      <c r="E361" s="90"/>
      <c r="F361" s="90"/>
      <c r="G361" s="90"/>
      <c r="H361" s="363"/>
      <c r="I361" s="363"/>
      <c r="J361" s="363"/>
      <c r="K361" s="363"/>
      <c r="L361" s="363"/>
      <c r="M361" s="363"/>
      <c r="N361" s="363"/>
      <c r="O361" s="363"/>
      <c r="P361" s="363"/>
      <c r="Q361" s="363"/>
      <c r="R361" s="363"/>
      <c r="S361" s="363"/>
      <c r="T361" s="363"/>
      <c r="U361" s="363"/>
      <c r="V361" s="363"/>
      <c r="W361" s="363"/>
      <c r="X361" s="363"/>
      <c r="Y361" s="363"/>
      <c r="Z361" s="363"/>
    </row>
    <row r="362" spans="1:26" ht="9.75" customHeight="1">
      <c r="A362" s="90"/>
      <c r="B362" s="90"/>
      <c r="C362" s="90"/>
      <c r="D362" s="90"/>
      <c r="E362" s="90"/>
      <c r="F362" s="90"/>
      <c r="G362" s="90"/>
      <c r="H362" s="363"/>
      <c r="I362" s="363"/>
      <c r="J362" s="363"/>
      <c r="K362" s="363"/>
      <c r="L362" s="363"/>
      <c r="M362" s="363"/>
      <c r="N362" s="363"/>
      <c r="O362" s="363"/>
      <c r="P362" s="363"/>
      <c r="Q362" s="363"/>
      <c r="R362" s="363"/>
      <c r="S362" s="363"/>
      <c r="T362" s="363"/>
      <c r="U362" s="363"/>
      <c r="V362" s="363"/>
      <c r="W362" s="363"/>
      <c r="X362" s="363"/>
      <c r="Y362" s="363"/>
      <c r="Z362" s="363"/>
    </row>
    <row r="363" spans="1:26" ht="9.75" customHeight="1">
      <c r="A363" s="90"/>
      <c r="B363" s="90"/>
      <c r="C363" s="90"/>
      <c r="D363" s="90"/>
      <c r="E363" s="90"/>
      <c r="F363" s="90"/>
      <c r="G363" s="90"/>
      <c r="H363" s="363"/>
      <c r="I363" s="363"/>
      <c r="J363" s="363"/>
      <c r="K363" s="363"/>
      <c r="L363" s="363"/>
      <c r="M363" s="363"/>
      <c r="N363" s="363"/>
      <c r="O363" s="363"/>
      <c r="P363" s="363"/>
      <c r="Q363" s="363"/>
      <c r="R363" s="363"/>
      <c r="S363" s="363"/>
      <c r="T363" s="363"/>
      <c r="U363" s="363"/>
      <c r="V363" s="363"/>
      <c r="W363" s="363"/>
      <c r="X363" s="363"/>
      <c r="Y363" s="363"/>
      <c r="Z363" s="363"/>
    </row>
    <row r="364" spans="1:26" ht="9.75" customHeight="1">
      <c r="A364" s="90"/>
      <c r="B364" s="90"/>
      <c r="C364" s="90"/>
      <c r="D364" s="90"/>
      <c r="E364" s="90"/>
      <c r="F364" s="90"/>
      <c r="G364" s="90"/>
      <c r="H364" s="363"/>
      <c r="I364" s="363"/>
      <c r="J364" s="363"/>
      <c r="K364" s="363"/>
      <c r="L364" s="363"/>
      <c r="M364" s="363"/>
      <c r="N364" s="363"/>
      <c r="O364" s="363"/>
      <c r="P364" s="363"/>
      <c r="Q364" s="363"/>
      <c r="R364" s="363"/>
      <c r="S364" s="363"/>
      <c r="T364" s="363"/>
      <c r="U364" s="363"/>
      <c r="V364" s="363"/>
      <c r="W364" s="363"/>
      <c r="X364" s="363"/>
      <c r="Y364" s="363"/>
      <c r="Z364" s="363"/>
    </row>
    <row r="365" spans="1:26" ht="9.75" customHeight="1">
      <c r="A365" s="90"/>
      <c r="B365" s="90"/>
      <c r="C365" s="90"/>
      <c r="D365" s="90"/>
      <c r="E365" s="90"/>
      <c r="F365" s="90"/>
      <c r="G365" s="90"/>
      <c r="H365" s="363"/>
      <c r="I365" s="363"/>
      <c r="J365" s="363"/>
      <c r="K365" s="363"/>
      <c r="L365" s="363"/>
      <c r="M365" s="363"/>
      <c r="N365" s="363"/>
      <c r="O365" s="363"/>
      <c r="P365" s="363"/>
      <c r="Q365" s="363"/>
      <c r="R365" s="363"/>
      <c r="S365" s="363"/>
      <c r="T365" s="363"/>
      <c r="U365" s="363"/>
      <c r="V365" s="363"/>
      <c r="W365" s="363"/>
      <c r="X365" s="363"/>
      <c r="Y365" s="363"/>
      <c r="Z365" s="363"/>
    </row>
    <row r="366" spans="1:26" ht="9.75" customHeight="1">
      <c r="A366" s="90"/>
      <c r="B366" s="90"/>
      <c r="C366" s="90"/>
      <c r="D366" s="90"/>
      <c r="E366" s="90"/>
      <c r="F366" s="90"/>
      <c r="G366" s="90"/>
      <c r="H366" s="363"/>
      <c r="I366" s="363"/>
      <c r="J366" s="363"/>
      <c r="K366" s="363"/>
      <c r="L366" s="363"/>
      <c r="M366" s="363"/>
      <c r="N366" s="363"/>
      <c r="O366" s="363"/>
      <c r="P366" s="363"/>
      <c r="Q366" s="363"/>
      <c r="R366" s="363"/>
      <c r="S366" s="363"/>
      <c r="T366" s="363"/>
      <c r="U366" s="363"/>
      <c r="V366" s="363"/>
      <c r="W366" s="363"/>
      <c r="X366" s="363"/>
      <c r="Y366" s="363"/>
      <c r="Z366" s="363"/>
    </row>
    <row r="367" spans="1:26" ht="9.75" customHeight="1">
      <c r="A367" s="90"/>
      <c r="B367" s="90"/>
      <c r="C367" s="90"/>
      <c r="D367" s="90"/>
      <c r="E367" s="90"/>
      <c r="F367" s="90"/>
      <c r="G367" s="90"/>
      <c r="H367" s="363"/>
      <c r="I367" s="363"/>
      <c r="J367" s="363"/>
      <c r="K367" s="363"/>
      <c r="L367" s="363"/>
      <c r="M367" s="363"/>
      <c r="N367" s="363"/>
      <c r="O367" s="363"/>
      <c r="P367" s="363"/>
      <c r="Q367" s="363"/>
      <c r="R367" s="363"/>
      <c r="S367" s="363"/>
      <c r="T367" s="363"/>
      <c r="U367" s="363"/>
      <c r="V367" s="363"/>
      <c r="W367" s="363"/>
      <c r="X367" s="363"/>
      <c r="Y367" s="363"/>
      <c r="Z367" s="363"/>
    </row>
    <row r="368" spans="1:26" ht="9.75" customHeight="1">
      <c r="A368" s="90"/>
      <c r="B368" s="90"/>
      <c r="C368" s="90"/>
      <c r="D368" s="90"/>
      <c r="E368" s="90"/>
      <c r="F368" s="90"/>
      <c r="G368" s="90"/>
      <c r="H368" s="363"/>
      <c r="I368" s="363"/>
      <c r="J368" s="363"/>
      <c r="K368" s="363"/>
      <c r="L368" s="363"/>
      <c r="M368" s="363"/>
      <c r="N368" s="363"/>
      <c r="O368" s="363"/>
      <c r="P368" s="363"/>
      <c r="Q368" s="363"/>
      <c r="R368" s="363"/>
      <c r="S368" s="363"/>
      <c r="T368" s="363"/>
      <c r="U368" s="363"/>
      <c r="V368" s="363"/>
      <c r="W368" s="363"/>
      <c r="X368" s="363"/>
      <c r="Y368" s="363"/>
      <c r="Z368" s="363"/>
    </row>
    <row r="369" spans="1:26" ht="9.75" customHeight="1">
      <c r="A369" s="90"/>
      <c r="B369" s="90"/>
      <c r="C369" s="90"/>
      <c r="D369" s="90"/>
      <c r="E369" s="90"/>
      <c r="F369" s="90"/>
      <c r="G369" s="90"/>
      <c r="H369" s="363"/>
      <c r="I369" s="363"/>
      <c r="J369" s="363"/>
      <c r="K369" s="363"/>
      <c r="L369" s="363"/>
      <c r="M369" s="363"/>
      <c r="N369" s="363"/>
      <c r="O369" s="363"/>
      <c r="P369" s="363"/>
      <c r="Q369" s="363"/>
      <c r="R369" s="363"/>
      <c r="S369" s="363"/>
      <c r="T369" s="363"/>
      <c r="U369" s="363"/>
      <c r="V369" s="363"/>
      <c r="W369" s="363"/>
      <c r="X369" s="363"/>
      <c r="Y369" s="363"/>
      <c r="Z369" s="363"/>
    </row>
    <row r="370" spans="1:26" ht="9.75" customHeight="1">
      <c r="A370" s="90"/>
      <c r="B370" s="90"/>
      <c r="C370" s="90"/>
      <c r="D370" s="90"/>
      <c r="E370" s="90"/>
      <c r="F370" s="90"/>
      <c r="G370" s="90"/>
      <c r="H370" s="363"/>
      <c r="I370" s="363"/>
      <c r="J370" s="363"/>
      <c r="K370" s="363"/>
      <c r="L370" s="363"/>
      <c r="M370" s="363"/>
      <c r="N370" s="363"/>
      <c r="O370" s="363"/>
      <c r="P370" s="363"/>
      <c r="Q370" s="363"/>
      <c r="R370" s="363"/>
      <c r="S370" s="363"/>
      <c r="T370" s="363"/>
      <c r="U370" s="363"/>
      <c r="V370" s="363"/>
      <c r="W370" s="363"/>
      <c r="X370" s="363"/>
      <c r="Y370" s="363"/>
      <c r="Z370" s="363"/>
    </row>
    <row r="371" spans="1:26" ht="9.75" customHeight="1">
      <c r="A371" s="90"/>
      <c r="B371" s="90"/>
      <c r="C371" s="90"/>
      <c r="D371" s="90"/>
      <c r="E371" s="90"/>
      <c r="F371" s="90"/>
      <c r="G371" s="90"/>
      <c r="H371" s="363"/>
      <c r="I371" s="363"/>
      <c r="J371" s="363"/>
      <c r="K371" s="363"/>
      <c r="L371" s="363"/>
      <c r="M371" s="363"/>
      <c r="N371" s="363"/>
      <c r="O371" s="363"/>
      <c r="P371" s="363"/>
      <c r="Q371" s="363"/>
      <c r="R371" s="363"/>
      <c r="S371" s="363"/>
      <c r="T371" s="363"/>
      <c r="U371" s="363"/>
      <c r="V371" s="363"/>
      <c r="W371" s="363"/>
      <c r="X371" s="363"/>
      <c r="Y371" s="363"/>
      <c r="Z371" s="363"/>
    </row>
    <row r="372" spans="1:26" ht="9.75" customHeight="1">
      <c r="A372" s="90"/>
      <c r="B372" s="90"/>
      <c r="C372" s="90"/>
      <c r="D372" s="90"/>
      <c r="E372" s="90"/>
      <c r="F372" s="90"/>
      <c r="G372" s="90"/>
      <c r="H372" s="363"/>
      <c r="I372" s="363"/>
      <c r="J372" s="363"/>
      <c r="K372" s="363"/>
      <c r="L372" s="363"/>
      <c r="M372" s="363"/>
      <c r="N372" s="363"/>
      <c r="O372" s="363"/>
      <c r="P372" s="363"/>
      <c r="Q372" s="363"/>
      <c r="R372" s="363"/>
      <c r="S372" s="363"/>
      <c r="T372" s="363"/>
      <c r="U372" s="363"/>
      <c r="V372" s="363"/>
      <c r="W372" s="363"/>
      <c r="X372" s="363"/>
      <c r="Y372" s="363"/>
      <c r="Z372" s="363"/>
    </row>
    <row r="373" spans="1:26" ht="9.75" customHeight="1">
      <c r="A373" s="90"/>
      <c r="B373" s="90"/>
      <c r="C373" s="90"/>
      <c r="D373" s="90"/>
      <c r="E373" s="90"/>
      <c r="F373" s="90"/>
      <c r="G373" s="90"/>
      <c r="H373" s="363"/>
      <c r="I373" s="363"/>
      <c r="J373" s="363"/>
      <c r="K373" s="363"/>
      <c r="L373" s="363"/>
      <c r="M373" s="363"/>
      <c r="N373" s="363"/>
      <c r="O373" s="363"/>
      <c r="P373" s="363"/>
      <c r="Q373" s="363"/>
      <c r="R373" s="363"/>
      <c r="S373" s="363"/>
      <c r="T373" s="363"/>
      <c r="U373" s="363"/>
      <c r="V373" s="363"/>
      <c r="W373" s="363"/>
      <c r="X373" s="363"/>
      <c r="Y373" s="363"/>
      <c r="Z373" s="363"/>
    </row>
    <row r="374" spans="1:26" ht="9.75" customHeight="1">
      <c r="A374" s="90"/>
      <c r="B374" s="90"/>
      <c r="C374" s="90"/>
      <c r="D374" s="90"/>
      <c r="E374" s="90"/>
      <c r="F374" s="90"/>
      <c r="G374" s="90"/>
      <c r="H374" s="363"/>
      <c r="I374" s="363"/>
      <c r="J374" s="363"/>
      <c r="K374" s="363"/>
      <c r="L374" s="363"/>
      <c r="M374" s="363"/>
      <c r="N374" s="363"/>
      <c r="O374" s="363"/>
      <c r="P374" s="363"/>
      <c r="Q374" s="363"/>
      <c r="R374" s="363"/>
      <c r="S374" s="363"/>
      <c r="T374" s="363"/>
      <c r="U374" s="363"/>
      <c r="V374" s="363"/>
      <c r="W374" s="363"/>
      <c r="X374" s="363"/>
      <c r="Y374" s="363"/>
      <c r="Z374" s="363"/>
    </row>
    <row r="375" spans="1:26" ht="9.75" customHeight="1">
      <c r="A375" s="90"/>
      <c r="B375" s="90"/>
      <c r="C375" s="90"/>
      <c r="D375" s="90"/>
      <c r="E375" s="90"/>
      <c r="F375" s="90"/>
      <c r="G375" s="90"/>
      <c r="H375" s="363"/>
      <c r="I375" s="363"/>
      <c r="J375" s="363"/>
      <c r="K375" s="363"/>
      <c r="L375" s="363"/>
      <c r="M375" s="363"/>
      <c r="N375" s="363"/>
      <c r="O375" s="363"/>
      <c r="P375" s="363"/>
      <c r="Q375" s="363"/>
      <c r="R375" s="363"/>
      <c r="S375" s="363"/>
      <c r="T375" s="363"/>
      <c r="U375" s="363"/>
      <c r="V375" s="363"/>
      <c r="W375" s="363"/>
      <c r="X375" s="363"/>
      <c r="Y375" s="363"/>
      <c r="Z375" s="363"/>
    </row>
    <row r="376" spans="1:26" ht="9.75" customHeight="1">
      <c r="A376" s="90"/>
      <c r="B376" s="90"/>
      <c r="C376" s="90"/>
      <c r="D376" s="90"/>
      <c r="E376" s="90"/>
      <c r="F376" s="90"/>
      <c r="G376" s="90"/>
      <c r="H376" s="363"/>
      <c r="I376" s="363"/>
      <c r="J376" s="363"/>
      <c r="K376" s="363"/>
      <c r="L376" s="363"/>
      <c r="M376" s="363"/>
      <c r="N376" s="363"/>
      <c r="O376" s="363"/>
      <c r="P376" s="363"/>
      <c r="Q376" s="363"/>
      <c r="R376" s="363"/>
      <c r="S376" s="363"/>
      <c r="T376" s="363"/>
      <c r="U376" s="363"/>
      <c r="V376" s="363"/>
      <c r="W376" s="363"/>
      <c r="X376" s="363"/>
      <c r="Y376" s="363"/>
      <c r="Z376" s="363"/>
    </row>
    <row r="377" spans="1:26" ht="9.75" customHeight="1">
      <c r="A377" s="90"/>
      <c r="B377" s="90"/>
      <c r="C377" s="90"/>
      <c r="D377" s="90"/>
      <c r="E377" s="90"/>
      <c r="F377" s="90"/>
      <c r="G377" s="90"/>
      <c r="H377" s="363"/>
      <c r="I377" s="363"/>
      <c r="J377" s="363"/>
      <c r="K377" s="363"/>
      <c r="L377" s="363"/>
      <c r="M377" s="363"/>
      <c r="N377" s="363"/>
      <c r="O377" s="363"/>
      <c r="P377" s="363"/>
      <c r="Q377" s="363"/>
      <c r="R377" s="363"/>
      <c r="S377" s="363"/>
      <c r="T377" s="363"/>
      <c r="U377" s="363"/>
      <c r="V377" s="363"/>
      <c r="W377" s="363"/>
      <c r="X377" s="363"/>
      <c r="Y377" s="363"/>
      <c r="Z377" s="363"/>
    </row>
    <row r="378" spans="1:26" ht="9.75" customHeight="1">
      <c r="A378" s="90"/>
      <c r="B378" s="90"/>
      <c r="C378" s="90"/>
      <c r="D378" s="90"/>
      <c r="E378" s="90"/>
      <c r="F378" s="90"/>
      <c r="G378" s="90"/>
      <c r="H378" s="363"/>
      <c r="I378" s="363"/>
      <c r="J378" s="363"/>
      <c r="K378" s="363"/>
      <c r="L378" s="363"/>
      <c r="M378" s="363"/>
      <c r="N378" s="363"/>
      <c r="O378" s="363"/>
      <c r="P378" s="363"/>
      <c r="Q378" s="363"/>
      <c r="R378" s="363"/>
      <c r="S378" s="363"/>
      <c r="T378" s="363"/>
      <c r="U378" s="363"/>
      <c r="V378" s="363"/>
      <c r="W378" s="363"/>
      <c r="X378" s="363"/>
      <c r="Y378" s="363"/>
      <c r="Z378" s="363"/>
    </row>
    <row r="379" spans="1:26" ht="9.75" customHeight="1">
      <c r="A379" s="90"/>
      <c r="B379" s="90"/>
      <c r="C379" s="90"/>
      <c r="D379" s="90"/>
      <c r="E379" s="90"/>
      <c r="F379" s="90"/>
      <c r="G379" s="90"/>
      <c r="H379" s="363"/>
      <c r="I379" s="363"/>
      <c r="J379" s="363"/>
      <c r="K379" s="363"/>
      <c r="L379" s="363"/>
      <c r="M379" s="363"/>
      <c r="N379" s="363"/>
      <c r="O379" s="363"/>
      <c r="P379" s="363"/>
      <c r="Q379" s="363"/>
      <c r="R379" s="363"/>
      <c r="S379" s="363"/>
      <c r="T379" s="363"/>
      <c r="U379" s="363"/>
      <c r="V379" s="363"/>
      <c r="W379" s="363"/>
      <c r="X379" s="363"/>
      <c r="Y379" s="363"/>
      <c r="Z379" s="363"/>
    </row>
    <row r="380" spans="1:26" ht="9.75" customHeight="1">
      <c r="A380" s="90"/>
      <c r="B380" s="90"/>
      <c r="C380" s="90"/>
      <c r="D380" s="90"/>
      <c r="E380" s="90"/>
      <c r="F380" s="90"/>
      <c r="G380" s="90"/>
      <c r="H380" s="363"/>
      <c r="I380" s="363"/>
      <c r="J380" s="363"/>
      <c r="K380" s="363"/>
      <c r="L380" s="363"/>
      <c r="M380" s="363"/>
      <c r="N380" s="363"/>
      <c r="O380" s="363"/>
      <c r="P380" s="363"/>
      <c r="Q380" s="363"/>
      <c r="R380" s="363"/>
      <c r="S380" s="363"/>
      <c r="T380" s="363"/>
      <c r="U380" s="363"/>
      <c r="V380" s="363"/>
      <c r="W380" s="363"/>
      <c r="X380" s="363"/>
      <c r="Y380" s="363"/>
      <c r="Z380" s="363"/>
    </row>
    <row r="381" spans="1:26" ht="9.75" customHeight="1">
      <c r="A381" s="90"/>
      <c r="B381" s="90"/>
      <c r="C381" s="90"/>
      <c r="D381" s="90"/>
      <c r="E381" s="90"/>
      <c r="F381" s="90"/>
      <c r="G381" s="90"/>
      <c r="H381" s="363"/>
      <c r="I381" s="363"/>
      <c r="J381" s="363"/>
      <c r="K381" s="363"/>
      <c r="L381" s="363"/>
      <c r="M381" s="363"/>
      <c r="N381" s="363"/>
      <c r="O381" s="363"/>
      <c r="P381" s="363"/>
      <c r="Q381" s="363"/>
      <c r="R381" s="363"/>
      <c r="S381" s="363"/>
      <c r="T381" s="363"/>
      <c r="U381" s="363"/>
      <c r="V381" s="363"/>
      <c r="W381" s="363"/>
      <c r="X381" s="363"/>
      <c r="Y381" s="363"/>
      <c r="Z381" s="363"/>
    </row>
    <row r="382" spans="1:26" ht="9.75" customHeight="1">
      <c r="A382" s="90"/>
      <c r="B382" s="90"/>
      <c r="C382" s="90"/>
      <c r="D382" s="90"/>
      <c r="E382" s="90"/>
      <c r="F382" s="90"/>
      <c r="G382" s="90"/>
      <c r="H382" s="363"/>
      <c r="I382" s="363"/>
      <c r="J382" s="363"/>
      <c r="K382" s="363"/>
      <c r="L382" s="363"/>
      <c r="M382" s="363"/>
      <c r="N382" s="363"/>
      <c r="O382" s="363"/>
      <c r="P382" s="363"/>
      <c r="Q382" s="363"/>
      <c r="R382" s="363"/>
      <c r="S382" s="363"/>
      <c r="T382" s="363"/>
      <c r="U382" s="363"/>
      <c r="V382" s="363"/>
      <c r="W382" s="363"/>
      <c r="X382" s="363"/>
      <c r="Y382" s="363"/>
      <c r="Z382" s="363"/>
    </row>
    <row r="383" spans="1:26" ht="9.75" customHeight="1">
      <c r="A383" s="90"/>
      <c r="B383" s="90"/>
      <c r="C383" s="90"/>
      <c r="D383" s="90"/>
      <c r="E383" s="90"/>
      <c r="F383" s="90"/>
      <c r="G383" s="90"/>
      <c r="H383" s="363"/>
      <c r="I383" s="363"/>
      <c r="J383" s="363"/>
      <c r="K383" s="363"/>
      <c r="L383" s="363"/>
      <c r="M383" s="363"/>
      <c r="N383" s="363"/>
      <c r="O383" s="363"/>
      <c r="P383" s="363"/>
      <c r="Q383" s="363"/>
      <c r="R383" s="363"/>
      <c r="S383" s="363"/>
      <c r="T383" s="363"/>
      <c r="U383" s="363"/>
      <c r="V383" s="363"/>
      <c r="W383" s="363"/>
      <c r="X383" s="363"/>
      <c r="Y383" s="363"/>
      <c r="Z383" s="363"/>
    </row>
    <row r="384" spans="1:26" ht="9.75" customHeight="1">
      <c r="A384" s="90"/>
      <c r="B384" s="90"/>
      <c r="C384" s="90"/>
      <c r="D384" s="90"/>
      <c r="E384" s="90"/>
      <c r="F384" s="90"/>
      <c r="G384" s="90"/>
      <c r="H384" s="363"/>
      <c r="I384" s="363"/>
      <c r="J384" s="363"/>
      <c r="K384" s="363"/>
      <c r="L384" s="363"/>
      <c r="M384" s="363"/>
      <c r="N384" s="363"/>
      <c r="O384" s="363"/>
      <c r="P384" s="363"/>
      <c r="Q384" s="363"/>
      <c r="R384" s="363"/>
      <c r="S384" s="363"/>
      <c r="T384" s="363"/>
      <c r="U384" s="363"/>
      <c r="V384" s="363"/>
      <c r="W384" s="363"/>
      <c r="X384" s="363"/>
      <c r="Y384" s="363"/>
      <c r="Z384" s="363"/>
    </row>
    <row r="385" spans="1:26" ht="9.75" customHeight="1">
      <c r="A385" s="90"/>
      <c r="B385" s="90"/>
      <c r="C385" s="90"/>
      <c r="D385" s="90"/>
      <c r="E385" s="90"/>
      <c r="F385" s="90"/>
      <c r="G385" s="90"/>
      <c r="H385" s="363"/>
      <c r="I385" s="363"/>
      <c r="J385" s="363"/>
      <c r="K385" s="363"/>
      <c r="L385" s="363"/>
      <c r="M385" s="363"/>
      <c r="N385" s="363"/>
      <c r="O385" s="363"/>
      <c r="P385" s="363"/>
      <c r="Q385" s="363"/>
      <c r="R385" s="363"/>
      <c r="S385" s="363"/>
      <c r="T385" s="363"/>
      <c r="U385" s="363"/>
      <c r="V385" s="363"/>
      <c r="W385" s="363"/>
      <c r="X385" s="363"/>
      <c r="Y385" s="363"/>
      <c r="Z385" s="363"/>
    </row>
    <row r="386" spans="1:26" ht="9.75" customHeight="1">
      <c r="A386" s="90"/>
      <c r="B386" s="90"/>
      <c r="C386" s="90"/>
      <c r="D386" s="90"/>
      <c r="E386" s="90"/>
      <c r="F386" s="90"/>
      <c r="G386" s="90"/>
      <c r="H386" s="363"/>
      <c r="I386" s="363"/>
      <c r="J386" s="363"/>
      <c r="K386" s="363"/>
      <c r="L386" s="363"/>
      <c r="M386" s="363"/>
      <c r="N386" s="363"/>
      <c r="O386" s="363"/>
      <c r="P386" s="363"/>
      <c r="Q386" s="363"/>
      <c r="R386" s="363"/>
      <c r="S386" s="363"/>
      <c r="T386" s="363"/>
      <c r="U386" s="363"/>
      <c r="V386" s="363"/>
      <c r="W386" s="363"/>
      <c r="X386" s="363"/>
      <c r="Y386" s="363"/>
      <c r="Z386" s="363"/>
    </row>
    <row r="387" spans="1:26" ht="9.75" customHeight="1">
      <c r="A387" s="90"/>
      <c r="B387" s="90"/>
      <c r="C387" s="90"/>
      <c r="D387" s="90"/>
      <c r="E387" s="90"/>
      <c r="F387" s="90"/>
      <c r="G387" s="90"/>
      <c r="H387" s="363"/>
      <c r="I387" s="363"/>
      <c r="J387" s="363"/>
      <c r="K387" s="363"/>
      <c r="L387" s="363"/>
      <c r="M387" s="363"/>
      <c r="N387" s="363"/>
      <c r="O387" s="363"/>
      <c r="P387" s="363"/>
      <c r="Q387" s="363"/>
      <c r="R387" s="363"/>
      <c r="S387" s="363"/>
      <c r="T387" s="363"/>
      <c r="U387" s="363"/>
      <c r="V387" s="363"/>
      <c r="W387" s="363"/>
      <c r="X387" s="363"/>
      <c r="Y387" s="363"/>
      <c r="Z387" s="363"/>
    </row>
    <row r="388" spans="1:26" ht="9.75" customHeight="1">
      <c r="A388" s="90"/>
      <c r="B388" s="90"/>
      <c r="C388" s="90"/>
      <c r="D388" s="90"/>
      <c r="E388" s="90"/>
      <c r="F388" s="90"/>
      <c r="G388" s="90"/>
      <c r="H388" s="363"/>
      <c r="I388" s="363"/>
      <c r="J388" s="363"/>
      <c r="K388" s="363"/>
      <c r="L388" s="363"/>
      <c r="M388" s="363"/>
      <c r="N388" s="363"/>
      <c r="O388" s="363"/>
      <c r="P388" s="363"/>
      <c r="Q388" s="363"/>
      <c r="R388" s="363"/>
      <c r="S388" s="363"/>
      <c r="T388" s="363"/>
      <c r="U388" s="363"/>
      <c r="V388" s="363"/>
      <c r="W388" s="363"/>
      <c r="X388" s="363"/>
      <c r="Y388" s="363"/>
      <c r="Z388" s="363"/>
    </row>
    <row r="389" spans="1:26" ht="9.75" customHeight="1">
      <c r="A389" s="90"/>
      <c r="B389" s="90"/>
      <c r="C389" s="90"/>
      <c r="D389" s="90"/>
      <c r="E389" s="90"/>
      <c r="F389" s="90"/>
      <c r="G389" s="90"/>
      <c r="H389" s="363"/>
      <c r="I389" s="363"/>
      <c r="J389" s="363"/>
      <c r="K389" s="363"/>
      <c r="L389" s="363"/>
      <c r="M389" s="363"/>
      <c r="N389" s="363"/>
      <c r="O389" s="363"/>
      <c r="P389" s="363"/>
      <c r="Q389" s="363"/>
      <c r="R389" s="363"/>
      <c r="S389" s="363"/>
      <c r="T389" s="363"/>
      <c r="U389" s="363"/>
      <c r="V389" s="363"/>
      <c r="W389" s="363"/>
      <c r="X389" s="363"/>
      <c r="Y389" s="363"/>
      <c r="Z389" s="363"/>
    </row>
    <row r="390" spans="1:26" ht="9.75" customHeight="1">
      <c r="A390" s="90"/>
      <c r="B390" s="90"/>
      <c r="C390" s="90"/>
      <c r="D390" s="90"/>
      <c r="E390" s="90"/>
      <c r="F390" s="90"/>
      <c r="G390" s="90"/>
      <c r="H390" s="363"/>
      <c r="I390" s="363"/>
      <c r="J390" s="363"/>
      <c r="K390" s="363"/>
      <c r="L390" s="363"/>
      <c r="M390" s="363"/>
      <c r="N390" s="363"/>
      <c r="O390" s="363"/>
      <c r="P390" s="363"/>
      <c r="Q390" s="363"/>
      <c r="R390" s="363"/>
      <c r="S390" s="363"/>
      <c r="T390" s="363"/>
      <c r="U390" s="363"/>
      <c r="V390" s="363"/>
      <c r="W390" s="363"/>
      <c r="X390" s="363"/>
      <c r="Y390" s="363"/>
      <c r="Z390" s="363"/>
    </row>
    <row r="391" spans="1:26" ht="9.75" customHeight="1">
      <c r="A391" s="90"/>
      <c r="B391" s="90"/>
      <c r="C391" s="90"/>
      <c r="D391" s="90"/>
      <c r="E391" s="90"/>
      <c r="F391" s="90"/>
      <c r="G391" s="90"/>
      <c r="H391" s="363"/>
      <c r="I391" s="363"/>
      <c r="J391" s="363"/>
      <c r="K391" s="363"/>
      <c r="L391" s="363"/>
      <c r="M391" s="363"/>
      <c r="N391" s="363"/>
      <c r="O391" s="363"/>
      <c r="P391" s="363"/>
      <c r="Q391" s="363"/>
      <c r="R391" s="363"/>
      <c r="S391" s="363"/>
      <c r="T391" s="363"/>
      <c r="U391" s="363"/>
      <c r="V391" s="363"/>
      <c r="W391" s="363"/>
      <c r="X391" s="363"/>
      <c r="Y391" s="363"/>
      <c r="Z391" s="363"/>
    </row>
    <row r="392" spans="1:26" ht="9.75" customHeight="1">
      <c r="A392" s="90"/>
      <c r="B392" s="90"/>
      <c r="C392" s="90"/>
      <c r="D392" s="90"/>
      <c r="E392" s="90"/>
      <c r="F392" s="90"/>
      <c r="G392" s="90"/>
      <c r="H392" s="363"/>
      <c r="I392" s="363"/>
      <c r="J392" s="363"/>
      <c r="K392" s="363"/>
      <c r="L392" s="363"/>
      <c r="M392" s="363"/>
      <c r="N392" s="363"/>
      <c r="O392" s="363"/>
      <c r="P392" s="363"/>
      <c r="Q392" s="363"/>
      <c r="R392" s="363"/>
      <c r="S392" s="363"/>
      <c r="T392" s="363"/>
      <c r="U392" s="363"/>
      <c r="V392" s="363"/>
      <c r="W392" s="363"/>
      <c r="X392" s="363"/>
      <c r="Y392" s="363"/>
      <c r="Z392" s="363"/>
    </row>
    <row r="393" spans="1:26" ht="9.75" customHeight="1">
      <c r="A393" s="90"/>
      <c r="B393" s="90"/>
      <c r="C393" s="90"/>
      <c r="D393" s="90"/>
      <c r="E393" s="90"/>
      <c r="F393" s="90"/>
      <c r="G393" s="90"/>
      <c r="H393" s="363"/>
      <c r="I393" s="363"/>
      <c r="J393" s="363"/>
      <c r="K393" s="363"/>
      <c r="L393" s="363"/>
      <c r="M393" s="363"/>
      <c r="N393" s="363"/>
      <c r="O393" s="363"/>
      <c r="P393" s="363"/>
      <c r="Q393" s="363"/>
      <c r="R393" s="363"/>
      <c r="S393" s="363"/>
      <c r="T393" s="363"/>
      <c r="U393" s="363"/>
      <c r="V393" s="363"/>
      <c r="W393" s="363"/>
      <c r="X393" s="363"/>
      <c r="Y393" s="363"/>
      <c r="Z393" s="363"/>
    </row>
    <row r="394" spans="1:26" ht="9.75" customHeight="1">
      <c r="A394" s="90"/>
      <c r="B394" s="90"/>
      <c r="C394" s="90"/>
      <c r="D394" s="90"/>
      <c r="E394" s="90"/>
      <c r="F394" s="90"/>
      <c r="G394" s="90"/>
      <c r="H394" s="363"/>
      <c r="I394" s="363"/>
      <c r="J394" s="363"/>
      <c r="K394" s="363"/>
      <c r="L394" s="363"/>
      <c r="M394" s="363"/>
      <c r="N394" s="363"/>
      <c r="O394" s="363"/>
      <c r="P394" s="363"/>
      <c r="Q394" s="363"/>
      <c r="R394" s="363"/>
      <c r="S394" s="363"/>
      <c r="T394" s="363"/>
      <c r="U394" s="363"/>
      <c r="V394" s="363"/>
      <c r="W394" s="363"/>
      <c r="X394" s="363"/>
      <c r="Y394" s="363"/>
      <c r="Z394" s="363"/>
    </row>
    <row r="395" spans="1:26" ht="9.75" customHeight="1">
      <c r="A395" s="90"/>
      <c r="B395" s="90"/>
      <c r="C395" s="90"/>
      <c r="D395" s="90"/>
      <c r="E395" s="90"/>
      <c r="F395" s="90"/>
      <c r="G395" s="90"/>
      <c r="H395" s="363"/>
      <c r="I395" s="363"/>
      <c r="J395" s="363"/>
      <c r="K395" s="363"/>
      <c r="L395" s="363"/>
      <c r="M395" s="363"/>
      <c r="N395" s="363"/>
      <c r="O395" s="363"/>
      <c r="P395" s="363"/>
      <c r="Q395" s="363"/>
      <c r="R395" s="363"/>
      <c r="S395" s="363"/>
      <c r="T395" s="363"/>
      <c r="U395" s="363"/>
      <c r="V395" s="363"/>
      <c r="W395" s="363"/>
      <c r="X395" s="363"/>
      <c r="Y395" s="363"/>
      <c r="Z395" s="363"/>
    </row>
    <row r="396" spans="1:26" ht="9.75" customHeight="1">
      <c r="A396" s="90"/>
      <c r="B396" s="90"/>
      <c r="C396" s="90"/>
      <c r="D396" s="90"/>
      <c r="E396" s="90"/>
      <c r="F396" s="90"/>
      <c r="G396" s="90"/>
      <c r="H396" s="363"/>
      <c r="I396" s="363"/>
      <c r="J396" s="363"/>
      <c r="K396" s="363"/>
      <c r="L396" s="363"/>
      <c r="M396" s="363"/>
      <c r="N396" s="363"/>
      <c r="O396" s="363"/>
      <c r="P396" s="363"/>
      <c r="Q396" s="363"/>
      <c r="R396" s="363"/>
      <c r="S396" s="363"/>
      <c r="T396" s="363"/>
      <c r="U396" s="363"/>
      <c r="V396" s="363"/>
      <c r="W396" s="363"/>
      <c r="X396" s="363"/>
      <c r="Y396" s="363"/>
      <c r="Z396" s="363"/>
    </row>
    <row r="397" spans="1:26" ht="9.75" customHeight="1">
      <c r="A397" s="90"/>
      <c r="B397" s="90"/>
      <c r="C397" s="90"/>
      <c r="D397" s="90"/>
      <c r="E397" s="90"/>
      <c r="F397" s="90"/>
      <c r="G397" s="90"/>
      <c r="H397" s="363"/>
      <c r="I397" s="363"/>
      <c r="J397" s="363"/>
      <c r="K397" s="363"/>
      <c r="L397" s="363"/>
      <c r="M397" s="363"/>
      <c r="N397" s="363"/>
      <c r="O397" s="363"/>
      <c r="P397" s="363"/>
      <c r="Q397" s="363"/>
      <c r="R397" s="363"/>
      <c r="S397" s="363"/>
      <c r="T397" s="363"/>
      <c r="U397" s="363"/>
      <c r="V397" s="363"/>
      <c r="W397" s="363"/>
      <c r="X397" s="363"/>
      <c r="Y397" s="363"/>
      <c r="Z397" s="363"/>
    </row>
    <row r="398" spans="1:26" ht="9.75" customHeight="1">
      <c r="A398" s="90"/>
      <c r="B398" s="90"/>
      <c r="C398" s="90"/>
      <c r="D398" s="90"/>
      <c r="E398" s="90"/>
      <c r="F398" s="90"/>
      <c r="G398" s="90"/>
      <c r="H398" s="363"/>
      <c r="I398" s="363"/>
      <c r="J398" s="363"/>
      <c r="K398" s="363"/>
      <c r="L398" s="363"/>
      <c r="M398" s="363"/>
      <c r="N398" s="363"/>
      <c r="O398" s="363"/>
      <c r="P398" s="363"/>
      <c r="Q398" s="363"/>
      <c r="R398" s="363"/>
      <c r="S398" s="363"/>
      <c r="T398" s="363"/>
      <c r="U398" s="363"/>
      <c r="V398" s="363"/>
      <c r="W398" s="363"/>
      <c r="X398" s="363"/>
      <c r="Y398" s="363"/>
      <c r="Z398" s="363"/>
    </row>
    <row r="399" spans="1:26" ht="9.75" customHeight="1">
      <c r="A399" s="90"/>
      <c r="B399" s="90"/>
      <c r="C399" s="90"/>
      <c r="D399" s="90"/>
      <c r="E399" s="90"/>
      <c r="F399" s="90"/>
      <c r="G399" s="90"/>
      <c r="H399" s="363"/>
      <c r="I399" s="363"/>
      <c r="J399" s="363"/>
      <c r="K399" s="363"/>
      <c r="L399" s="363"/>
      <c r="M399" s="363"/>
      <c r="N399" s="363"/>
      <c r="O399" s="363"/>
      <c r="P399" s="363"/>
      <c r="Q399" s="363"/>
      <c r="R399" s="363"/>
      <c r="S399" s="363"/>
      <c r="T399" s="363"/>
      <c r="U399" s="363"/>
      <c r="V399" s="363"/>
      <c r="W399" s="363"/>
      <c r="X399" s="363"/>
      <c r="Y399" s="363"/>
      <c r="Z399" s="363"/>
    </row>
    <row r="400" spans="1:26" ht="9.75" customHeight="1">
      <c r="A400" s="90"/>
      <c r="B400" s="90"/>
      <c r="C400" s="90"/>
      <c r="D400" s="90"/>
      <c r="E400" s="90"/>
      <c r="F400" s="90"/>
      <c r="G400" s="90"/>
      <c r="H400" s="363"/>
      <c r="I400" s="363"/>
      <c r="J400" s="363"/>
      <c r="K400" s="363"/>
      <c r="L400" s="363"/>
      <c r="M400" s="363"/>
      <c r="N400" s="363"/>
      <c r="O400" s="363"/>
      <c r="P400" s="363"/>
      <c r="Q400" s="363"/>
      <c r="R400" s="363"/>
      <c r="S400" s="363"/>
      <c r="T400" s="363"/>
      <c r="U400" s="363"/>
      <c r="V400" s="363"/>
      <c r="W400" s="363"/>
      <c r="X400" s="363"/>
      <c r="Y400" s="363"/>
      <c r="Z400" s="363"/>
    </row>
    <row r="401" spans="1:26" ht="9.75" customHeight="1">
      <c r="A401" s="90"/>
      <c r="B401" s="90"/>
      <c r="C401" s="90"/>
      <c r="D401" s="90"/>
      <c r="E401" s="90"/>
      <c r="F401" s="90"/>
      <c r="G401" s="90"/>
      <c r="H401" s="363"/>
      <c r="I401" s="363"/>
      <c r="J401" s="363"/>
      <c r="K401" s="363"/>
      <c r="L401" s="363"/>
      <c r="M401" s="363"/>
      <c r="N401" s="363"/>
      <c r="O401" s="363"/>
      <c r="P401" s="363"/>
      <c r="Q401" s="363"/>
      <c r="R401" s="363"/>
      <c r="S401" s="363"/>
      <c r="T401" s="363"/>
      <c r="U401" s="363"/>
      <c r="V401" s="363"/>
      <c r="W401" s="363"/>
      <c r="X401" s="363"/>
      <c r="Y401" s="363"/>
      <c r="Z401" s="363"/>
    </row>
    <row r="402" spans="1:26" ht="9.75" customHeight="1">
      <c r="A402" s="90"/>
      <c r="B402" s="90"/>
      <c r="C402" s="90"/>
      <c r="D402" s="90"/>
      <c r="E402" s="90"/>
      <c r="F402" s="90"/>
      <c r="G402" s="90"/>
      <c r="H402" s="363"/>
      <c r="I402" s="363"/>
      <c r="J402" s="363"/>
      <c r="K402" s="363"/>
      <c r="L402" s="363"/>
      <c r="M402" s="363"/>
      <c r="N402" s="363"/>
      <c r="O402" s="363"/>
      <c r="P402" s="363"/>
      <c r="Q402" s="363"/>
      <c r="R402" s="363"/>
      <c r="S402" s="363"/>
      <c r="T402" s="363"/>
      <c r="U402" s="363"/>
      <c r="V402" s="363"/>
      <c r="W402" s="363"/>
      <c r="X402" s="363"/>
      <c r="Y402" s="363"/>
      <c r="Z402" s="363"/>
    </row>
    <row r="403" spans="1:26" ht="9.75" customHeight="1">
      <c r="A403" s="90"/>
      <c r="B403" s="90"/>
      <c r="C403" s="90"/>
      <c r="D403" s="90"/>
      <c r="E403" s="90"/>
      <c r="F403" s="90"/>
      <c r="G403" s="90"/>
      <c r="H403" s="363"/>
      <c r="I403" s="363"/>
      <c r="J403" s="363"/>
      <c r="K403" s="363"/>
      <c r="L403" s="363"/>
      <c r="M403" s="363"/>
      <c r="N403" s="363"/>
      <c r="O403" s="363"/>
      <c r="P403" s="363"/>
      <c r="Q403" s="363"/>
      <c r="R403" s="363"/>
      <c r="S403" s="363"/>
      <c r="T403" s="363"/>
      <c r="U403" s="363"/>
      <c r="V403" s="363"/>
      <c r="W403" s="363"/>
      <c r="X403" s="363"/>
      <c r="Y403" s="363"/>
      <c r="Z403" s="363"/>
    </row>
    <row r="404" spans="1:26" ht="9.75" customHeight="1">
      <c r="A404" s="90"/>
      <c r="B404" s="90"/>
      <c r="C404" s="90"/>
      <c r="D404" s="90"/>
      <c r="E404" s="90"/>
      <c r="F404" s="90"/>
      <c r="G404" s="90"/>
      <c r="H404" s="363"/>
      <c r="I404" s="363"/>
      <c r="J404" s="363"/>
      <c r="K404" s="363"/>
      <c r="L404" s="363"/>
      <c r="M404" s="363"/>
      <c r="N404" s="363"/>
      <c r="O404" s="363"/>
      <c r="P404" s="363"/>
      <c r="Q404" s="363"/>
      <c r="R404" s="363"/>
      <c r="S404" s="363"/>
      <c r="T404" s="363"/>
      <c r="U404" s="363"/>
      <c r="V404" s="363"/>
      <c r="W404" s="363"/>
      <c r="X404" s="363"/>
      <c r="Y404" s="363"/>
      <c r="Z404" s="363"/>
    </row>
    <row r="405" spans="1:26" ht="9.75" customHeight="1">
      <c r="A405" s="90"/>
      <c r="B405" s="90"/>
      <c r="C405" s="90"/>
      <c r="D405" s="90"/>
      <c r="E405" s="90"/>
      <c r="F405" s="90"/>
      <c r="G405" s="90"/>
      <c r="H405" s="363"/>
      <c r="I405" s="363"/>
      <c r="J405" s="363"/>
      <c r="K405" s="363"/>
      <c r="L405" s="363"/>
      <c r="M405" s="363"/>
      <c r="N405" s="363"/>
      <c r="O405" s="363"/>
      <c r="P405" s="363"/>
      <c r="Q405" s="363"/>
      <c r="R405" s="363"/>
      <c r="S405" s="363"/>
      <c r="T405" s="363"/>
      <c r="U405" s="363"/>
      <c r="V405" s="363"/>
      <c r="W405" s="363"/>
      <c r="X405" s="363"/>
      <c r="Y405" s="363"/>
      <c r="Z405" s="363"/>
    </row>
    <row r="406" spans="1:26" ht="9.75" customHeight="1">
      <c r="A406" s="90"/>
      <c r="B406" s="90"/>
      <c r="C406" s="90"/>
      <c r="D406" s="90"/>
      <c r="E406" s="90"/>
      <c r="F406" s="90"/>
      <c r="G406" s="90"/>
      <c r="H406" s="363"/>
      <c r="I406" s="363"/>
      <c r="J406" s="363"/>
      <c r="K406" s="363"/>
      <c r="L406" s="363"/>
      <c r="M406" s="363"/>
      <c r="N406" s="363"/>
      <c r="O406" s="363"/>
      <c r="P406" s="363"/>
      <c r="Q406" s="363"/>
      <c r="R406" s="363"/>
      <c r="S406" s="363"/>
      <c r="T406" s="363"/>
      <c r="U406" s="363"/>
      <c r="V406" s="363"/>
      <c r="W406" s="363"/>
      <c r="X406" s="363"/>
      <c r="Y406" s="363"/>
      <c r="Z406" s="363"/>
    </row>
    <row r="407" spans="1:26" ht="9.75" customHeight="1">
      <c r="A407" s="90"/>
      <c r="B407" s="90"/>
      <c r="C407" s="90"/>
      <c r="D407" s="90"/>
      <c r="E407" s="90"/>
      <c r="F407" s="90"/>
      <c r="G407" s="90"/>
      <c r="H407" s="363"/>
      <c r="I407" s="363"/>
      <c r="J407" s="363"/>
      <c r="K407" s="363"/>
      <c r="L407" s="363"/>
      <c r="M407" s="363"/>
      <c r="N407" s="363"/>
      <c r="O407" s="363"/>
      <c r="P407" s="363"/>
      <c r="Q407" s="363"/>
      <c r="R407" s="363"/>
      <c r="S407" s="363"/>
      <c r="T407" s="363"/>
      <c r="U407" s="363"/>
      <c r="V407" s="363"/>
      <c r="W407" s="363"/>
      <c r="X407" s="363"/>
      <c r="Y407" s="363"/>
      <c r="Z407" s="363"/>
    </row>
    <row r="408" spans="1:26" ht="9.75" customHeight="1">
      <c r="A408" s="90"/>
      <c r="B408" s="90"/>
      <c r="C408" s="90"/>
      <c r="D408" s="90"/>
      <c r="E408" s="90"/>
      <c r="F408" s="90"/>
      <c r="G408" s="90"/>
      <c r="H408" s="363"/>
      <c r="I408" s="363"/>
      <c r="J408" s="363"/>
      <c r="K408" s="363"/>
      <c r="L408" s="363"/>
      <c r="M408" s="363"/>
      <c r="N408" s="363"/>
      <c r="O408" s="363"/>
      <c r="P408" s="363"/>
      <c r="Q408" s="363"/>
      <c r="R408" s="363"/>
      <c r="S408" s="363"/>
      <c r="T408" s="363"/>
      <c r="U408" s="363"/>
      <c r="V408" s="363"/>
      <c r="W408" s="363"/>
      <c r="X408" s="363"/>
      <c r="Y408" s="363"/>
      <c r="Z408" s="363"/>
    </row>
    <row r="409" spans="1:26" ht="9.75" customHeight="1">
      <c r="A409" s="90"/>
      <c r="B409" s="90"/>
      <c r="C409" s="90"/>
      <c r="D409" s="90"/>
      <c r="E409" s="90"/>
      <c r="F409" s="90"/>
      <c r="G409" s="90"/>
      <c r="H409" s="363"/>
      <c r="I409" s="363"/>
      <c r="J409" s="363"/>
      <c r="K409" s="363"/>
      <c r="L409" s="363"/>
      <c r="M409" s="363"/>
      <c r="N409" s="363"/>
      <c r="O409" s="363"/>
      <c r="P409" s="363"/>
      <c r="Q409" s="363"/>
      <c r="R409" s="363"/>
      <c r="S409" s="363"/>
      <c r="T409" s="363"/>
      <c r="U409" s="363"/>
      <c r="V409" s="363"/>
      <c r="W409" s="363"/>
      <c r="X409" s="363"/>
      <c r="Y409" s="363"/>
      <c r="Z409" s="363"/>
    </row>
    <row r="410" spans="1:26" ht="9.75" customHeight="1">
      <c r="A410" s="90"/>
      <c r="B410" s="90"/>
      <c r="C410" s="90"/>
      <c r="D410" s="90"/>
      <c r="E410" s="90"/>
      <c r="F410" s="90"/>
      <c r="G410" s="90"/>
      <c r="H410" s="363"/>
      <c r="I410" s="363"/>
      <c r="J410" s="363"/>
      <c r="K410" s="363"/>
      <c r="L410" s="363"/>
      <c r="M410" s="363"/>
      <c r="N410" s="363"/>
      <c r="O410" s="363"/>
      <c r="P410" s="363"/>
      <c r="Q410" s="363"/>
      <c r="R410" s="363"/>
      <c r="S410" s="363"/>
      <c r="T410" s="363"/>
      <c r="U410" s="363"/>
      <c r="V410" s="363"/>
      <c r="W410" s="363"/>
      <c r="X410" s="363"/>
      <c r="Y410" s="363"/>
      <c r="Z410" s="363"/>
    </row>
    <row r="411" spans="1:26" ht="9.75" customHeight="1">
      <c r="A411" s="90"/>
      <c r="B411" s="90"/>
      <c r="C411" s="90"/>
      <c r="D411" s="90"/>
      <c r="E411" s="90"/>
      <c r="F411" s="90"/>
      <c r="G411" s="90"/>
      <c r="H411" s="363"/>
      <c r="I411" s="363"/>
      <c r="J411" s="363"/>
      <c r="K411" s="363"/>
      <c r="L411" s="363"/>
      <c r="M411" s="363"/>
      <c r="N411" s="363"/>
      <c r="O411" s="363"/>
      <c r="P411" s="363"/>
      <c r="Q411" s="363"/>
      <c r="R411" s="363"/>
      <c r="S411" s="363"/>
      <c r="T411" s="363"/>
      <c r="U411" s="363"/>
      <c r="V411" s="363"/>
      <c r="W411" s="363"/>
      <c r="X411" s="363"/>
      <c r="Y411" s="363"/>
      <c r="Z411" s="363"/>
    </row>
    <row r="412" spans="1:26" ht="9.75" customHeight="1">
      <c r="A412" s="90"/>
      <c r="B412" s="90"/>
      <c r="C412" s="90"/>
      <c r="D412" s="90"/>
      <c r="E412" s="90"/>
      <c r="F412" s="90"/>
      <c r="G412" s="90"/>
      <c r="H412" s="363"/>
      <c r="I412" s="363"/>
      <c r="J412" s="363"/>
      <c r="K412" s="363"/>
      <c r="L412" s="363"/>
      <c r="M412" s="363"/>
      <c r="N412" s="363"/>
      <c r="O412" s="363"/>
      <c r="P412" s="363"/>
      <c r="Q412" s="363"/>
      <c r="R412" s="363"/>
      <c r="S412" s="363"/>
      <c r="T412" s="363"/>
      <c r="U412" s="363"/>
      <c r="V412" s="363"/>
      <c r="W412" s="363"/>
      <c r="X412" s="363"/>
      <c r="Y412" s="363"/>
      <c r="Z412" s="363"/>
    </row>
    <row r="413" spans="1:26" ht="9.75" customHeight="1">
      <c r="A413" s="90"/>
      <c r="B413" s="90"/>
      <c r="C413" s="90"/>
      <c r="D413" s="90"/>
      <c r="E413" s="90"/>
      <c r="F413" s="90"/>
      <c r="G413" s="90"/>
      <c r="H413" s="363"/>
      <c r="I413" s="363"/>
      <c r="J413" s="363"/>
      <c r="K413" s="363"/>
      <c r="L413" s="363"/>
      <c r="M413" s="363"/>
      <c r="N413" s="363"/>
      <c r="O413" s="363"/>
      <c r="P413" s="363"/>
      <c r="Q413" s="363"/>
      <c r="R413" s="363"/>
      <c r="S413" s="363"/>
      <c r="T413" s="363"/>
      <c r="U413" s="363"/>
      <c r="V413" s="363"/>
      <c r="W413" s="363"/>
      <c r="X413" s="363"/>
      <c r="Y413" s="363"/>
      <c r="Z413" s="363"/>
    </row>
    <row r="414" spans="1:26" ht="9.75" customHeight="1">
      <c r="A414" s="90"/>
      <c r="B414" s="90"/>
      <c r="C414" s="90"/>
      <c r="D414" s="90"/>
      <c r="E414" s="90"/>
      <c r="F414" s="90"/>
      <c r="G414" s="90"/>
      <c r="H414" s="363"/>
      <c r="I414" s="363"/>
      <c r="J414" s="363"/>
      <c r="K414" s="363"/>
      <c r="L414" s="363"/>
      <c r="M414" s="363"/>
      <c r="N414" s="363"/>
      <c r="O414" s="363"/>
      <c r="P414" s="363"/>
      <c r="Q414" s="363"/>
      <c r="R414" s="363"/>
      <c r="S414" s="363"/>
      <c r="T414" s="363"/>
      <c r="U414" s="363"/>
      <c r="V414" s="363"/>
      <c r="W414" s="363"/>
      <c r="X414" s="363"/>
      <c r="Y414" s="363"/>
      <c r="Z414" s="363"/>
    </row>
    <row r="415" spans="1:26" ht="9.75" customHeight="1">
      <c r="A415" s="90"/>
      <c r="B415" s="90"/>
      <c r="C415" s="90"/>
      <c r="D415" s="90"/>
      <c r="E415" s="90"/>
      <c r="F415" s="90"/>
      <c r="G415" s="90"/>
      <c r="H415" s="363"/>
      <c r="I415" s="363"/>
      <c r="J415" s="363"/>
      <c r="K415" s="363"/>
      <c r="L415" s="363"/>
      <c r="M415" s="363"/>
      <c r="N415" s="363"/>
      <c r="O415" s="363"/>
      <c r="P415" s="363"/>
      <c r="Q415" s="363"/>
      <c r="R415" s="363"/>
      <c r="S415" s="363"/>
      <c r="T415" s="363"/>
      <c r="U415" s="363"/>
      <c r="V415" s="363"/>
      <c r="W415" s="363"/>
      <c r="X415" s="363"/>
      <c r="Y415" s="363"/>
      <c r="Z415" s="363"/>
    </row>
    <row r="416" spans="1:26" ht="9.75" customHeight="1">
      <c r="A416" s="90"/>
      <c r="B416" s="90"/>
      <c r="C416" s="90"/>
      <c r="D416" s="90"/>
      <c r="E416" s="90"/>
      <c r="F416" s="90"/>
      <c r="G416" s="90"/>
      <c r="H416" s="363"/>
      <c r="I416" s="363"/>
      <c r="J416" s="363"/>
      <c r="K416" s="363"/>
      <c r="L416" s="363"/>
      <c r="M416" s="363"/>
      <c r="N416" s="363"/>
      <c r="O416" s="363"/>
      <c r="P416" s="363"/>
      <c r="Q416" s="363"/>
      <c r="R416" s="363"/>
      <c r="S416" s="363"/>
      <c r="T416" s="363"/>
      <c r="U416" s="363"/>
      <c r="V416" s="363"/>
      <c r="W416" s="363"/>
      <c r="X416" s="363"/>
      <c r="Y416" s="363"/>
      <c r="Z416" s="363"/>
    </row>
    <row r="417" spans="1:26" ht="9.75" customHeight="1">
      <c r="A417" s="90"/>
      <c r="B417" s="90"/>
      <c r="C417" s="90"/>
      <c r="D417" s="90"/>
      <c r="E417" s="90"/>
      <c r="F417" s="90"/>
      <c r="G417" s="90"/>
      <c r="H417" s="363"/>
      <c r="I417" s="363"/>
      <c r="J417" s="363"/>
      <c r="K417" s="363"/>
      <c r="L417" s="363"/>
      <c r="M417" s="363"/>
      <c r="N417" s="363"/>
      <c r="O417" s="363"/>
      <c r="P417" s="363"/>
      <c r="Q417" s="363"/>
      <c r="R417" s="363"/>
      <c r="S417" s="363"/>
      <c r="T417" s="363"/>
      <c r="U417" s="363"/>
      <c r="V417" s="363"/>
      <c r="W417" s="363"/>
      <c r="X417" s="363"/>
      <c r="Y417" s="363"/>
      <c r="Z417" s="363"/>
    </row>
    <row r="418" spans="1:26" ht="9.75" customHeight="1">
      <c r="A418" s="90"/>
      <c r="B418" s="90"/>
      <c r="C418" s="90"/>
      <c r="D418" s="90"/>
      <c r="E418" s="90"/>
      <c r="F418" s="90"/>
      <c r="G418" s="90"/>
      <c r="H418" s="363"/>
      <c r="I418" s="363"/>
      <c r="J418" s="363"/>
      <c r="K418" s="363"/>
      <c r="L418" s="363"/>
      <c r="M418" s="363"/>
      <c r="N418" s="363"/>
      <c r="O418" s="363"/>
      <c r="P418" s="363"/>
      <c r="Q418" s="363"/>
      <c r="R418" s="363"/>
      <c r="S418" s="363"/>
      <c r="T418" s="363"/>
      <c r="U418" s="363"/>
      <c r="V418" s="363"/>
      <c r="W418" s="363"/>
      <c r="X418" s="363"/>
      <c r="Y418" s="363"/>
      <c r="Z418" s="363"/>
    </row>
    <row r="419" spans="1:26" ht="9.75" customHeight="1">
      <c r="A419" s="90"/>
      <c r="B419" s="90"/>
      <c r="C419" s="90"/>
      <c r="D419" s="90"/>
      <c r="E419" s="90"/>
      <c r="F419" s="90"/>
      <c r="G419" s="90"/>
      <c r="H419" s="363"/>
      <c r="I419" s="363"/>
      <c r="J419" s="363"/>
      <c r="K419" s="363"/>
      <c r="L419" s="363"/>
      <c r="M419" s="363"/>
      <c r="N419" s="363"/>
      <c r="O419" s="363"/>
      <c r="P419" s="363"/>
      <c r="Q419" s="363"/>
      <c r="R419" s="363"/>
      <c r="S419" s="363"/>
      <c r="T419" s="363"/>
      <c r="U419" s="363"/>
      <c r="V419" s="363"/>
      <c r="W419" s="363"/>
      <c r="X419" s="363"/>
      <c r="Y419" s="363"/>
      <c r="Z419" s="363"/>
    </row>
    <row r="420" spans="1:26" ht="9.75" customHeight="1">
      <c r="A420" s="90"/>
      <c r="B420" s="90"/>
      <c r="C420" s="90"/>
      <c r="D420" s="90"/>
      <c r="E420" s="90"/>
      <c r="F420" s="90"/>
      <c r="G420" s="90"/>
      <c r="H420" s="363"/>
      <c r="I420" s="363"/>
      <c r="J420" s="363"/>
      <c r="K420" s="363"/>
      <c r="L420" s="363"/>
      <c r="M420" s="363"/>
      <c r="N420" s="363"/>
      <c r="O420" s="363"/>
      <c r="P420" s="363"/>
      <c r="Q420" s="363"/>
      <c r="R420" s="363"/>
      <c r="S420" s="363"/>
      <c r="T420" s="363"/>
      <c r="U420" s="363"/>
      <c r="V420" s="363"/>
      <c r="W420" s="363"/>
      <c r="X420" s="363"/>
      <c r="Y420" s="363"/>
      <c r="Z420" s="363"/>
    </row>
    <row r="421" spans="1:26" ht="9.75" customHeight="1">
      <c r="A421" s="90"/>
      <c r="B421" s="90"/>
      <c r="C421" s="90"/>
      <c r="D421" s="90"/>
      <c r="E421" s="90"/>
      <c r="F421" s="90"/>
      <c r="G421" s="90"/>
      <c r="H421" s="363"/>
      <c r="I421" s="363"/>
      <c r="J421" s="363"/>
      <c r="K421" s="363"/>
      <c r="L421" s="363"/>
      <c r="M421" s="363"/>
      <c r="N421" s="363"/>
      <c r="O421" s="363"/>
      <c r="P421" s="363"/>
      <c r="Q421" s="363"/>
      <c r="R421" s="363"/>
      <c r="S421" s="363"/>
      <c r="T421" s="363"/>
      <c r="U421" s="363"/>
      <c r="V421" s="363"/>
      <c r="W421" s="363"/>
      <c r="X421" s="363"/>
      <c r="Y421" s="363"/>
      <c r="Z421" s="363"/>
    </row>
    <row r="422" spans="1:26" ht="9.75" customHeight="1">
      <c r="A422" s="90"/>
      <c r="B422" s="90"/>
      <c r="C422" s="90"/>
      <c r="D422" s="90"/>
      <c r="E422" s="90"/>
      <c r="F422" s="90"/>
      <c r="G422" s="90"/>
      <c r="H422" s="363"/>
      <c r="I422" s="363"/>
      <c r="J422" s="363"/>
      <c r="K422" s="363"/>
      <c r="L422" s="363"/>
      <c r="M422" s="363"/>
      <c r="N422" s="363"/>
      <c r="O422" s="363"/>
      <c r="P422" s="363"/>
      <c r="Q422" s="363"/>
      <c r="R422" s="363"/>
      <c r="S422" s="363"/>
      <c r="T422" s="363"/>
      <c r="U422" s="363"/>
      <c r="V422" s="363"/>
      <c r="W422" s="363"/>
      <c r="X422" s="363"/>
      <c r="Y422" s="363"/>
      <c r="Z422" s="363"/>
    </row>
    <row r="423" spans="1:26" ht="9.75" customHeight="1">
      <c r="A423" s="90"/>
      <c r="B423" s="90"/>
      <c r="C423" s="90"/>
      <c r="D423" s="90"/>
      <c r="E423" s="90"/>
      <c r="F423" s="90"/>
      <c r="G423" s="90"/>
      <c r="H423" s="363"/>
      <c r="I423" s="363"/>
      <c r="J423" s="363"/>
      <c r="K423" s="363"/>
      <c r="L423" s="363"/>
      <c r="M423" s="363"/>
      <c r="N423" s="363"/>
      <c r="O423" s="363"/>
      <c r="P423" s="363"/>
      <c r="Q423" s="363"/>
      <c r="R423" s="363"/>
      <c r="S423" s="363"/>
      <c r="T423" s="363"/>
      <c r="U423" s="363"/>
      <c r="V423" s="363"/>
      <c r="W423" s="363"/>
      <c r="X423" s="363"/>
      <c r="Y423" s="363"/>
      <c r="Z423" s="363"/>
    </row>
    <row r="424" spans="1:26" ht="9.75" customHeight="1">
      <c r="A424" s="90"/>
      <c r="B424" s="90"/>
      <c r="C424" s="90"/>
      <c r="D424" s="90"/>
      <c r="E424" s="90"/>
      <c r="F424" s="90"/>
      <c r="G424" s="90"/>
      <c r="H424" s="363"/>
      <c r="I424" s="363"/>
      <c r="J424" s="363"/>
      <c r="K424" s="363"/>
      <c r="L424" s="363"/>
      <c r="M424" s="363"/>
      <c r="N424" s="363"/>
      <c r="O424" s="363"/>
      <c r="P424" s="363"/>
      <c r="Q424" s="363"/>
      <c r="R424" s="363"/>
      <c r="S424" s="363"/>
      <c r="T424" s="363"/>
      <c r="U424" s="363"/>
      <c r="V424" s="363"/>
      <c r="W424" s="363"/>
      <c r="X424" s="363"/>
      <c r="Y424" s="363"/>
      <c r="Z424" s="363"/>
    </row>
    <row r="425" spans="1:26" ht="9.75" customHeight="1">
      <c r="A425" s="90"/>
      <c r="B425" s="90"/>
      <c r="C425" s="90"/>
      <c r="D425" s="90"/>
      <c r="E425" s="90"/>
      <c r="F425" s="90"/>
      <c r="G425" s="90"/>
      <c r="H425" s="363"/>
      <c r="I425" s="363"/>
      <c r="J425" s="363"/>
      <c r="K425" s="363"/>
      <c r="L425" s="363"/>
      <c r="M425" s="363"/>
      <c r="N425" s="363"/>
      <c r="O425" s="363"/>
      <c r="P425" s="363"/>
      <c r="Q425" s="363"/>
      <c r="R425" s="363"/>
      <c r="S425" s="363"/>
      <c r="T425" s="363"/>
      <c r="U425" s="363"/>
      <c r="V425" s="363"/>
      <c r="W425" s="363"/>
      <c r="X425" s="363"/>
      <c r="Y425" s="363"/>
      <c r="Z425" s="363"/>
    </row>
    <row r="426" spans="1:26" ht="9.75" customHeight="1">
      <c r="A426" s="90"/>
      <c r="B426" s="90"/>
      <c r="C426" s="90"/>
      <c r="D426" s="90"/>
      <c r="E426" s="90"/>
      <c r="F426" s="90"/>
      <c r="G426" s="90"/>
      <c r="H426" s="363"/>
      <c r="I426" s="363"/>
      <c r="J426" s="363"/>
      <c r="K426" s="363"/>
      <c r="L426" s="363"/>
      <c r="M426" s="363"/>
      <c r="N426" s="363"/>
      <c r="O426" s="363"/>
      <c r="P426" s="363"/>
      <c r="Q426" s="363"/>
      <c r="R426" s="363"/>
      <c r="S426" s="363"/>
      <c r="T426" s="363"/>
      <c r="U426" s="363"/>
      <c r="V426" s="363"/>
      <c r="W426" s="363"/>
      <c r="X426" s="363"/>
      <c r="Y426" s="363"/>
      <c r="Z426" s="363"/>
    </row>
    <row r="427" spans="1:26" ht="9.75" customHeight="1">
      <c r="A427" s="90"/>
      <c r="B427" s="90"/>
      <c r="C427" s="90"/>
      <c r="D427" s="90"/>
      <c r="E427" s="90"/>
      <c r="F427" s="90"/>
      <c r="G427" s="90"/>
      <c r="H427" s="363"/>
      <c r="I427" s="363"/>
      <c r="J427" s="363"/>
      <c r="K427" s="363"/>
      <c r="L427" s="363"/>
      <c r="M427" s="363"/>
      <c r="N427" s="363"/>
      <c r="O427" s="363"/>
      <c r="P427" s="363"/>
      <c r="Q427" s="363"/>
      <c r="R427" s="363"/>
      <c r="S427" s="363"/>
      <c r="T427" s="363"/>
      <c r="U427" s="363"/>
      <c r="V427" s="363"/>
      <c r="W427" s="363"/>
      <c r="X427" s="363"/>
      <c r="Y427" s="363"/>
      <c r="Z427" s="363"/>
    </row>
    <row r="428" spans="1:26" ht="9.75" customHeight="1">
      <c r="A428" s="90"/>
      <c r="B428" s="90"/>
      <c r="C428" s="90"/>
      <c r="D428" s="90"/>
      <c r="E428" s="90"/>
      <c r="F428" s="90"/>
      <c r="G428" s="90"/>
      <c r="H428" s="363"/>
      <c r="I428" s="363"/>
      <c r="J428" s="363"/>
      <c r="K428" s="363"/>
      <c r="L428" s="363"/>
      <c r="M428" s="363"/>
      <c r="N428" s="363"/>
      <c r="O428" s="363"/>
      <c r="P428" s="363"/>
      <c r="Q428" s="363"/>
      <c r="R428" s="363"/>
      <c r="S428" s="363"/>
      <c r="T428" s="363"/>
      <c r="U428" s="363"/>
      <c r="V428" s="363"/>
      <c r="W428" s="363"/>
      <c r="X428" s="363"/>
      <c r="Y428" s="363"/>
      <c r="Z428" s="363"/>
    </row>
    <row r="429" spans="1:26" ht="9.75" customHeight="1">
      <c r="A429" s="90"/>
      <c r="B429" s="90"/>
      <c r="C429" s="90"/>
      <c r="D429" s="90"/>
      <c r="E429" s="90"/>
      <c r="F429" s="90"/>
      <c r="G429" s="90"/>
      <c r="H429" s="363"/>
      <c r="I429" s="363"/>
      <c r="J429" s="363"/>
      <c r="K429" s="363"/>
      <c r="L429" s="363"/>
      <c r="M429" s="363"/>
      <c r="N429" s="363"/>
      <c r="O429" s="363"/>
      <c r="P429" s="363"/>
      <c r="Q429" s="363"/>
      <c r="R429" s="363"/>
      <c r="S429" s="363"/>
      <c r="T429" s="363"/>
      <c r="U429" s="363"/>
      <c r="V429" s="363"/>
      <c r="W429" s="363"/>
      <c r="X429" s="363"/>
      <c r="Y429" s="363"/>
      <c r="Z429" s="363"/>
    </row>
    <row r="430" spans="1:26" ht="9.75" customHeight="1">
      <c r="A430" s="90"/>
      <c r="B430" s="90"/>
      <c r="C430" s="90"/>
      <c r="D430" s="90"/>
      <c r="E430" s="90"/>
      <c r="F430" s="90"/>
      <c r="G430" s="90"/>
      <c r="H430" s="363"/>
      <c r="I430" s="363"/>
      <c r="J430" s="363"/>
      <c r="K430" s="363"/>
      <c r="L430" s="363"/>
      <c r="M430" s="363"/>
      <c r="N430" s="363"/>
      <c r="O430" s="363"/>
      <c r="P430" s="363"/>
      <c r="Q430" s="363"/>
      <c r="R430" s="363"/>
      <c r="S430" s="363"/>
      <c r="T430" s="363"/>
      <c r="U430" s="363"/>
      <c r="V430" s="363"/>
      <c r="W430" s="363"/>
      <c r="X430" s="363"/>
      <c r="Y430" s="363"/>
      <c r="Z430" s="363"/>
    </row>
    <row r="431" spans="1:26" ht="9.75" customHeight="1">
      <c r="A431" s="90"/>
      <c r="B431" s="90"/>
      <c r="C431" s="90"/>
      <c r="D431" s="90"/>
      <c r="E431" s="90"/>
      <c r="F431" s="90"/>
      <c r="G431" s="90"/>
      <c r="H431" s="363"/>
      <c r="I431" s="363"/>
      <c r="J431" s="363"/>
      <c r="K431" s="363"/>
      <c r="L431" s="363"/>
      <c r="M431" s="363"/>
      <c r="N431" s="363"/>
      <c r="O431" s="363"/>
      <c r="P431" s="363"/>
      <c r="Q431" s="363"/>
      <c r="R431" s="363"/>
      <c r="S431" s="363"/>
      <c r="T431" s="363"/>
      <c r="U431" s="363"/>
      <c r="V431" s="363"/>
      <c r="W431" s="363"/>
      <c r="X431" s="363"/>
      <c r="Y431" s="363"/>
      <c r="Z431" s="363"/>
    </row>
    <row r="432" spans="1:26" ht="9.75" customHeight="1">
      <c r="A432" s="90"/>
      <c r="B432" s="90"/>
      <c r="C432" s="90"/>
      <c r="D432" s="90"/>
      <c r="E432" s="90"/>
      <c r="F432" s="90"/>
      <c r="G432" s="90"/>
      <c r="H432" s="363"/>
      <c r="I432" s="363"/>
      <c r="J432" s="363"/>
      <c r="K432" s="363"/>
      <c r="L432" s="363"/>
      <c r="M432" s="363"/>
      <c r="N432" s="363"/>
      <c r="O432" s="363"/>
      <c r="P432" s="363"/>
      <c r="Q432" s="363"/>
      <c r="R432" s="363"/>
      <c r="S432" s="363"/>
      <c r="T432" s="363"/>
      <c r="U432" s="363"/>
      <c r="V432" s="363"/>
      <c r="W432" s="363"/>
      <c r="X432" s="363"/>
      <c r="Y432" s="363"/>
      <c r="Z432" s="363"/>
    </row>
    <row r="433" spans="1:26" ht="9.75" customHeight="1">
      <c r="A433" s="90"/>
      <c r="B433" s="90"/>
      <c r="C433" s="90"/>
      <c r="D433" s="90"/>
      <c r="E433" s="90"/>
      <c r="F433" s="90"/>
      <c r="G433" s="90"/>
      <c r="H433" s="363"/>
      <c r="I433" s="363"/>
      <c r="J433" s="363"/>
      <c r="K433" s="363"/>
      <c r="L433" s="363"/>
      <c r="M433" s="363"/>
      <c r="N433" s="363"/>
      <c r="O433" s="363"/>
      <c r="P433" s="363"/>
      <c r="Q433" s="363"/>
      <c r="R433" s="363"/>
      <c r="S433" s="363"/>
      <c r="T433" s="363"/>
      <c r="U433" s="363"/>
      <c r="V433" s="363"/>
      <c r="W433" s="363"/>
      <c r="X433" s="363"/>
      <c r="Y433" s="363"/>
      <c r="Z433" s="363"/>
    </row>
    <row r="434" spans="1:26" ht="9.75" customHeight="1">
      <c r="A434" s="90"/>
      <c r="B434" s="90"/>
      <c r="C434" s="90"/>
      <c r="D434" s="90"/>
      <c r="E434" s="90"/>
      <c r="F434" s="90"/>
      <c r="G434" s="90"/>
      <c r="H434" s="363"/>
      <c r="I434" s="363"/>
      <c r="J434" s="363"/>
      <c r="K434" s="363"/>
      <c r="L434" s="363"/>
      <c r="M434" s="363"/>
      <c r="N434" s="363"/>
      <c r="O434" s="363"/>
      <c r="P434" s="363"/>
      <c r="Q434" s="363"/>
      <c r="R434" s="363"/>
      <c r="S434" s="363"/>
      <c r="T434" s="363"/>
      <c r="U434" s="363"/>
      <c r="V434" s="363"/>
      <c r="W434" s="363"/>
      <c r="X434" s="363"/>
      <c r="Y434" s="363"/>
      <c r="Z434" s="363"/>
    </row>
    <row r="435" spans="1:26" ht="9.75" customHeight="1">
      <c r="A435" s="90"/>
      <c r="B435" s="90"/>
      <c r="C435" s="90"/>
      <c r="D435" s="90"/>
      <c r="E435" s="90"/>
      <c r="F435" s="90"/>
      <c r="G435" s="90"/>
      <c r="H435" s="363"/>
      <c r="I435" s="363"/>
      <c r="J435" s="363"/>
      <c r="K435" s="363"/>
      <c r="L435" s="363"/>
      <c r="M435" s="363"/>
      <c r="N435" s="363"/>
      <c r="O435" s="363"/>
      <c r="P435" s="363"/>
      <c r="Q435" s="363"/>
      <c r="R435" s="363"/>
      <c r="S435" s="363"/>
      <c r="T435" s="363"/>
      <c r="U435" s="363"/>
      <c r="V435" s="363"/>
      <c r="W435" s="363"/>
      <c r="X435" s="363"/>
      <c r="Y435" s="363"/>
      <c r="Z435" s="363"/>
    </row>
    <row r="436" spans="1:26" ht="9.75" customHeight="1">
      <c r="A436" s="90"/>
      <c r="B436" s="90"/>
      <c r="C436" s="90"/>
      <c r="D436" s="90"/>
      <c r="E436" s="90"/>
      <c r="F436" s="90"/>
      <c r="G436" s="90"/>
      <c r="H436" s="363"/>
      <c r="I436" s="363"/>
      <c r="J436" s="363"/>
      <c r="K436" s="363"/>
      <c r="L436" s="363"/>
      <c r="M436" s="363"/>
      <c r="N436" s="363"/>
      <c r="O436" s="363"/>
      <c r="P436" s="363"/>
      <c r="Q436" s="363"/>
      <c r="R436" s="363"/>
      <c r="S436" s="363"/>
      <c r="T436" s="363"/>
      <c r="U436" s="363"/>
      <c r="V436" s="363"/>
      <c r="W436" s="363"/>
      <c r="X436" s="363"/>
      <c r="Y436" s="363"/>
      <c r="Z436" s="363"/>
    </row>
    <row r="437" spans="1:26" ht="9.75" customHeight="1">
      <c r="A437" s="90"/>
      <c r="B437" s="90"/>
      <c r="C437" s="90"/>
      <c r="D437" s="90"/>
      <c r="E437" s="90"/>
      <c r="F437" s="90"/>
      <c r="G437" s="90"/>
      <c r="H437" s="363"/>
      <c r="I437" s="363"/>
      <c r="J437" s="363"/>
      <c r="K437" s="363"/>
      <c r="L437" s="363"/>
      <c r="M437" s="363"/>
      <c r="N437" s="363"/>
      <c r="O437" s="363"/>
      <c r="P437" s="363"/>
      <c r="Q437" s="363"/>
      <c r="R437" s="363"/>
      <c r="S437" s="363"/>
      <c r="T437" s="363"/>
      <c r="U437" s="363"/>
      <c r="V437" s="363"/>
      <c r="W437" s="363"/>
      <c r="X437" s="363"/>
      <c r="Y437" s="363"/>
      <c r="Z437" s="363"/>
    </row>
    <row r="438" spans="1:26" ht="9.75" customHeight="1">
      <c r="A438" s="90"/>
      <c r="B438" s="90"/>
      <c r="C438" s="90"/>
      <c r="D438" s="90"/>
      <c r="E438" s="90"/>
      <c r="F438" s="90"/>
      <c r="G438" s="90"/>
      <c r="H438" s="363"/>
      <c r="I438" s="363"/>
      <c r="J438" s="363"/>
      <c r="K438" s="363"/>
      <c r="L438" s="363"/>
      <c r="M438" s="363"/>
      <c r="N438" s="363"/>
      <c r="O438" s="363"/>
      <c r="P438" s="363"/>
      <c r="Q438" s="363"/>
      <c r="R438" s="363"/>
      <c r="S438" s="363"/>
      <c r="T438" s="363"/>
      <c r="U438" s="363"/>
      <c r="V438" s="363"/>
      <c r="W438" s="363"/>
      <c r="X438" s="363"/>
      <c r="Y438" s="363"/>
      <c r="Z438" s="363"/>
    </row>
    <row r="439" spans="1:26" ht="9.75" customHeight="1">
      <c r="A439" s="90"/>
      <c r="B439" s="90"/>
      <c r="C439" s="90"/>
      <c r="D439" s="90"/>
      <c r="E439" s="90"/>
      <c r="F439" s="90"/>
      <c r="G439" s="90"/>
      <c r="H439" s="363"/>
      <c r="I439" s="363"/>
      <c r="J439" s="363"/>
      <c r="K439" s="363"/>
      <c r="L439" s="363"/>
      <c r="M439" s="363"/>
      <c r="N439" s="363"/>
      <c r="O439" s="363"/>
      <c r="P439" s="363"/>
      <c r="Q439" s="363"/>
      <c r="R439" s="363"/>
      <c r="S439" s="363"/>
      <c r="T439" s="363"/>
      <c r="U439" s="363"/>
      <c r="V439" s="363"/>
      <c r="W439" s="363"/>
      <c r="X439" s="363"/>
      <c r="Y439" s="363"/>
      <c r="Z439" s="363"/>
    </row>
    <row r="440" spans="1:26" ht="9.75" customHeight="1">
      <c r="A440" s="90"/>
      <c r="B440" s="90"/>
      <c r="C440" s="90"/>
      <c r="D440" s="90"/>
      <c r="E440" s="90"/>
      <c r="F440" s="90"/>
      <c r="G440" s="90"/>
      <c r="H440" s="363"/>
      <c r="I440" s="363"/>
      <c r="J440" s="363"/>
      <c r="K440" s="363"/>
      <c r="L440" s="363"/>
      <c r="M440" s="363"/>
      <c r="N440" s="363"/>
      <c r="O440" s="363"/>
      <c r="P440" s="363"/>
      <c r="Q440" s="363"/>
      <c r="R440" s="363"/>
      <c r="S440" s="363"/>
      <c r="T440" s="363"/>
      <c r="U440" s="363"/>
      <c r="V440" s="363"/>
      <c r="W440" s="363"/>
      <c r="X440" s="363"/>
      <c r="Y440" s="363"/>
      <c r="Z440" s="363"/>
    </row>
    <row r="441" spans="1:26" ht="9.75" customHeight="1">
      <c r="A441" s="90"/>
      <c r="B441" s="90"/>
      <c r="C441" s="90"/>
      <c r="D441" s="90"/>
      <c r="E441" s="90"/>
      <c r="F441" s="90"/>
      <c r="G441" s="90"/>
      <c r="H441" s="363"/>
      <c r="I441" s="363"/>
      <c r="J441" s="363"/>
      <c r="K441" s="363"/>
      <c r="L441" s="363"/>
      <c r="M441" s="363"/>
      <c r="N441" s="363"/>
      <c r="O441" s="363"/>
      <c r="P441" s="363"/>
      <c r="Q441" s="363"/>
      <c r="R441" s="363"/>
      <c r="S441" s="363"/>
      <c r="T441" s="363"/>
      <c r="U441" s="363"/>
      <c r="V441" s="363"/>
      <c r="W441" s="363"/>
      <c r="X441" s="363"/>
      <c r="Y441" s="363"/>
      <c r="Z441" s="363"/>
    </row>
    <row r="442" spans="1:26" ht="9.75" customHeight="1">
      <c r="A442" s="90"/>
      <c r="B442" s="90"/>
      <c r="C442" s="90"/>
      <c r="D442" s="90"/>
      <c r="E442" s="90"/>
      <c r="F442" s="90"/>
      <c r="G442" s="90"/>
      <c r="H442" s="363"/>
      <c r="I442" s="363"/>
      <c r="J442" s="363"/>
      <c r="K442" s="363"/>
      <c r="L442" s="363"/>
      <c r="M442" s="363"/>
      <c r="N442" s="363"/>
      <c r="O442" s="363"/>
      <c r="P442" s="363"/>
      <c r="Q442" s="363"/>
      <c r="R442" s="363"/>
      <c r="S442" s="363"/>
      <c r="T442" s="363"/>
      <c r="U442" s="363"/>
      <c r="V442" s="363"/>
      <c r="W442" s="363"/>
      <c r="X442" s="363"/>
      <c r="Y442" s="363"/>
      <c r="Z442" s="363"/>
    </row>
    <row r="443" spans="1:26" ht="9.75" customHeight="1">
      <c r="A443" s="90"/>
      <c r="B443" s="90"/>
      <c r="C443" s="90"/>
      <c r="D443" s="90"/>
      <c r="E443" s="90"/>
      <c r="F443" s="90"/>
      <c r="G443" s="90"/>
      <c r="H443" s="363"/>
      <c r="I443" s="363"/>
      <c r="J443" s="363"/>
      <c r="K443" s="363"/>
      <c r="L443" s="363"/>
      <c r="M443" s="363"/>
      <c r="N443" s="363"/>
      <c r="O443" s="363"/>
      <c r="P443" s="363"/>
      <c r="Q443" s="363"/>
      <c r="R443" s="363"/>
      <c r="S443" s="363"/>
      <c r="T443" s="363"/>
      <c r="U443" s="363"/>
      <c r="V443" s="363"/>
      <c r="W443" s="363"/>
      <c r="X443" s="363"/>
      <c r="Y443" s="363"/>
      <c r="Z443" s="363"/>
    </row>
    <row r="444" spans="1:26" ht="9.75" customHeight="1">
      <c r="A444" s="90"/>
      <c r="B444" s="90"/>
      <c r="C444" s="90"/>
      <c r="D444" s="90"/>
      <c r="E444" s="90"/>
      <c r="F444" s="90"/>
      <c r="G444" s="90"/>
      <c r="H444" s="363"/>
      <c r="I444" s="363"/>
      <c r="J444" s="363"/>
      <c r="K444" s="363"/>
      <c r="L444" s="363"/>
      <c r="M444" s="363"/>
      <c r="N444" s="363"/>
      <c r="O444" s="363"/>
      <c r="P444" s="363"/>
      <c r="Q444" s="363"/>
      <c r="R444" s="363"/>
      <c r="S444" s="363"/>
      <c r="T444" s="363"/>
      <c r="U444" s="363"/>
      <c r="V444" s="363"/>
      <c r="W444" s="363"/>
      <c r="X444" s="363"/>
      <c r="Y444" s="363"/>
      <c r="Z444" s="363"/>
    </row>
    <row r="445" spans="1:26" ht="9.75" customHeight="1">
      <c r="A445" s="90"/>
      <c r="B445" s="90"/>
      <c r="C445" s="90"/>
      <c r="D445" s="90"/>
      <c r="E445" s="90"/>
      <c r="F445" s="90"/>
      <c r="G445" s="90"/>
      <c r="H445" s="363"/>
      <c r="I445" s="363"/>
      <c r="J445" s="363"/>
      <c r="K445" s="363"/>
      <c r="L445" s="363"/>
      <c r="M445" s="363"/>
      <c r="N445" s="363"/>
      <c r="O445" s="363"/>
      <c r="P445" s="363"/>
      <c r="Q445" s="363"/>
      <c r="R445" s="363"/>
      <c r="S445" s="363"/>
      <c r="T445" s="363"/>
      <c r="U445" s="363"/>
      <c r="V445" s="363"/>
      <c r="W445" s="363"/>
      <c r="X445" s="363"/>
      <c r="Y445" s="363"/>
      <c r="Z445" s="363"/>
    </row>
    <row r="446" spans="1:26" ht="9.75" customHeight="1">
      <c r="A446" s="90"/>
      <c r="B446" s="90"/>
      <c r="C446" s="90"/>
      <c r="D446" s="90"/>
      <c r="E446" s="90"/>
      <c r="F446" s="90"/>
      <c r="G446" s="90"/>
      <c r="H446" s="363"/>
      <c r="I446" s="363"/>
      <c r="J446" s="363"/>
      <c r="K446" s="363"/>
      <c r="L446" s="363"/>
      <c r="M446" s="363"/>
      <c r="N446" s="363"/>
      <c r="O446" s="363"/>
      <c r="P446" s="363"/>
      <c r="Q446" s="363"/>
      <c r="R446" s="363"/>
      <c r="S446" s="363"/>
      <c r="T446" s="363"/>
      <c r="U446" s="363"/>
      <c r="V446" s="363"/>
      <c r="W446" s="363"/>
      <c r="X446" s="363"/>
      <c r="Y446" s="363"/>
      <c r="Z446" s="363"/>
    </row>
    <row r="447" spans="1:26" ht="9.75" customHeight="1">
      <c r="A447" s="90"/>
      <c r="B447" s="90"/>
      <c r="C447" s="90"/>
      <c r="D447" s="90"/>
      <c r="E447" s="90"/>
      <c r="F447" s="90"/>
      <c r="G447" s="90"/>
      <c r="H447" s="363"/>
      <c r="I447" s="363"/>
      <c r="J447" s="363"/>
      <c r="K447" s="363"/>
      <c r="L447" s="363"/>
      <c r="M447" s="363"/>
      <c r="N447" s="363"/>
      <c r="O447" s="363"/>
      <c r="P447" s="363"/>
      <c r="Q447" s="363"/>
      <c r="R447" s="363"/>
      <c r="S447" s="363"/>
      <c r="T447" s="363"/>
      <c r="U447" s="363"/>
      <c r="V447" s="363"/>
      <c r="W447" s="363"/>
      <c r="X447" s="363"/>
      <c r="Y447" s="363"/>
      <c r="Z447" s="363"/>
    </row>
    <row r="448" spans="1:26" ht="9.75" customHeight="1">
      <c r="A448" s="90"/>
      <c r="B448" s="90"/>
      <c r="C448" s="90"/>
      <c r="D448" s="90"/>
      <c r="E448" s="90"/>
      <c r="F448" s="90"/>
      <c r="G448" s="90"/>
      <c r="H448" s="363"/>
      <c r="I448" s="363"/>
      <c r="J448" s="363"/>
      <c r="K448" s="363"/>
      <c r="L448" s="363"/>
      <c r="M448" s="363"/>
      <c r="N448" s="363"/>
      <c r="O448" s="363"/>
      <c r="P448" s="363"/>
      <c r="Q448" s="363"/>
      <c r="R448" s="363"/>
      <c r="S448" s="363"/>
      <c r="T448" s="363"/>
      <c r="U448" s="363"/>
      <c r="V448" s="363"/>
      <c r="W448" s="363"/>
      <c r="X448" s="363"/>
      <c r="Y448" s="363"/>
      <c r="Z448" s="363"/>
    </row>
    <row r="449" spans="1:26" ht="9.75" customHeight="1">
      <c r="A449" s="90"/>
      <c r="B449" s="90"/>
      <c r="C449" s="90"/>
      <c r="D449" s="90"/>
      <c r="E449" s="90"/>
      <c r="F449" s="90"/>
      <c r="G449" s="90"/>
      <c r="H449" s="363"/>
      <c r="I449" s="363"/>
      <c r="J449" s="363"/>
      <c r="K449" s="363"/>
      <c r="L449" s="363"/>
      <c r="M449" s="363"/>
      <c r="N449" s="363"/>
      <c r="O449" s="363"/>
      <c r="P449" s="363"/>
      <c r="Q449" s="363"/>
      <c r="R449" s="363"/>
      <c r="S449" s="363"/>
      <c r="T449" s="363"/>
      <c r="U449" s="363"/>
      <c r="V449" s="363"/>
      <c r="W449" s="363"/>
      <c r="X449" s="363"/>
      <c r="Y449" s="363"/>
      <c r="Z449" s="363"/>
    </row>
    <row r="450" spans="1:26" ht="9.75" customHeight="1">
      <c r="A450" s="90"/>
      <c r="B450" s="90"/>
      <c r="C450" s="90"/>
      <c r="D450" s="90"/>
      <c r="E450" s="90"/>
      <c r="F450" s="90"/>
      <c r="G450" s="90"/>
      <c r="H450" s="363"/>
      <c r="I450" s="363"/>
      <c r="J450" s="363"/>
      <c r="K450" s="363"/>
      <c r="L450" s="363"/>
      <c r="M450" s="363"/>
      <c r="N450" s="363"/>
      <c r="O450" s="363"/>
      <c r="P450" s="363"/>
      <c r="Q450" s="363"/>
      <c r="R450" s="363"/>
      <c r="S450" s="363"/>
      <c r="T450" s="363"/>
      <c r="U450" s="363"/>
      <c r="V450" s="363"/>
      <c r="W450" s="363"/>
      <c r="X450" s="363"/>
      <c r="Y450" s="363"/>
      <c r="Z450" s="363"/>
    </row>
    <row r="451" spans="1:26" ht="9.75" customHeight="1">
      <c r="A451" s="90"/>
      <c r="B451" s="90"/>
      <c r="C451" s="90"/>
      <c r="D451" s="90"/>
      <c r="E451" s="90"/>
      <c r="F451" s="90"/>
      <c r="G451" s="90"/>
      <c r="H451" s="363"/>
      <c r="I451" s="363"/>
      <c r="J451" s="363"/>
      <c r="K451" s="363"/>
      <c r="L451" s="363"/>
      <c r="M451" s="363"/>
      <c r="N451" s="363"/>
      <c r="O451" s="363"/>
      <c r="P451" s="363"/>
      <c r="Q451" s="363"/>
      <c r="R451" s="363"/>
      <c r="S451" s="363"/>
      <c r="T451" s="363"/>
      <c r="U451" s="363"/>
      <c r="V451" s="363"/>
      <c r="W451" s="363"/>
      <c r="X451" s="363"/>
      <c r="Y451" s="363"/>
      <c r="Z451" s="363"/>
    </row>
    <row r="452" spans="1:26" ht="9.75" customHeight="1">
      <c r="A452" s="90"/>
      <c r="B452" s="90"/>
      <c r="C452" s="90"/>
      <c r="D452" s="90"/>
      <c r="E452" s="90"/>
      <c r="F452" s="90"/>
      <c r="G452" s="90"/>
      <c r="H452" s="363"/>
      <c r="I452" s="363"/>
      <c r="J452" s="363"/>
      <c r="K452" s="363"/>
      <c r="L452" s="363"/>
      <c r="M452" s="363"/>
      <c r="N452" s="363"/>
      <c r="O452" s="363"/>
      <c r="P452" s="363"/>
      <c r="Q452" s="363"/>
      <c r="R452" s="363"/>
      <c r="S452" s="363"/>
      <c r="T452" s="363"/>
      <c r="U452" s="363"/>
      <c r="V452" s="363"/>
      <c r="W452" s="363"/>
      <c r="X452" s="363"/>
      <c r="Y452" s="363"/>
      <c r="Z452" s="363"/>
    </row>
    <row r="453" spans="1:26" ht="9.75" customHeight="1">
      <c r="A453" s="90"/>
      <c r="B453" s="90"/>
      <c r="C453" s="90"/>
      <c r="D453" s="90"/>
      <c r="E453" s="90"/>
      <c r="F453" s="90"/>
      <c r="G453" s="90"/>
      <c r="H453" s="363"/>
      <c r="I453" s="363"/>
      <c r="J453" s="363"/>
      <c r="K453" s="363"/>
      <c r="L453" s="363"/>
      <c r="M453" s="363"/>
      <c r="N453" s="363"/>
      <c r="O453" s="363"/>
      <c r="P453" s="363"/>
      <c r="Q453" s="363"/>
      <c r="R453" s="363"/>
      <c r="S453" s="363"/>
      <c r="T453" s="363"/>
      <c r="U453" s="363"/>
      <c r="V453" s="363"/>
      <c r="W453" s="363"/>
      <c r="X453" s="363"/>
      <c r="Y453" s="363"/>
      <c r="Z453" s="363"/>
    </row>
    <row r="454" spans="1:26" ht="9.75" customHeight="1">
      <c r="A454" s="90"/>
      <c r="B454" s="90"/>
      <c r="C454" s="90"/>
      <c r="D454" s="90"/>
      <c r="E454" s="90"/>
      <c r="F454" s="90"/>
      <c r="G454" s="90"/>
      <c r="H454" s="363"/>
      <c r="I454" s="363"/>
      <c r="J454" s="363"/>
      <c r="K454" s="363"/>
      <c r="L454" s="363"/>
      <c r="M454" s="363"/>
      <c r="N454" s="363"/>
      <c r="O454" s="363"/>
      <c r="P454" s="363"/>
      <c r="Q454" s="363"/>
      <c r="R454" s="363"/>
      <c r="S454" s="363"/>
      <c r="T454" s="363"/>
      <c r="U454" s="363"/>
      <c r="V454" s="363"/>
      <c r="W454" s="363"/>
      <c r="X454" s="363"/>
      <c r="Y454" s="363"/>
      <c r="Z454" s="363"/>
    </row>
    <row r="455" spans="1:26" ht="9.75" customHeight="1">
      <c r="A455" s="90"/>
      <c r="B455" s="90"/>
      <c r="C455" s="90"/>
      <c r="D455" s="90"/>
      <c r="E455" s="90"/>
      <c r="F455" s="90"/>
      <c r="G455" s="90"/>
      <c r="H455" s="363"/>
      <c r="I455" s="363"/>
      <c r="J455" s="363"/>
      <c r="K455" s="363"/>
      <c r="L455" s="363"/>
      <c r="M455" s="363"/>
      <c r="N455" s="363"/>
      <c r="O455" s="363"/>
      <c r="P455" s="363"/>
      <c r="Q455" s="363"/>
      <c r="R455" s="363"/>
      <c r="S455" s="363"/>
      <c r="T455" s="363"/>
      <c r="U455" s="363"/>
      <c r="V455" s="363"/>
      <c r="W455" s="363"/>
      <c r="X455" s="363"/>
      <c r="Y455" s="363"/>
      <c r="Z455" s="363"/>
    </row>
    <row r="456" spans="1:26" ht="9.75" customHeight="1">
      <c r="A456" s="90"/>
      <c r="B456" s="90"/>
      <c r="C456" s="90"/>
      <c r="D456" s="90"/>
      <c r="E456" s="90"/>
      <c r="F456" s="90"/>
      <c r="G456" s="90"/>
      <c r="H456" s="363"/>
      <c r="I456" s="363"/>
      <c r="J456" s="363"/>
      <c r="K456" s="363"/>
      <c r="L456" s="363"/>
      <c r="M456" s="363"/>
      <c r="N456" s="363"/>
      <c r="O456" s="363"/>
      <c r="P456" s="363"/>
      <c r="Q456" s="363"/>
      <c r="R456" s="363"/>
      <c r="S456" s="363"/>
      <c r="T456" s="363"/>
      <c r="U456" s="363"/>
      <c r="V456" s="363"/>
      <c r="W456" s="363"/>
      <c r="X456" s="363"/>
      <c r="Y456" s="363"/>
      <c r="Z456" s="363"/>
    </row>
    <row r="457" spans="1:26" ht="9.75" customHeight="1">
      <c r="A457" s="90"/>
      <c r="B457" s="90"/>
      <c r="C457" s="90"/>
      <c r="D457" s="90"/>
      <c r="E457" s="90"/>
      <c r="F457" s="90"/>
      <c r="G457" s="90"/>
      <c r="H457" s="363"/>
      <c r="I457" s="363"/>
      <c r="J457" s="363"/>
      <c r="K457" s="363"/>
      <c r="L457" s="363"/>
      <c r="M457" s="363"/>
      <c r="N457" s="363"/>
      <c r="O457" s="363"/>
      <c r="P457" s="363"/>
      <c r="Q457" s="363"/>
      <c r="R457" s="363"/>
      <c r="S457" s="363"/>
      <c r="T457" s="363"/>
      <c r="U457" s="363"/>
      <c r="V457" s="363"/>
      <c r="W457" s="363"/>
      <c r="X457" s="363"/>
      <c r="Y457" s="363"/>
      <c r="Z457" s="363"/>
    </row>
    <row r="458" spans="1:26" ht="9.75" customHeight="1">
      <c r="A458" s="90"/>
      <c r="B458" s="90"/>
      <c r="C458" s="90"/>
      <c r="D458" s="90"/>
      <c r="E458" s="90"/>
      <c r="F458" s="90"/>
      <c r="G458" s="90"/>
      <c r="H458" s="363"/>
      <c r="I458" s="363"/>
      <c r="J458" s="363"/>
      <c r="K458" s="363"/>
      <c r="L458" s="363"/>
      <c r="M458" s="363"/>
      <c r="N458" s="363"/>
      <c r="O458" s="363"/>
      <c r="P458" s="363"/>
      <c r="Q458" s="363"/>
      <c r="R458" s="363"/>
      <c r="S458" s="363"/>
      <c r="T458" s="363"/>
      <c r="U458" s="363"/>
      <c r="V458" s="363"/>
      <c r="W458" s="363"/>
      <c r="X458" s="363"/>
      <c r="Y458" s="363"/>
      <c r="Z458" s="363"/>
    </row>
    <row r="459" spans="1:26" ht="9.75" customHeight="1">
      <c r="A459" s="90"/>
      <c r="B459" s="90"/>
      <c r="C459" s="90"/>
      <c r="D459" s="90"/>
      <c r="E459" s="90"/>
      <c r="F459" s="90"/>
      <c r="G459" s="90"/>
      <c r="H459" s="363"/>
      <c r="I459" s="363"/>
      <c r="J459" s="363"/>
      <c r="K459" s="363"/>
      <c r="L459" s="363"/>
      <c r="M459" s="363"/>
      <c r="N459" s="363"/>
      <c r="O459" s="363"/>
      <c r="P459" s="363"/>
      <c r="Q459" s="363"/>
      <c r="R459" s="363"/>
      <c r="S459" s="363"/>
      <c r="T459" s="363"/>
      <c r="U459" s="363"/>
      <c r="V459" s="363"/>
      <c r="W459" s="363"/>
      <c r="X459" s="363"/>
      <c r="Y459" s="363"/>
      <c r="Z459" s="363"/>
    </row>
    <row r="460" spans="1:26" ht="9.75" customHeight="1">
      <c r="A460" s="90"/>
      <c r="B460" s="90"/>
      <c r="C460" s="90"/>
      <c r="D460" s="90"/>
      <c r="E460" s="90"/>
      <c r="F460" s="90"/>
      <c r="G460" s="90"/>
      <c r="H460" s="363"/>
      <c r="I460" s="363"/>
      <c r="J460" s="363"/>
      <c r="K460" s="363"/>
      <c r="L460" s="363"/>
      <c r="M460" s="363"/>
      <c r="N460" s="363"/>
      <c r="O460" s="363"/>
      <c r="P460" s="363"/>
      <c r="Q460" s="363"/>
      <c r="R460" s="363"/>
      <c r="S460" s="363"/>
      <c r="T460" s="363"/>
      <c r="U460" s="363"/>
      <c r="V460" s="363"/>
      <c r="W460" s="363"/>
      <c r="X460" s="363"/>
      <c r="Y460" s="363"/>
      <c r="Z460" s="363"/>
    </row>
    <row r="461" spans="1:26" ht="9.75" customHeight="1">
      <c r="A461" s="90"/>
      <c r="B461" s="90"/>
      <c r="C461" s="90"/>
      <c r="D461" s="90"/>
      <c r="E461" s="90"/>
      <c r="F461" s="90"/>
      <c r="G461" s="90"/>
      <c r="H461" s="363"/>
      <c r="I461" s="363"/>
      <c r="J461" s="363"/>
      <c r="K461" s="363"/>
      <c r="L461" s="363"/>
      <c r="M461" s="363"/>
      <c r="N461" s="363"/>
      <c r="O461" s="363"/>
      <c r="P461" s="363"/>
      <c r="Q461" s="363"/>
      <c r="R461" s="363"/>
      <c r="S461" s="363"/>
      <c r="T461" s="363"/>
      <c r="U461" s="363"/>
      <c r="V461" s="363"/>
      <c r="W461" s="363"/>
      <c r="X461" s="363"/>
      <c r="Y461" s="363"/>
      <c r="Z461" s="363"/>
    </row>
    <row r="462" spans="1:26" ht="9.75" customHeight="1">
      <c r="A462" s="90"/>
      <c r="B462" s="90"/>
      <c r="C462" s="90"/>
      <c r="D462" s="90"/>
      <c r="E462" s="90"/>
      <c r="F462" s="90"/>
      <c r="G462" s="90"/>
      <c r="H462" s="363"/>
      <c r="I462" s="363"/>
      <c r="J462" s="363"/>
      <c r="K462" s="363"/>
      <c r="L462" s="363"/>
      <c r="M462" s="363"/>
      <c r="N462" s="363"/>
      <c r="O462" s="363"/>
      <c r="P462" s="363"/>
      <c r="Q462" s="363"/>
      <c r="R462" s="363"/>
      <c r="S462" s="363"/>
      <c r="T462" s="363"/>
      <c r="U462" s="363"/>
      <c r="V462" s="363"/>
      <c r="W462" s="363"/>
      <c r="X462" s="363"/>
      <c r="Y462" s="363"/>
      <c r="Z462" s="363"/>
    </row>
    <row r="463" spans="1:26" ht="9.75" customHeight="1">
      <c r="A463" s="90"/>
      <c r="B463" s="90"/>
      <c r="C463" s="90"/>
      <c r="D463" s="90"/>
      <c r="E463" s="90"/>
      <c r="F463" s="90"/>
      <c r="G463" s="90"/>
      <c r="H463" s="363"/>
      <c r="I463" s="363"/>
      <c r="J463" s="363"/>
      <c r="K463" s="363"/>
      <c r="L463" s="363"/>
      <c r="M463" s="363"/>
      <c r="N463" s="363"/>
      <c r="O463" s="363"/>
      <c r="P463" s="363"/>
      <c r="Q463" s="363"/>
      <c r="R463" s="363"/>
      <c r="S463" s="363"/>
      <c r="T463" s="363"/>
      <c r="U463" s="363"/>
      <c r="V463" s="363"/>
      <c r="W463" s="363"/>
      <c r="X463" s="363"/>
      <c r="Y463" s="363"/>
      <c r="Z463" s="363"/>
    </row>
    <row r="464" spans="1:26" ht="9.75" customHeight="1">
      <c r="A464" s="90"/>
      <c r="B464" s="90"/>
      <c r="C464" s="90"/>
      <c r="D464" s="90"/>
      <c r="E464" s="90"/>
      <c r="F464" s="90"/>
      <c r="G464" s="90"/>
      <c r="H464" s="363"/>
      <c r="I464" s="363"/>
      <c r="J464" s="363"/>
      <c r="K464" s="363"/>
      <c r="L464" s="363"/>
      <c r="M464" s="363"/>
      <c r="N464" s="363"/>
      <c r="O464" s="363"/>
      <c r="P464" s="363"/>
      <c r="Q464" s="363"/>
      <c r="R464" s="363"/>
      <c r="S464" s="363"/>
      <c r="T464" s="363"/>
      <c r="U464" s="363"/>
      <c r="V464" s="363"/>
      <c r="W464" s="363"/>
      <c r="X464" s="363"/>
      <c r="Y464" s="363"/>
      <c r="Z464" s="363"/>
    </row>
    <row r="465" spans="1:26" ht="9.75" customHeight="1">
      <c r="A465" s="90"/>
      <c r="B465" s="90"/>
      <c r="C465" s="90"/>
      <c r="D465" s="90"/>
      <c r="E465" s="90"/>
      <c r="F465" s="90"/>
      <c r="G465" s="90"/>
      <c r="H465" s="363"/>
      <c r="I465" s="363"/>
      <c r="J465" s="363"/>
      <c r="K465" s="363"/>
      <c r="L465" s="363"/>
      <c r="M465" s="363"/>
      <c r="N465" s="363"/>
      <c r="O465" s="363"/>
      <c r="P465" s="363"/>
      <c r="Q465" s="363"/>
      <c r="R465" s="363"/>
      <c r="S465" s="363"/>
      <c r="T465" s="363"/>
      <c r="U465" s="363"/>
      <c r="V465" s="363"/>
      <c r="W465" s="363"/>
      <c r="X465" s="363"/>
      <c r="Y465" s="363"/>
      <c r="Z465" s="363"/>
    </row>
    <row r="466" spans="1:26" ht="9.75" customHeight="1">
      <c r="A466" s="90"/>
      <c r="B466" s="90"/>
      <c r="C466" s="90"/>
      <c r="D466" s="90"/>
      <c r="E466" s="90"/>
      <c r="F466" s="90"/>
      <c r="G466" s="90"/>
      <c r="H466" s="363"/>
      <c r="I466" s="363"/>
      <c r="J466" s="363"/>
      <c r="K466" s="363"/>
      <c r="L466" s="363"/>
      <c r="M466" s="363"/>
      <c r="N466" s="363"/>
      <c r="O466" s="363"/>
      <c r="P466" s="363"/>
      <c r="Q466" s="363"/>
      <c r="R466" s="363"/>
      <c r="S466" s="363"/>
      <c r="T466" s="363"/>
      <c r="U466" s="363"/>
      <c r="V466" s="363"/>
      <c r="W466" s="363"/>
      <c r="X466" s="363"/>
      <c r="Y466" s="363"/>
      <c r="Z466" s="363"/>
    </row>
    <row r="467" spans="1:26" ht="9.75" customHeight="1">
      <c r="A467" s="90"/>
      <c r="B467" s="90"/>
      <c r="C467" s="90"/>
      <c r="D467" s="90"/>
      <c r="E467" s="90"/>
      <c r="F467" s="90"/>
      <c r="G467" s="90"/>
      <c r="H467" s="363"/>
      <c r="I467" s="363"/>
      <c r="J467" s="363"/>
      <c r="K467" s="363"/>
      <c r="L467" s="363"/>
      <c r="M467" s="363"/>
      <c r="N467" s="363"/>
      <c r="O467" s="363"/>
      <c r="P467" s="363"/>
      <c r="Q467" s="363"/>
      <c r="R467" s="363"/>
      <c r="S467" s="363"/>
      <c r="T467" s="363"/>
      <c r="U467" s="363"/>
      <c r="V467" s="363"/>
      <c r="W467" s="363"/>
      <c r="X467" s="363"/>
      <c r="Y467" s="363"/>
      <c r="Z467" s="363"/>
    </row>
    <row r="468" spans="1:26" ht="9.75" customHeight="1">
      <c r="A468" s="90"/>
      <c r="B468" s="90"/>
      <c r="C468" s="90"/>
      <c r="D468" s="90"/>
      <c r="E468" s="90"/>
      <c r="F468" s="90"/>
      <c r="G468" s="90"/>
      <c r="H468" s="363"/>
      <c r="I468" s="363"/>
      <c r="J468" s="363"/>
      <c r="K468" s="363"/>
      <c r="L468" s="363"/>
      <c r="M468" s="363"/>
      <c r="N468" s="363"/>
      <c r="O468" s="363"/>
      <c r="P468" s="363"/>
      <c r="Q468" s="363"/>
      <c r="R468" s="363"/>
      <c r="S468" s="363"/>
      <c r="T468" s="363"/>
      <c r="U468" s="363"/>
      <c r="V468" s="363"/>
      <c r="W468" s="363"/>
      <c r="X468" s="363"/>
      <c r="Y468" s="363"/>
      <c r="Z468" s="363"/>
    </row>
    <row r="469" spans="1:26" ht="9.75" customHeight="1">
      <c r="A469" s="90"/>
      <c r="B469" s="90"/>
      <c r="C469" s="90"/>
      <c r="D469" s="90"/>
      <c r="E469" s="90"/>
      <c r="F469" s="90"/>
      <c r="G469" s="90"/>
      <c r="H469" s="363"/>
      <c r="I469" s="363"/>
      <c r="J469" s="363"/>
      <c r="K469" s="363"/>
      <c r="L469" s="363"/>
      <c r="M469" s="363"/>
      <c r="N469" s="363"/>
      <c r="O469" s="363"/>
      <c r="P469" s="363"/>
      <c r="Q469" s="363"/>
      <c r="R469" s="363"/>
      <c r="S469" s="363"/>
      <c r="T469" s="363"/>
      <c r="U469" s="363"/>
      <c r="V469" s="363"/>
      <c r="W469" s="363"/>
      <c r="X469" s="363"/>
      <c r="Y469" s="363"/>
      <c r="Z469" s="363"/>
    </row>
    <row r="470" spans="1:26" ht="9.75" customHeight="1">
      <c r="A470" s="90"/>
      <c r="B470" s="90"/>
      <c r="C470" s="90"/>
      <c r="D470" s="90"/>
      <c r="E470" s="90"/>
      <c r="F470" s="90"/>
      <c r="G470" s="90"/>
      <c r="H470" s="363"/>
      <c r="I470" s="363"/>
      <c r="J470" s="363"/>
      <c r="K470" s="363"/>
      <c r="L470" s="363"/>
      <c r="M470" s="363"/>
      <c r="N470" s="363"/>
      <c r="O470" s="363"/>
      <c r="P470" s="363"/>
      <c r="Q470" s="363"/>
      <c r="R470" s="363"/>
      <c r="S470" s="363"/>
      <c r="T470" s="363"/>
      <c r="U470" s="363"/>
      <c r="V470" s="363"/>
      <c r="W470" s="363"/>
      <c r="X470" s="363"/>
      <c r="Y470" s="363"/>
      <c r="Z470" s="363"/>
    </row>
    <row r="471" spans="1:26" ht="9.75" customHeight="1">
      <c r="A471" s="90"/>
      <c r="B471" s="90"/>
      <c r="C471" s="90"/>
      <c r="D471" s="90"/>
      <c r="E471" s="90"/>
      <c r="F471" s="90"/>
      <c r="G471" s="90"/>
      <c r="H471" s="363"/>
      <c r="I471" s="363"/>
      <c r="J471" s="363"/>
      <c r="K471" s="363"/>
      <c r="L471" s="363"/>
      <c r="M471" s="363"/>
      <c r="N471" s="363"/>
      <c r="O471" s="363"/>
      <c r="P471" s="363"/>
      <c r="Q471" s="363"/>
      <c r="R471" s="363"/>
      <c r="S471" s="363"/>
      <c r="T471" s="363"/>
      <c r="U471" s="363"/>
      <c r="V471" s="363"/>
      <c r="W471" s="363"/>
      <c r="X471" s="363"/>
      <c r="Y471" s="363"/>
      <c r="Z471" s="363"/>
    </row>
    <row r="472" spans="1:26" ht="9.75" customHeight="1">
      <c r="A472" s="90"/>
      <c r="B472" s="90"/>
      <c r="C472" s="90"/>
      <c r="D472" s="90"/>
      <c r="E472" s="90"/>
      <c r="F472" s="90"/>
      <c r="G472" s="90"/>
      <c r="H472" s="363"/>
      <c r="I472" s="363"/>
      <c r="J472" s="363"/>
      <c r="K472" s="363"/>
      <c r="L472" s="363"/>
      <c r="M472" s="363"/>
      <c r="N472" s="363"/>
      <c r="O472" s="363"/>
      <c r="P472" s="363"/>
      <c r="Q472" s="363"/>
      <c r="R472" s="363"/>
      <c r="S472" s="363"/>
      <c r="T472" s="363"/>
      <c r="U472" s="363"/>
      <c r="V472" s="363"/>
      <c r="W472" s="363"/>
      <c r="X472" s="363"/>
      <c r="Y472" s="363"/>
      <c r="Z472" s="363"/>
    </row>
    <row r="473" spans="1:26" ht="9.75" customHeight="1">
      <c r="A473" s="90"/>
      <c r="B473" s="90"/>
      <c r="C473" s="90"/>
      <c r="D473" s="90"/>
      <c r="E473" s="90"/>
      <c r="F473" s="90"/>
      <c r="G473" s="90"/>
      <c r="H473" s="363"/>
      <c r="I473" s="363"/>
      <c r="J473" s="363"/>
      <c r="K473" s="363"/>
      <c r="L473" s="363"/>
      <c r="M473" s="363"/>
      <c r="N473" s="363"/>
      <c r="O473" s="363"/>
      <c r="P473" s="363"/>
      <c r="Q473" s="363"/>
      <c r="R473" s="363"/>
      <c r="S473" s="363"/>
      <c r="T473" s="363"/>
      <c r="U473" s="363"/>
      <c r="V473" s="363"/>
      <c r="W473" s="363"/>
      <c r="X473" s="363"/>
      <c r="Y473" s="363"/>
      <c r="Z473" s="363"/>
    </row>
    <row r="474" spans="1:26" ht="9.75" customHeight="1">
      <c r="A474" s="90"/>
      <c r="B474" s="90"/>
      <c r="C474" s="90"/>
      <c r="D474" s="90"/>
      <c r="E474" s="90"/>
      <c r="F474" s="90"/>
      <c r="G474" s="90"/>
      <c r="H474" s="363"/>
      <c r="I474" s="363"/>
      <c r="J474" s="363"/>
      <c r="K474" s="363"/>
      <c r="L474" s="363"/>
      <c r="M474" s="363"/>
      <c r="N474" s="363"/>
      <c r="O474" s="363"/>
      <c r="P474" s="363"/>
      <c r="Q474" s="363"/>
      <c r="R474" s="363"/>
      <c r="S474" s="363"/>
      <c r="T474" s="363"/>
      <c r="U474" s="363"/>
      <c r="V474" s="363"/>
      <c r="W474" s="363"/>
      <c r="X474" s="363"/>
      <c r="Y474" s="363"/>
      <c r="Z474" s="363"/>
    </row>
    <row r="475" spans="1:26" ht="9.75" customHeight="1">
      <c r="A475" s="90"/>
      <c r="B475" s="90"/>
      <c r="C475" s="90"/>
      <c r="D475" s="90"/>
      <c r="E475" s="90"/>
      <c r="F475" s="90"/>
      <c r="G475" s="90"/>
      <c r="H475" s="363"/>
      <c r="I475" s="363"/>
      <c r="J475" s="363"/>
      <c r="K475" s="363"/>
      <c r="L475" s="363"/>
      <c r="M475" s="363"/>
      <c r="N475" s="363"/>
      <c r="O475" s="363"/>
      <c r="P475" s="363"/>
      <c r="Q475" s="363"/>
      <c r="R475" s="363"/>
      <c r="S475" s="363"/>
      <c r="T475" s="363"/>
      <c r="U475" s="363"/>
      <c r="V475" s="363"/>
      <c r="W475" s="363"/>
      <c r="X475" s="363"/>
      <c r="Y475" s="363"/>
      <c r="Z475" s="363"/>
    </row>
    <row r="476" spans="1:26" ht="9.75" customHeight="1">
      <c r="A476" s="90"/>
      <c r="B476" s="90"/>
      <c r="C476" s="90"/>
      <c r="D476" s="90"/>
      <c r="E476" s="90"/>
      <c r="F476" s="90"/>
      <c r="G476" s="90"/>
      <c r="H476" s="363"/>
      <c r="I476" s="363"/>
      <c r="J476" s="363"/>
      <c r="K476" s="363"/>
      <c r="L476" s="363"/>
      <c r="M476" s="363"/>
      <c r="N476" s="363"/>
      <c r="O476" s="363"/>
      <c r="P476" s="363"/>
      <c r="Q476" s="363"/>
      <c r="R476" s="363"/>
      <c r="S476" s="363"/>
      <c r="T476" s="363"/>
      <c r="U476" s="363"/>
      <c r="V476" s="363"/>
      <c r="W476" s="363"/>
      <c r="X476" s="363"/>
      <c r="Y476" s="363"/>
      <c r="Z476" s="363"/>
    </row>
    <row r="477" spans="1:26" ht="9.75" customHeight="1">
      <c r="A477" s="90"/>
      <c r="B477" s="90"/>
      <c r="C477" s="90"/>
      <c r="D477" s="90"/>
      <c r="E477" s="90"/>
      <c r="F477" s="90"/>
      <c r="G477" s="90"/>
      <c r="H477" s="363"/>
      <c r="I477" s="363"/>
      <c r="J477" s="363"/>
      <c r="K477" s="363"/>
      <c r="L477" s="363"/>
      <c r="M477" s="363"/>
      <c r="N477" s="363"/>
      <c r="O477" s="363"/>
      <c r="P477" s="363"/>
      <c r="Q477" s="363"/>
      <c r="R477" s="363"/>
      <c r="S477" s="363"/>
      <c r="T477" s="363"/>
      <c r="U477" s="363"/>
      <c r="V477" s="363"/>
      <c r="W477" s="363"/>
      <c r="X477" s="363"/>
      <c r="Y477" s="363"/>
      <c r="Z477" s="363"/>
    </row>
    <row r="478" spans="1:26" ht="9.75" customHeight="1">
      <c r="A478" s="90"/>
      <c r="B478" s="90"/>
      <c r="C478" s="90"/>
      <c r="D478" s="90"/>
      <c r="E478" s="90"/>
      <c r="F478" s="90"/>
      <c r="G478" s="90"/>
      <c r="H478" s="363"/>
      <c r="I478" s="363"/>
      <c r="J478" s="363"/>
      <c r="K478" s="363"/>
      <c r="L478" s="363"/>
      <c r="M478" s="363"/>
      <c r="N478" s="363"/>
      <c r="O478" s="363"/>
      <c r="P478" s="363"/>
      <c r="Q478" s="363"/>
      <c r="R478" s="363"/>
      <c r="S478" s="363"/>
      <c r="T478" s="363"/>
      <c r="U478" s="363"/>
      <c r="V478" s="363"/>
      <c r="W478" s="363"/>
      <c r="X478" s="363"/>
      <c r="Y478" s="363"/>
      <c r="Z478" s="363"/>
    </row>
    <row r="479" spans="1:26" ht="9.75" customHeight="1">
      <c r="A479" s="90"/>
      <c r="B479" s="90"/>
      <c r="C479" s="90"/>
      <c r="D479" s="90"/>
      <c r="E479" s="90"/>
      <c r="F479" s="90"/>
      <c r="G479" s="90"/>
      <c r="H479" s="363"/>
      <c r="I479" s="363"/>
      <c r="J479" s="363"/>
      <c r="K479" s="363"/>
      <c r="L479" s="363"/>
      <c r="M479" s="363"/>
      <c r="N479" s="363"/>
      <c r="O479" s="363"/>
      <c r="P479" s="363"/>
      <c r="Q479" s="363"/>
      <c r="R479" s="363"/>
      <c r="S479" s="363"/>
      <c r="T479" s="363"/>
      <c r="U479" s="363"/>
      <c r="V479" s="363"/>
      <c r="W479" s="363"/>
      <c r="X479" s="363"/>
      <c r="Y479" s="363"/>
      <c r="Z479" s="363"/>
    </row>
    <row r="480" spans="1:26" ht="9.75" customHeight="1">
      <c r="A480" s="90"/>
      <c r="B480" s="90"/>
      <c r="C480" s="90"/>
      <c r="D480" s="90"/>
      <c r="E480" s="90"/>
      <c r="F480" s="90"/>
      <c r="G480" s="90"/>
      <c r="H480" s="363"/>
      <c r="I480" s="363"/>
      <c r="J480" s="363"/>
      <c r="K480" s="363"/>
      <c r="L480" s="363"/>
      <c r="M480" s="363"/>
      <c r="N480" s="363"/>
      <c r="O480" s="363"/>
      <c r="P480" s="363"/>
      <c r="Q480" s="363"/>
      <c r="R480" s="363"/>
      <c r="S480" s="363"/>
      <c r="T480" s="363"/>
      <c r="U480" s="363"/>
      <c r="V480" s="363"/>
      <c r="W480" s="363"/>
      <c r="X480" s="363"/>
      <c r="Y480" s="363"/>
      <c r="Z480" s="363"/>
    </row>
    <row r="481" spans="1:26" ht="9.75" customHeight="1">
      <c r="A481" s="90"/>
      <c r="B481" s="90"/>
      <c r="C481" s="90"/>
      <c r="D481" s="90"/>
      <c r="E481" s="90"/>
      <c r="F481" s="90"/>
      <c r="G481" s="90"/>
      <c r="H481" s="363"/>
      <c r="I481" s="363"/>
      <c r="J481" s="363"/>
      <c r="K481" s="363"/>
      <c r="L481" s="363"/>
      <c r="M481" s="363"/>
      <c r="N481" s="363"/>
      <c r="O481" s="363"/>
      <c r="P481" s="363"/>
      <c r="Q481" s="363"/>
      <c r="R481" s="363"/>
      <c r="S481" s="363"/>
      <c r="T481" s="363"/>
      <c r="U481" s="363"/>
      <c r="V481" s="363"/>
      <c r="W481" s="363"/>
      <c r="X481" s="363"/>
      <c r="Y481" s="363"/>
      <c r="Z481" s="363"/>
    </row>
    <row r="482" spans="1:26" ht="9.75" customHeight="1">
      <c r="A482" s="90"/>
      <c r="B482" s="90"/>
      <c r="C482" s="90"/>
      <c r="D482" s="90"/>
      <c r="E482" s="90"/>
      <c r="F482" s="90"/>
      <c r="G482" s="90"/>
      <c r="H482" s="363"/>
      <c r="I482" s="363"/>
      <c r="J482" s="363"/>
      <c r="K482" s="363"/>
      <c r="L482" s="363"/>
      <c r="M482" s="363"/>
      <c r="N482" s="363"/>
      <c r="O482" s="363"/>
      <c r="P482" s="363"/>
      <c r="Q482" s="363"/>
      <c r="R482" s="363"/>
      <c r="S482" s="363"/>
      <c r="T482" s="363"/>
      <c r="U482" s="363"/>
      <c r="V482" s="363"/>
      <c r="W482" s="363"/>
      <c r="X482" s="363"/>
      <c r="Y482" s="363"/>
      <c r="Z482" s="363"/>
    </row>
    <row r="483" spans="1:26" ht="9.75" customHeight="1">
      <c r="A483" s="90"/>
      <c r="B483" s="90"/>
      <c r="C483" s="90"/>
      <c r="D483" s="90"/>
      <c r="E483" s="90"/>
      <c r="F483" s="90"/>
      <c r="G483" s="90"/>
      <c r="H483" s="363"/>
      <c r="I483" s="363"/>
      <c r="J483" s="363"/>
      <c r="K483" s="363"/>
      <c r="L483" s="363"/>
      <c r="M483" s="363"/>
      <c r="N483" s="363"/>
      <c r="O483" s="363"/>
      <c r="P483" s="363"/>
      <c r="Q483" s="363"/>
      <c r="R483" s="363"/>
      <c r="S483" s="363"/>
      <c r="T483" s="363"/>
      <c r="U483" s="363"/>
      <c r="V483" s="363"/>
      <c r="W483" s="363"/>
      <c r="X483" s="363"/>
      <c r="Y483" s="363"/>
      <c r="Z483" s="363"/>
    </row>
    <row r="484" spans="1:26" ht="9.75" customHeight="1">
      <c r="A484" s="90"/>
      <c r="B484" s="90"/>
      <c r="C484" s="90"/>
      <c r="D484" s="90"/>
      <c r="E484" s="90"/>
      <c r="F484" s="90"/>
      <c r="G484" s="90"/>
      <c r="H484" s="363"/>
      <c r="I484" s="363"/>
      <c r="J484" s="363"/>
      <c r="K484" s="363"/>
      <c r="L484" s="363"/>
      <c r="M484" s="363"/>
      <c r="N484" s="363"/>
      <c r="O484" s="363"/>
      <c r="P484" s="363"/>
      <c r="Q484" s="363"/>
      <c r="R484" s="363"/>
      <c r="S484" s="363"/>
      <c r="T484" s="363"/>
      <c r="U484" s="363"/>
      <c r="V484" s="363"/>
      <c r="W484" s="363"/>
      <c r="X484" s="363"/>
      <c r="Y484" s="363"/>
      <c r="Z484" s="363"/>
    </row>
    <row r="485" spans="1:26" ht="9.75" customHeight="1">
      <c r="A485" s="90"/>
      <c r="B485" s="90"/>
      <c r="C485" s="90"/>
      <c r="D485" s="90"/>
      <c r="E485" s="90"/>
      <c r="F485" s="90"/>
      <c r="G485" s="90"/>
      <c r="H485" s="363"/>
      <c r="I485" s="363"/>
      <c r="J485" s="363"/>
      <c r="K485" s="363"/>
      <c r="L485" s="363"/>
      <c r="M485" s="363"/>
      <c r="N485" s="363"/>
      <c r="O485" s="363"/>
      <c r="P485" s="363"/>
      <c r="Q485" s="363"/>
      <c r="R485" s="363"/>
      <c r="S485" s="363"/>
      <c r="T485" s="363"/>
      <c r="U485" s="363"/>
      <c r="V485" s="363"/>
      <c r="W485" s="363"/>
      <c r="X485" s="363"/>
      <c r="Y485" s="363"/>
      <c r="Z485" s="363"/>
    </row>
    <row r="486" spans="1:26" ht="9.75" customHeight="1">
      <c r="A486" s="90"/>
      <c r="B486" s="90"/>
      <c r="C486" s="90"/>
      <c r="D486" s="90"/>
      <c r="E486" s="90"/>
      <c r="F486" s="90"/>
      <c r="G486" s="90"/>
      <c r="H486" s="363"/>
      <c r="I486" s="363"/>
      <c r="J486" s="363"/>
      <c r="K486" s="363"/>
      <c r="L486" s="363"/>
      <c r="M486" s="363"/>
      <c r="N486" s="363"/>
      <c r="O486" s="363"/>
      <c r="P486" s="363"/>
      <c r="Q486" s="363"/>
      <c r="R486" s="363"/>
      <c r="S486" s="363"/>
      <c r="T486" s="363"/>
      <c r="U486" s="363"/>
      <c r="V486" s="363"/>
      <c r="W486" s="363"/>
      <c r="X486" s="363"/>
      <c r="Y486" s="363"/>
      <c r="Z486" s="363"/>
    </row>
    <row r="487" spans="1:26" ht="9.75" customHeight="1">
      <c r="A487" s="90"/>
      <c r="B487" s="90"/>
      <c r="C487" s="90"/>
      <c r="D487" s="90"/>
      <c r="E487" s="90"/>
      <c r="F487" s="90"/>
      <c r="G487" s="90"/>
      <c r="H487" s="363"/>
      <c r="I487" s="363"/>
      <c r="J487" s="363"/>
      <c r="K487" s="363"/>
      <c r="L487" s="363"/>
      <c r="M487" s="363"/>
      <c r="N487" s="363"/>
      <c r="O487" s="363"/>
      <c r="P487" s="363"/>
      <c r="Q487" s="363"/>
      <c r="R487" s="363"/>
      <c r="S487" s="363"/>
      <c r="T487" s="363"/>
      <c r="U487" s="363"/>
      <c r="V487" s="363"/>
      <c r="W487" s="363"/>
      <c r="X487" s="363"/>
      <c r="Y487" s="363"/>
      <c r="Z487" s="363"/>
    </row>
    <row r="488" spans="1:26" ht="9.75" customHeight="1">
      <c r="A488" s="90"/>
      <c r="B488" s="90"/>
      <c r="C488" s="90"/>
      <c r="D488" s="90"/>
      <c r="E488" s="90"/>
      <c r="F488" s="90"/>
      <c r="G488" s="90"/>
      <c r="H488" s="363"/>
      <c r="I488" s="363"/>
      <c r="J488" s="363"/>
      <c r="K488" s="363"/>
      <c r="L488" s="363"/>
      <c r="M488" s="363"/>
      <c r="N488" s="363"/>
      <c r="O488" s="363"/>
      <c r="P488" s="363"/>
      <c r="Q488" s="363"/>
      <c r="R488" s="363"/>
      <c r="S488" s="363"/>
      <c r="T488" s="363"/>
      <c r="U488" s="363"/>
      <c r="V488" s="363"/>
      <c r="W488" s="363"/>
      <c r="X488" s="363"/>
      <c r="Y488" s="363"/>
      <c r="Z488" s="363"/>
    </row>
    <row r="489" spans="1:26" ht="9.75" customHeight="1">
      <c r="A489" s="90"/>
      <c r="B489" s="90"/>
      <c r="C489" s="90"/>
      <c r="D489" s="90"/>
      <c r="E489" s="90"/>
      <c r="F489" s="90"/>
      <c r="G489" s="90"/>
      <c r="H489" s="363"/>
      <c r="I489" s="363"/>
      <c r="J489" s="363"/>
      <c r="K489" s="363"/>
      <c r="L489" s="363"/>
      <c r="M489" s="363"/>
      <c r="N489" s="363"/>
      <c r="O489" s="363"/>
      <c r="P489" s="363"/>
      <c r="Q489" s="363"/>
      <c r="R489" s="363"/>
      <c r="S489" s="363"/>
      <c r="T489" s="363"/>
      <c r="U489" s="363"/>
      <c r="V489" s="363"/>
      <c r="W489" s="363"/>
      <c r="X489" s="363"/>
      <c r="Y489" s="363"/>
      <c r="Z489" s="363"/>
    </row>
    <row r="490" spans="1:26" ht="9.75" customHeight="1">
      <c r="A490" s="90"/>
      <c r="B490" s="90"/>
      <c r="C490" s="90"/>
      <c r="D490" s="90"/>
      <c r="E490" s="90"/>
      <c r="F490" s="90"/>
      <c r="G490" s="90"/>
      <c r="H490" s="363"/>
      <c r="I490" s="363"/>
      <c r="J490" s="363"/>
      <c r="K490" s="363"/>
      <c r="L490" s="363"/>
      <c r="M490" s="363"/>
      <c r="N490" s="363"/>
      <c r="O490" s="363"/>
      <c r="P490" s="363"/>
      <c r="Q490" s="363"/>
      <c r="R490" s="363"/>
      <c r="S490" s="363"/>
      <c r="T490" s="363"/>
      <c r="U490" s="363"/>
      <c r="V490" s="363"/>
      <c r="W490" s="363"/>
      <c r="X490" s="363"/>
      <c r="Y490" s="363"/>
      <c r="Z490" s="363"/>
    </row>
    <row r="491" spans="1:26" ht="9.75" customHeight="1">
      <c r="A491" s="90"/>
      <c r="B491" s="90"/>
      <c r="C491" s="90"/>
      <c r="D491" s="90"/>
      <c r="E491" s="90"/>
      <c r="F491" s="90"/>
      <c r="G491" s="90"/>
      <c r="H491" s="363"/>
      <c r="I491" s="363"/>
      <c r="J491" s="363"/>
      <c r="K491" s="363"/>
      <c r="L491" s="363"/>
      <c r="M491" s="363"/>
      <c r="N491" s="363"/>
      <c r="O491" s="363"/>
      <c r="P491" s="363"/>
      <c r="Q491" s="363"/>
      <c r="R491" s="363"/>
      <c r="S491" s="363"/>
      <c r="T491" s="363"/>
      <c r="U491" s="363"/>
      <c r="V491" s="363"/>
      <c r="W491" s="363"/>
      <c r="X491" s="363"/>
      <c r="Y491" s="363"/>
      <c r="Z491" s="363"/>
    </row>
    <row r="492" spans="1:26" ht="9.75" customHeight="1">
      <c r="A492" s="90"/>
      <c r="B492" s="90"/>
      <c r="C492" s="90"/>
      <c r="D492" s="90"/>
      <c r="E492" s="90"/>
      <c r="F492" s="90"/>
      <c r="G492" s="90"/>
      <c r="H492" s="363"/>
      <c r="I492" s="363"/>
      <c r="J492" s="363"/>
      <c r="K492" s="363"/>
      <c r="L492" s="363"/>
      <c r="M492" s="363"/>
      <c r="N492" s="363"/>
      <c r="O492" s="363"/>
      <c r="P492" s="363"/>
      <c r="Q492" s="363"/>
      <c r="R492" s="363"/>
      <c r="S492" s="363"/>
      <c r="T492" s="363"/>
      <c r="U492" s="363"/>
      <c r="V492" s="363"/>
      <c r="W492" s="363"/>
      <c r="X492" s="363"/>
      <c r="Y492" s="363"/>
      <c r="Z492" s="363"/>
    </row>
    <row r="493" spans="1:26" ht="9.75" customHeight="1">
      <c r="A493" s="90"/>
      <c r="B493" s="90"/>
      <c r="C493" s="90"/>
      <c r="D493" s="90"/>
      <c r="E493" s="90"/>
      <c r="F493" s="90"/>
      <c r="G493" s="90"/>
      <c r="H493" s="363"/>
      <c r="I493" s="363"/>
      <c r="J493" s="363"/>
      <c r="K493" s="363"/>
      <c r="L493" s="363"/>
      <c r="M493" s="363"/>
      <c r="N493" s="363"/>
      <c r="O493" s="363"/>
      <c r="P493" s="363"/>
      <c r="Q493" s="363"/>
      <c r="R493" s="363"/>
      <c r="S493" s="363"/>
      <c r="T493" s="363"/>
      <c r="U493" s="363"/>
      <c r="V493" s="363"/>
      <c r="W493" s="363"/>
      <c r="X493" s="363"/>
      <c r="Y493" s="363"/>
      <c r="Z493" s="363"/>
    </row>
    <row r="494" spans="1:26" ht="9.75" customHeight="1">
      <c r="A494" s="90"/>
      <c r="B494" s="90"/>
      <c r="C494" s="90"/>
      <c r="D494" s="90"/>
      <c r="E494" s="90"/>
      <c r="F494" s="90"/>
      <c r="G494" s="90"/>
      <c r="H494" s="363"/>
      <c r="I494" s="363"/>
      <c r="J494" s="363"/>
      <c r="K494" s="363"/>
      <c r="L494" s="363"/>
      <c r="M494" s="363"/>
      <c r="N494" s="363"/>
      <c r="O494" s="363"/>
      <c r="P494" s="363"/>
      <c r="Q494" s="363"/>
      <c r="R494" s="363"/>
      <c r="S494" s="363"/>
      <c r="T494" s="363"/>
      <c r="U494" s="363"/>
      <c r="V494" s="363"/>
      <c r="W494" s="363"/>
      <c r="X494" s="363"/>
      <c r="Y494" s="363"/>
      <c r="Z494" s="363"/>
    </row>
    <row r="495" spans="1:26" ht="9.75" customHeight="1">
      <c r="A495" s="90"/>
      <c r="B495" s="90"/>
      <c r="C495" s="90"/>
      <c r="D495" s="90"/>
      <c r="E495" s="90"/>
      <c r="F495" s="90"/>
      <c r="G495" s="90"/>
      <c r="H495" s="363"/>
      <c r="I495" s="363"/>
      <c r="J495" s="363"/>
      <c r="K495" s="363"/>
      <c r="L495" s="363"/>
      <c r="M495" s="363"/>
      <c r="N495" s="363"/>
      <c r="O495" s="363"/>
      <c r="P495" s="363"/>
      <c r="Q495" s="363"/>
      <c r="R495" s="363"/>
      <c r="S495" s="363"/>
      <c r="T495" s="363"/>
      <c r="U495" s="363"/>
      <c r="V495" s="363"/>
      <c r="W495" s="363"/>
      <c r="X495" s="363"/>
      <c r="Y495" s="363"/>
      <c r="Z495" s="363"/>
    </row>
    <row r="496" spans="1:26" ht="9.75" customHeight="1">
      <c r="A496" s="90"/>
      <c r="B496" s="90"/>
      <c r="C496" s="90"/>
      <c r="D496" s="90"/>
      <c r="E496" s="90"/>
      <c r="F496" s="90"/>
      <c r="G496" s="90"/>
      <c r="H496" s="363"/>
      <c r="I496" s="363"/>
      <c r="J496" s="363"/>
      <c r="K496" s="363"/>
      <c r="L496" s="363"/>
      <c r="M496" s="363"/>
      <c r="N496" s="363"/>
      <c r="O496" s="363"/>
      <c r="P496" s="363"/>
      <c r="Q496" s="363"/>
      <c r="R496" s="363"/>
      <c r="S496" s="363"/>
      <c r="T496" s="363"/>
      <c r="U496" s="363"/>
      <c r="V496" s="363"/>
      <c r="W496" s="363"/>
      <c r="X496" s="363"/>
      <c r="Y496" s="363"/>
      <c r="Z496" s="363"/>
    </row>
    <row r="497" spans="1:26" ht="9.75" customHeight="1">
      <c r="A497" s="90"/>
      <c r="B497" s="90"/>
      <c r="C497" s="90"/>
      <c r="D497" s="90"/>
      <c r="E497" s="90"/>
      <c r="F497" s="90"/>
      <c r="G497" s="90"/>
      <c r="H497" s="363"/>
      <c r="I497" s="363"/>
      <c r="J497" s="363"/>
      <c r="K497" s="363"/>
      <c r="L497" s="363"/>
      <c r="M497" s="363"/>
      <c r="N497" s="363"/>
      <c r="O497" s="363"/>
      <c r="P497" s="363"/>
      <c r="Q497" s="363"/>
      <c r="R497" s="363"/>
      <c r="S497" s="363"/>
      <c r="T497" s="363"/>
      <c r="U497" s="363"/>
      <c r="V497" s="363"/>
      <c r="W497" s="363"/>
      <c r="X497" s="363"/>
      <c r="Y497" s="363"/>
      <c r="Z497" s="363"/>
    </row>
    <row r="498" spans="1:26" ht="9.75" customHeight="1">
      <c r="A498" s="90"/>
      <c r="B498" s="90"/>
      <c r="C498" s="90"/>
      <c r="D498" s="90"/>
      <c r="E498" s="90"/>
      <c r="F498" s="90"/>
      <c r="G498" s="90"/>
      <c r="H498" s="363"/>
      <c r="I498" s="363"/>
      <c r="J498" s="363"/>
      <c r="K498" s="363"/>
      <c r="L498" s="363"/>
      <c r="M498" s="363"/>
      <c r="N498" s="363"/>
      <c r="O498" s="363"/>
      <c r="P498" s="363"/>
      <c r="Q498" s="363"/>
      <c r="R498" s="363"/>
      <c r="S498" s="363"/>
      <c r="T498" s="363"/>
      <c r="U498" s="363"/>
      <c r="V498" s="363"/>
      <c r="W498" s="363"/>
      <c r="X498" s="363"/>
      <c r="Y498" s="363"/>
      <c r="Z498" s="363"/>
    </row>
    <row r="499" spans="1:26" ht="9.75" customHeight="1">
      <c r="A499" s="90"/>
      <c r="B499" s="90"/>
      <c r="C499" s="90"/>
      <c r="D499" s="90"/>
      <c r="E499" s="90"/>
      <c r="F499" s="90"/>
      <c r="G499" s="90"/>
      <c r="H499" s="363"/>
      <c r="I499" s="363"/>
      <c r="J499" s="363"/>
      <c r="K499" s="363"/>
      <c r="L499" s="363"/>
      <c r="M499" s="363"/>
      <c r="N499" s="363"/>
      <c r="O499" s="363"/>
      <c r="P499" s="363"/>
      <c r="Q499" s="363"/>
      <c r="R499" s="363"/>
      <c r="S499" s="363"/>
      <c r="T499" s="363"/>
      <c r="U499" s="363"/>
      <c r="V499" s="363"/>
      <c r="W499" s="363"/>
      <c r="X499" s="363"/>
      <c r="Y499" s="363"/>
      <c r="Z499" s="363"/>
    </row>
    <row r="500" spans="1:26" ht="9.75" customHeight="1">
      <c r="A500" s="90"/>
      <c r="B500" s="90"/>
      <c r="C500" s="90"/>
      <c r="D500" s="90"/>
      <c r="E500" s="90"/>
      <c r="F500" s="90"/>
      <c r="G500" s="90"/>
      <c r="H500" s="363"/>
      <c r="I500" s="363"/>
      <c r="J500" s="363"/>
      <c r="K500" s="363"/>
      <c r="L500" s="363"/>
      <c r="M500" s="363"/>
      <c r="N500" s="363"/>
      <c r="O500" s="363"/>
      <c r="P500" s="363"/>
      <c r="Q500" s="363"/>
      <c r="R500" s="363"/>
      <c r="S500" s="363"/>
      <c r="T500" s="363"/>
      <c r="U500" s="363"/>
      <c r="V500" s="363"/>
      <c r="W500" s="363"/>
      <c r="X500" s="363"/>
      <c r="Y500" s="363"/>
      <c r="Z500" s="363"/>
    </row>
    <row r="501" spans="1:26" ht="9.75" customHeight="1">
      <c r="A501" s="90"/>
      <c r="B501" s="90"/>
      <c r="C501" s="90"/>
      <c r="D501" s="90"/>
      <c r="E501" s="90"/>
      <c r="F501" s="90"/>
      <c r="G501" s="90"/>
      <c r="H501" s="363"/>
      <c r="I501" s="363"/>
      <c r="J501" s="363"/>
      <c r="K501" s="363"/>
      <c r="L501" s="363"/>
      <c r="M501" s="363"/>
      <c r="N501" s="363"/>
      <c r="O501" s="363"/>
      <c r="P501" s="363"/>
      <c r="Q501" s="363"/>
      <c r="R501" s="363"/>
      <c r="S501" s="363"/>
      <c r="T501" s="363"/>
      <c r="U501" s="363"/>
      <c r="V501" s="363"/>
      <c r="W501" s="363"/>
      <c r="X501" s="363"/>
      <c r="Y501" s="363"/>
      <c r="Z501" s="363"/>
    </row>
    <row r="502" spans="1:26" ht="9.75" customHeight="1">
      <c r="A502" s="90"/>
      <c r="B502" s="90"/>
      <c r="C502" s="90"/>
      <c r="D502" s="90"/>
      <c r="E502" s="90"/>
      <c r="F502" s="90"/>
      <c r="G502" s="90"/>
      <c r="H502" s="363"/>
      <c r="I502" s="363"/>
      <c r="J502" s="363"/>
      <c r="K502" s="363"/>
      <c r="L502" s="363"/>
      <c r="M502" s="363"/>
      <c r="N502" s="363"/>
      <c r="O502" s="363"/>
      <c r="P502" s="363"/>
      <c r="Q502" s="363"/>
      <c r="R502" s="363"/>
      <c r="S502" s="363"/>
      <c r="T502" s="363"/>
      <c r="U502" s="363"/>
      <c r="V502" s="363"/>
      <c r="W502" s="363"/>
      <c r="X502" s="363"/>
      <c r="Y502" s="363"/>
      <c r="Z502" s="363"/>
    </row>
    <row r="503" spans="1:26" ht="9.75" customHeight="1">
      <c r="A503" s="90"/>
      <c r="B503" s="90"/>
      <c r="C503" s="90"/>
      <c r="D503" s="90"/>
      <c r="E503" s="90"/>
      <c r="F503" s="90"/>
      <c r="G503" s="90"/>
      <c r="H503" s="363"/>
      <c r="I503" s="363"/>
      <c r="J503" s="363"/>
      <c r="K503" s="363"/>
      <c r="L503" s="363"/>
      <c r="M503" s="363"/>
      <c r="N503" s="363"/>
      <c r="O503" s="363"/>
      <c r="P503" s="363"/>
      <c r="Q503" s="363"/>
      <c r="R503" s="363"/>
      <c r="S503" s="363"/>
      <c r="T503" s="363"/>
      <c r="U503" s="363"/>
      <c r="V503" s="363"/>
      <c r="W503" s="363"/>
      <c r="X503" s="363"/>
      <c r="Y503" s="363"/>
      <c r="Z503" s="363"/>
    </row>
    <row r="504" spans="1:26" ht="9.75" customHeight="1">
      <c r="A504" s="90"/>
      <c r="B504" s="90"/>
      <c r="C504" s="90"/>
      <c r="D504" s="90"/>
      <c r="E504" s="90"/>
      <c r="F504" s="90"/>
      <c r="G504" s="90"/>
      <c r="H504" s="363"/>
      <c r="I504" s="363"/>
      <c r="J504" s="363"/>
      <c r="K504" s="363"/>
      <c r="L504" s="363"/>
      <c r="M504" s="363"/>
      <c r="N504" s="363"/>
      <c r="O504" s="363"/>
      <c r="P504" s="363"/>
      <c r="Q504" s="363"/>
      <c r="R504" s="363"/>
      <c r="S504" s="363"/>
      <c r="T504" s="363"/>
      <c r="U504" s="363"/>
      <c r="V504" s="363"/>
      <c r="W504" s="363"/>
      <c r="X504" s="363"/>
      <c r="Y504" s="363"/>
      <c r="Z504" s="363"/>
    </row>
    <row r="505" spans="1:26" ht="9.75" customHeight="1">
      <c r="A505" s="90"/>
      <c r="B505" s="90"/>
      <c r="C505" s="90"/>
      <c r="D505" s="90"/>
      <c r="E505" s="90"/>
      <c r="F505" s="90"/>
      <c r="G505" s="90"/>
      <c r="H505" s="363"/>
      <c r="I505" s="363"/>
      <c r="J505" s="363"/>
      <c r="K505" s="363"/>
      <c r="L505" s="363"/>
      <c r="M505" s="363"/>
      <c r="N505" s="363"/>
      <c r="O505" s="363"/>
      <c r="P505" s="363"/>
      <c r="Q505" s="363"/>
      <c r="R505" s="363"/>
      <c r="S505" s="363"/>
      <c r="T505" s="363"/>
      <c r="U505" s="363"/>
      <c r="V505" s="363"/>
      <c r="W505" s="363"/>
      <c r="X505" s="363"/>
      <c r="Y505" s="363"/>
      <c r="Z505" s="363"/>
    </row>
    <row r="506" spans="1:26" ht="9.75" customHeight="1">
      <c r="A506" s="90"/>
      <c r="B506" s="90"/>
      <c r="C506" s="90"/>
      <c r="D506" s="90"/>
      <c r="E506" s="90"/>
      <c r="F506" s="90"/>
      <c r="G506" s="90"/>
      <c r="H506" s="363"/>
      <c r="I506" s="363"/>
      <c r="J506" s="363"/>
      <c r="K506" s="363"/>
      <c r="L506" s="363"/>
      <c r="M506" s="363"/>
      <c r="N506" s="363"/>
      <c r="O506" s="363"/>
      <c r="P506" s="363"/>
      <c r="Q506" s="363"/>
      <c r="R506" s="363"/>
      <c r="S506" s="363"/>
      <c r="T506" s="363"/>
      <c r="U506" s="363"/>
      <c r="V506" s="363"/>
      <c r="W506" s="363"/>
      <c r="X506" s="363"/>
      <c r="Y506" s="363"/>
      <c r="Z506" s="363"/>
    </row>
    <row r="507" spans="1:26" ht="9.75" customHeight="1">
      <c r="A507" s="90"/>
      <c r="B507" s="90"/>
      <c r="C507" s="90"/>
      <c r="D507" s="90"/>
      <c r="E507" s="90"/>
      <c r="F507" s="90"/>
      <c r="G507" s="90"/>
      <c r="H507" s="363"/>
      <c r="I507" s="363"/>
      <c r="J507" s="363"/>
      <c r="K507" s="363"/>
      <c r="L507" s="363"/>
      <c r="M507" s="363"/>
      <c r="N507" s="363"/>
      <c r="O507" s="363"/>
      <c r="P507" s="363"/>
      <c r="Q507" s="363"/>
      <c r="R507" s="363"/>
      <c r="S507" s="363"/>
      <c r="T507" s="363"/>
      <c r="U507" s="363"/>
      <c r="V507" s="363"/>
      <c r="W507" s="363"/>
      <c r="X507" s="363"/>
      <c r="Y507" s="363"/>
      <c r="Z507" s="363"/>
    </row>
    <row r="508" spans="1:26" ht="9.75" customHeight="1">
      <c r="A508" s="90"/>
      <c r="B508" s="90"/>
      <c r="C508" s="90"/>
      <c r="D508" s="90"/>
      <c r="E508" s="90"/>
      <c r="F508" s="90"/>
      <c r="G508" s="90"/>
      <c r="H508" s="363"/>
      <c r="I508" s="363"/>
      <c r="J508" s="363"/>
      <c r="K508" s="363"/>
      <c r="L508" s="363"/>
      <c r="M508" s="363"/>
      <c r="N508" s="363"/>
      <c r="O508" s="363"/>
      <c r="P508" s="363"/>
      <c r="Q508" s="363"/>
      <c r="R508" s="363"/>
      <c r="S508" s="363"/>
      <c r="T508" s="363"/>
      <c r="U508" s="363"/>
      <c r="V508" s="363"/>
      <c r="W508" s="363"/>
      <c r="X508" s="363"/>
      <c r="Y508" s="363"/>
      <c r="Z508" s="363"/>
    </row>
    <row r="509" spans="1:26" ht="9.75" customHeight="1">
      <c r="A509" s="90"/>
      <c r="B509" s="90"/>
      <c r="C509" s="90"/>
      <c r="D509" s="90"/>
      <c r="E509" s="90"/>
      <c r="F509" s="90"/>
      <c r="G509" s="90"/>
      <c r="H509" s="363"/>
      <c r="I509" s="363"/>
      <c r="J509" s="363"/>
      <c r="K509" s="363"/>
      <c r="L509" s="363"/>
      <c r="M509" s="363"/>
      <c r="N509" s="363"/>
      <c r="O509" s="363"/>
      <c r="P509" s="363"/>
      <c r="Q509" s="363"/>
      <c r="R509" s="363"/>
      <c r="S509" s="363"/>
      <c r="T509" s="363"/>
      <c r="U509" s="363"/>
      <c r="V509" s="363"/>
      <c r="W509" s="363"/>
      <c r="X509" s="363"/>
      <c r="Y509" s="363"/>
      <c r="Z509" s="363"/>
    </row>
    <row r="510" spans="1:26" ht="9.75" customHeight="1">
      <c r="A510" s="90"/>
      <c r="B510" s="90"/>
      <c r="C510" s="90"/>
      <c r="D510" s="90"/>
      <c r="E510" s="90"/>
      <c r="F510" s="90"/>
      <c r="G510" s="90"/>
      <c r="H510" s="363"/>
      <c r="I510" s="363"/>
      <c r="J510" s="363"/>
      <c r="K510" s="363"/>
      <c r="L510" s="363"/>
      <c r="M510" s="363"/>
      <c r="N510" s="363"/>
      <c r="O510" s="363"/>
      <c r="P510" s="363"/>
      <c r="Q510" s="363"/>
      <c r="R510" s="363"/>
      <c r="S510" s="363"/>
      <c r="T510" s="363"/>
      <c r="U510" s="363"/>
      <c r="V510" s="363"/>
      <c r="W510" s="363"/>
      <c r="X510" s="363"/>
      <c r="Y510" s="363"/>
      <c r="Z510" s="363"/>
    </row>
    <row r="511" spans="1:26" ht="9.75" customHeight="1">
      <c r="A511" s="90"/>
      <c r="B511" s="90"/>
      <c r="C511" s="90"/>
      <c r="D511" s="90"/>
      <c r="E511" s="90"/>
      <c r="F511" s="90"/>
      <c r="G511" s="90"/>
      <c r="H511" s="363"/>
      <c r="I511" s="363"/>
      <c r="J511" s="363"/>
      <c r="K511" s="363"/>
      <c r="L511" s="363"/>
      <c r="M511" s="363"/>
      <c r="N511" s="363"/>
      <c r="O511" s="363"/>
      <c r="P511" s="363"/>
      <c r="Q511" s="363"/>
      <c r="R511" s="363"/>
      <c r="S511" s="363"/>
      <c r="T511" s="363"/>
      <c r="U511" s="363"/>
      <c r="V511" s="363"/>
      <c r="W511" s="363"/>
      <c r="X511" s="363"/>
      <c r="Y511" s="363"/>
      <c r="Z511" s="363"/>
    </row>
    <row r="512" spans="1:26" ht="9.75" customHeight="1">
      <c r="A512" s="90"/>
      <c r="B512" s="90"/>
      <c r="C512" s="90"/>
      <c r="D512" s="90"/>
      <c r="E512" s="90"/>
      <c r="F512" s="90"/>
      <c r="G512" s="90"/>
      <c r="H512" s="363"/>
      <c r="I512" s="363"/>
      <c r="J512" s="363"/>
      <c r="K512" s="363"/>
      <c r="L512" s="363"/>
      <c r="M512" s="363"/>
      <c r="N512" s="363"/>
      <c r="O512" s="363"/>
      <c r="P512" s="363"/>
      <c r="Q512" s="363"/>
      <c r="R512" s="363"/>
      <c r="S512" s="363"/>
      <c r="T512" s="363"/>
      <c r="U512" s="363"/>
      <c r="V512" s="363"/>
      <c r="W512" s="363"/>
      <c r="X512" s="363"/>
      <c r="Y512" s="363"/>
      <c r="Z512" s="363"/>
    </row>
    <row r="513" spans="1:26" ht="9.75" customHeight="1">
      <c r="A513" s="90"/>
      <c r="B513" s="90"/>
      <c r="C513" s="90"/>
      <c r="D513" s="90"/>
      <c r="E513" s="90"/>
      <c r="F513" s="90"/>
      <c r="G513" s="90"/>
      <c r="H513" s="363"/>
      <c r="I513" s="363"/>
      <c r="J513" s="363"/>
      <c r="K513" s="363"/>
      <c r="L513" s="363"/>
      <c r="M513" s="363"/>
      <c r="N513" s="363"/>
      <c r="O513" s="363"/>
      <c r="P513" s="363"/>
      <c r="Q513" s="363"/>
      <c r="R513" s="363"/>
      <c r="S513" s="363"/>
      <c r="T513" s="363"/>
      <c r="U513" s="363"/>
      <c r="V513" s="363"/>
      <c r="W513" s="363"/>
      <c r="X513" s="363"/>
      <c r="Y513" s="363"/>
      <c r="Z513" s="363"/>
    </row>
    <row r="514" spans="1:26" ht="9.75" customHeight="1">
      <c r="A514" s="90"/>
      <c r="B514" s="90"/>
      <c r="C514" s="90"/>
      <c r="D514" s="90"/>
      <c r="E514" s="90"/>
      <c r="F514" s="90"/>
      <c r="G514" s="90"/>
      <c r="H514" s="363"/>
      <c r="I514" s="363"/>
      <c r="J514" s="363"/>
      <c r="K514" s="363"/>
      <c r="L514" s="363"/>
      <c r="M514" s="363"/>
      <c r="N514" s="363"/>
      <c r="O514" s="363"/>
      <c r="P514" s="363"/>
      <c r="Q514" s="363"/>
      <c r="R514" s="363"/>
      <c r="S514" s="363"/>
      <c r="T514" s="363"/>
      <c r="U514" s="363"/>
      <c r="V514" s="363"/>
      <c r="W514" s="363"/>
      <c r="X514" s="363"/>
      <c r="Y514" s="363"/>
      <c r="Z514" s="363"/>
    </row>
    <row r="515" spans="1:26" ht="9.75" customHeight="1">
      <c r="A515" s="90"/>
      <c r="B515" s="90"/>
      <c r="C515" s="90"/>
      <c r="D515" s="90"/>
      <c r="E515" s="90"/>
      <c r="F515" s="90"/>
      <c r="G515" s="90"/>
      <c r="H515" s="363"/>
      <c r="I515" s="363"/>
      <c r="J515" s="363"/>
      <c r="K515" s="363"/>
      <c r="L515" s="363"/>
      <c r="M515" s="363"/>
      <c r="N515" s="363"/>
      <c r="O515" s="363"/>
      <c r="P515" s="363"/>
      <c r="Q515" s="363"/>
      <c r="R515" s="363"/>
      <c r="S515" s="363"/>
      <c r="T515" s="363"/>
      <c r="U515" s="363"/>
      <c r="V515" s="363"/>
      <c r="W515" s="363"/>
      <c r="X515" s="363"/>
      <c r="Y515" s="363"/>
      <c r="Z515" s="363"/>
    </row>
    <row r="516" spans="1:26" ht="9.75" customHeight="1">
      <c r="A516" s="90"/>
      <c r="B516" s="90"/>
      <c r="C516" s="90"/>
      <c r="D516" s="90"/>
      <c r="E516" s="90"/>
      <c r="F516" s="90"/>
      <c r="G516" s="90"/>
      <c r="H516" s="363"/>
      <c r="I516" s="363"/>
      <c r="J516" s="363"/>
      <c r="K516" s="363"/>
      <c r="L516" s="363"/>
      <c r="M516" s="363"/>
      <c r="N516" s="363"/>
      <c r="O516" s="363"/>
      <c r="P516" s="363"/>
      <c r="Q516" s="363"/>
      <c r="R516" s="363"/>
      <c r="S516" s="363"/>
      <c r="T516" s="363"/>
      <c r="U516" s="363"/>
      <c r="V516" s="363"/>
      <c r="W516" s="363"/>
      <c r="X516" s="363"/>
      <c r="Y516" s="363"/>
      <c r="Z516" s="363"/>
    </row>
    <row r="517" spans="1:26" ht="9.75" customHeight="1">
      <c r="A517" s="90"/>
      <c r="B517" s="90"/>
      <c r="C517" s="90"/>
      <c r="D517" s="90"/>
      <c r="E517" s="90"/>
      <c r="F517" s="90"/>
      <c r="G517" s="90"/>
      <c r="H517" s="363"/>
      <c r="I517" s="363"/>
      <c r="J517" s="363"/>
      <c r="K517" s="363"/>
      <c r="L517" s="363"/>
      <c r="M517" s="363"/>
      <c r="N517" s="363"/>
      <c r="O517" s="363"/>
      <c r="P517" s="363"/>
      <c r="Q517" s="363"/>
      <c r="R517" s="363"/>
      <c r="S517" s="363"/>
      <c r="T517" s="363"/>
      <c r="U517" s="363"/>
      <c r="V517" s="363"/>
      <c r="W517" s="363"/>
      <c r="X517" s="363"/>
      <c r="Y517" s="363"/>
      <c r="Z517" s="363"/>
    </row>
    <row r="518" spans="1:26" ht="9.75" customHeight="1">
      <c r="A518" s="90"/>
      <c r="B518" s="90"/>
      <c r="C518" s="90"/>
      <c r="D518" s="90"/>
      <c r="E518" s="90"/>
      <c r="F518" s="90"/>
      <c r="G518" s="90"/>
      <c r="H518" s="363"/>
      <c r="I518" s="363"/>
      <c r="J518" s="363"/>
      <c r="K518" s="363"/>
      <c r="L518" s="363"/>
      <c r="M518" s="363"/>
      <c r="N518" s="363"/>
      <c r="O518" s="363"/>
      <c r="P518" s="363"/>
      <c r="Q518" s="363"/>
      <c r="R518" s="363"/>
      <c r="S518" s="363"/>
      <c r="T518" s="363"/>
      <c r="U518" s="363"/>
      <c r="V518" s="363"/>
      <c r="W518" s="363"/>
      <c r="X518" s="363"/>
      <c r="Y518" s="363"/>
      <c r="Z518" s="363"/>
    </row>
    <row r="519" spans="1:26" ht="9.75" customHeight="1">
      <c r="A519" s="90"/>
      <c r="B519" s="90"/>
      <c r="C519" s="90"/>
      <c r="D519" s="90"/>
      <c r="E519" s="90"/>
      <c r="F519" s="90"/>
      <c r="G519" s="90"/>
      <c r="H519" s="363"/>
      <c r="I519" s="363"/>
      <c r="J519" s="363"/>
      <c r="K519" s="363"/>
      <c r="L519" s="363"/>
      <c r="M519" s="363"/>
      <c r="N519" s="363"/>
      <c r="O519" s="363"/>
      <c r="P519" s="363"/>
      <c r="Q519" s="363"/>
      <c r="R519" s="363"/>
      <c r="S519" s="363"/>
      <c r="T519" s="363"/>
      <c r="U519" s="363"/>
      <c r="V519" s="363"/>
      <c r="W519" s="363"/>
      <c r="X519" s="363"/>
      <c r="Y519" s="363"/>
      <c r="Z519" s="363"/>
    </row>
    <row r="520" spans="1:26" ht="9.75" customHeight="1">
      <c r="A520" s="90"/>
      <c r="B520" s="90"/>
      <c r="C520" s="90"/>
      <c r="D520" s="90"/>
      <c r="E520" s="90"/>
      <c r="F520" s="90"/>
      <c r="G520" s="90"/>
      <c r="H520" s="363"/>
      <c r="I520" s="363"/>
      <c r="J520" s="363"/>
      <c r="K520" s="363"/>
      <c r="L520" s="363"/>
      <c r="M520" s="363"/>
      <c r="N520" s="363"/>
      <c r="O520" s="363"/>
      <c r="P520" s="363"/>
      <c r="Q520" s="363"/>
      <c r="R520" s="363"/>
      <c r="S520" s="363"/>
      <c r="T520" s="363"/>
      <c r="U520" s="363"/>
      <c r="V520" s="363"/>
      <c r="W520" s="363"/>
      <c r="X520" s="363"/>
      <c r="Y520" s="363"/>
      <c r="Z520" s="363"/>
    </row>
    <row r="521" spans="1:26" ht="9.75" customHeight="1">
      <c r="A521" s="90"/>
      <c r="B521" s="90"/>
      <c r="C521" s="90"/>
      <c r="D521" s="90"/>
      <c r="E521" s="90"/>
      <c r="F521" s="90"/>
      <c r="G521" s="90"/>
      <c r="H521" s="363"/>
      <c r="I521" s="363"/>
      <c r="J521" s="363"/>
      <c r="K521" s="363"/>
      <c r="L521" s="363"/>
      <c r="M521" s="363"/>
      <c r="N521" s="363"/>
      <c r="O521" s="363"/>
      <c r="P521" s="363"/>
      <c r="Q521" s="363"/>
      <c r="R521" s="363"/>
      <c r="S521" s="363"/>
      <c r="T521" s="363"/>
      <c r="U521" s="363"/>
      <c r="V521" s="363"/>
      <c r="W521" s="363"/>
      <c r="X521" s="363"/>
      <c r="Y521" s="363"/>
      <c r="Z521" s="363"/>
    </row>
    <row r="522" spans="1:26" ht="9.75" customHeight="1">
      <c r="A522" s="90"/>
      <c r="B522" s="90"/>
      <c r="C522" s="90"/>
      <c r="D522" s="90"/>
      <c r="E522" s="90"/>
      <c r="F522" s="90"/>
      <c r="G522" s="90"/>
      <c r="H522" s="363"/>
      <c r="I522" s="363"/>
      <c r="J522" s="363"/>
      <c r="K522" s="363"/>
      <c r="L522" s="363"/>
      <c r="M522" s="363"/>
      <c r="N522" s="363"/>
      <c r="O522" s="363"/>
      <c r="P522" s="363"/>
      <c r="Q522" s="363"/>
      <c r="R522" s="363"/>
      <c r="S522" s="363"/>
      <c r="T522" s="363"/>
      <c r="U522" s="363"/>
      <c r="V522" s="363"/>
      <c r="W522" s="363"/>
      <c r="X522" s="363"/>
      <c r="Y522" s="363"/>
      <c r="Z522" s="363"/>
    </row>
    <row r="523" spans="1:26" ht="9.75" customHeight="1">
      <c r="A523" s="90"/>
      <c r="B523" s="90"/>
      <c r="C523" s="90"/>
      <c r="D523" s="90"/>
      <c r="E523" s="90"/>
      <c r="F523" s="90"/>
      <c r="G523" s="90"/>
      <c r="H523" s="363"/>
      <c r="I523" s="363"/>
      <c r="J523" s="363"/>
      <c r="K523" s="363"/>
      <c r="L523" s="363"/>
      <c r="M523" s="363"/>
      <c r="N523" s="363"/>
      <c r="O523" s="363"/>
      <c r="P523" s="363"/>
      <c r="Q523" s="363"/>
      <c r="R523" s="363"/>
      <c r="S523" s="363"/>
      <c r="T523" s="363"/>
      <c r="U523" s="363"/>
      <c r="V523" s="363"/>
      <c r="W523" s="363"/>
      <c r="X523" s="363"/>
      <c r="Y523" s="363"/>
      <c r="Z523" s="363"/>
    </row>
    <row r="524" spans="1:26" ht="9.75" customHeight="1">
      <c r="A524" s="90"/>
      <c r="B524" s="90"/>
      <c r="C524" s="90"/>
      <c r="D524" s="90"/>
      <c r="E524" s="90"/>
      <c r="F524" s="90"/>
      <c r="G524" s="90"/>
      <c r="H524" s="363"/>
      <c r="I524" s="363"/>
      <c r="J524" s="363"/>
      <c r="K524" s="363"/>
      <c r="L524" s="363"/>
      <c r="M524" s="363"/>
      <c r="N524" s="363"/>
      <c r="O524" s="363"/>
      <c r="P524" s="363"/>
      <c r="Q524" s="363"/>
      <c r="R524" s="363"/>
      <c r="S524" s="363"/>
      <c r="T524" s="363"/>
      <c r="U524" s="363"/>
      <c r="V524" s="363"/>
      <c r="W524" s="363"/>
      <c r="X524" s="363"/>
      <c r="Y524" s="363"/>
      <c r="Z524" s="363"/>
    </row>
    <row r="525" spans="1:26" ht="9.75" customHeight="1">
      <c r="A525" s="90"/>
      <c r="B525" s="90"/>
      <c r="C525" s="90"/>
      <c r="D525" s="90"/>
      <c r="E525" s="90"/>
      <c r="F525" s="90"/>
      <c r="G525" s="90"/>
      <c r="H525" s="363"/>
      <c r="I525" s="363"/>
      <c r="J525" s="363"/>
      <c r="K525" s="363"/>
      <c r="L525" s="363"/>
      <c r="M525" s="363"/>
      <c r="N525" s="363"/>
      <c r="O525" s="363"/>
      <c r="P525" s="363"/>
      <c r="Q525" s="363"/>
      <c r="R525" s="363"/>
      <c r="S525" s="363"/>
      <c r="T525" s="363"/>
      <c r="U525" s="363"/>
      <c r="V525" s="363"/>
      <c r="W525" s="363"/>
      <c r="X525" s="363"/>
      <c r="Y525" s="363"/>
      <c r="Z525" s="363"/>
    </row>
    <row r="526" spans="1:26" ht="9.75" customHeight="1">
      <c r="A526" s="90"/>
      <c r="B526" s="90"/>
      <c r="C526" s="90"/>
      <c r="D526" s="90"/>
      <c r="E526" s="90"/>
      <c r="F526" s="90"/>
      <c r="G526" s="90"/>
      <c r="H526" s="363"/>
      <c r="I526" s="363"/>
      <c r="J526" s="363"/>
      <c r="K526" s="363"/>
      <c r="L526" s="363"/>
      <c r="M526" s="363"/>
      <c r="N526" s="363"/>
      <c r="O526" s="363"/>
      <c r="P526" s="363"/>
      <c r="Q526" s="363"/>
      <c r="R526" s="363"/>
      <c r="S526" s="363"/>
      <c r="T526" s="363"/>
      <c r="U526" s="363"/>
      <c r="V526" s="363"/>
      <c r="W526" s="363"/>
      <c r="X526" s="363"/>
      <c r="Y526" s="363"/>
      <c r="Z526" s="363"/>
    </row>
    <row r="527" spans="1:26" ht="9.75" customHeight="1">
      <c r="A527" s="90"/>
      <c r="B527" s="90"/>
      <c r="C527" s="90"/>
      <c r="D527" s="90"/>
      <c r="E527" s="90"/>
      <c r="F527" s="90"/>
      <c r="G527" s="90"/>
      <c r="H527" s="363"/>
      <c r="I527" s="363"/>
      <c r="J527" s="363"/>
      <c r="K527" s="363"/>
      <c r="L527" s="363"/>
      <c r="M527" s="363"/>
      <c r="N527" s="363"/>
      <c r="O527" s="363"/>
      <c r="P527" s="363"/>
      <c r="Q527" s="363"/>
      <c r="R527" s="363"/>
      <c r="S527" s="363"/>
      <c r="T527" s="363"/>
      <c r="U527" s="363"/>
      <c r="V527" s="363"/>
      <c r="W527" s="363"/>
      <c r="X527" s="363"/>
      <c r="Y527" s="363"/>
      <c r="Z527" s="363"/>
    </row>
    <row r="528" spans="1:26" ht="9.75" customHeight="1">
      <c r="A528" s="90"/>
      <c r="B528" s="90"/>
      <c r="C528" s="90"/>
      <c r="D528" s="90"/>
      <c r="E528" s="90"/>
      <c r="F528" s="90"/>
      <c r="G528" s="90"/>
      <c r="H528" s="363"/>
      <c r="I528" s="363"/>
      <c r="J528" s="363"/>
      <c r="K528" s="363"/>
      <c r="L528" s="363"/>
      <c r="M528" s="363"/>
      <c r="N528" s="363"/>
      <c r="O528" s="363"/>
      <c r="P528" s="363"/>
      <c r="Q528" s="363"/>
      <c r="R528" s="363"/>
      <c r="S528" s="363"/>
      <c r="T528" s="363"/>
      <c r="U528" s="363"/>
      <c r="V528" s="363"/>
      <c r="W528" s="363"/>
      <c r="X528" s="363"/>
      <c r="Y528" s="363"/>
      <c r="Z528" s="363"/>
    </row>
    <row r="529" spans="1:26" ht="9.75" customHeight="1">
      <c r="A529" s="90"/>
      <c r="B529" s="90"/>
      <c r="C529" s="90"/>
      <c r="D529" s="90"/>
      <c r="E529" s="90"/>
      <c r="F529" s="90"/>
      <c r="G529" s="90"/>
      <c r="H529" s="363"/>
      <c r="I529" s="363"/>
      <c r="J529" s="363"/>
      <c r="K529" s="363"/>
      <c r="L529" s="363"/>
      <c r="M529" s="363"/>
      <c r="N529" s="363"/>
      <c r="O529" s="363"/>
      <c r="P529" s="363"/>
      <c r="Q529" s="363"/>
      <c r="R529" s="363"/>
      <c r="S529" s="363"/>
      <c r="T529" s="363"/>
      <c r="U529" s="363"/>
      <c r="V529" s="363"/>
      <c r="W529" s="363"/>
      <c r="X529" s="363"/>
      <c r="Y529" s="363"/>
      <c r="Z529" s="363"/>
    </row>
    <row r="530" spans="1:26" ht="9.75" customHeight="1">
      <c r="A530" s="90"/>
      <c r="B530" s="90"/>
      <c r="C530" s="90"/>
      <c r="D530" s="90"/>
      <c r="E530" s="90"/>
      <c r="F530" s="90"/>
      <c r="G530" s="90"/>
      <c r="H530" s="363"/>
      <c r="I530" s="363"/>
      <c r="J530" s="363"/>
      <c r="K530" s="363"/>
      <c r="L530" s="363"/>
      <c r="M530" s="363"/>
      <c r="N530" s="363"/>
      <c r="O530" s="363"/>
      <c r="P530" s="363"/>
      <c r="Q530" s="363"/>
      <c r="R530" s="363"/>
      <c r="S530" s="363"/>
      <c r="T530" s="363"/>
      <c r="U530" s="363"/>
      <c r="V530" s="363"/>
      <c r="W530" s="363"/>
      <c r="X530" s="363"/>
      <c r="Y530" s="363"/>
      <c r="Z530" s="363"/>
    </row>
    <row r="531" spans="1:26" ht="9.75" customHeight="1">
      <c r="A531" s="90"/>
      <c r="B531" s="90"/>
      <c r="C531" s="90"/>
      <c r="D531" s="90"/>
      <c r="E531" s="90"/>
      <c r="F531" s="90"/>
      <c r="G531" s="90"/>
      <c r="H531" s="363"/>
      <c r="I531" s="363"/>
      <c r="J531" s="363"/>
      <c r="K531" s="363"/>
      <c r="L531" s="363"/>
      <c r="M531" s="363"/>
      <c r="N531" s="363"/>
      <c r="O531" s="363"/>
      <c r="P531" s="363"/>
      <c r="Q531" s="363"/>
      <c r="R531" s="363"/>
      <c r="S531" s="363"/>
      <c r="T531" s="363"/>
      <c r="U531" s="363"/>
      <c r="V531" s="363"/>
      <c r="W531" s="363"/>
      <c r="X531" s="363"/>
      <c r="Y531" s="363"/>
      <c r="Z531" s="363"/>
    </row>
    <row r="532" spans="1:26" ht="9.75" customHeight="1">
      <c r="A532" s="90"/>
      <c r="B532" s="90"/>
      <c r="C532" s="90"/>
      <c r="D532" s="90"/>
      <c r="E532" s="90"/>
      <c r="F532" s="90"/>
      <c r="G532" s="90"/>
      <c r="H532" s="363"/>
      <c r="I532" s="363"/>
      <c r="J532" s="363"/>
      <c r="K532" s="363"/>
      <c r="L532" s="363"/>
      <c r="M532" s="363"/>
      <c r="N532" s="363"/>
      <c r="O532" s="363"/>
      <c r="P532" s="363"/>
      <c r="Q532" s="363"/>
      <c r="R532" s="363"/>
      <c r="S532" s="363"/>
      <c r="T532" s="363"/>
      <c r="U532" s="363"/>
      <c r="V532" s="363"/>
      <c r="W532" s="363"/>
      <c r="X532" s="363"/>
      <c r="Y532" s="363"/>
      <c r="Z532" s="363"/>
    </row>
    <row r="533" spans="1:26" ht="9.75" customHeight="1">
      <c r="A533" s="90"/>
      <c r="B533" s="90"/>
      <c r="C533" s="90"/>
      <c r="D533" s="90"/>
      <c r="E533" s="90"/>
      <c r="F533" s="90"/>
      <c r="G533" s="90"/>
      <c r="H533" s="363"/>
      <c r="I533" s="363"/>
      <c r="J533" s="363"/>
      <c r="K533" s="363"/>
      <c r="L533" s="363"/>
      <c r="M533" s="363"/>
      <c r="N533" s="363"/>
      <c r="O533" s="363"/>
      <c r="P533" s="363"/>
      <c r="Q533" s="363"/>
      <c r="R533" s="363"/>
      <c r="S533" s="363"/>
      <c r="T533" s="363"/>
      <c r="U533" s="363"/>
      <c r="V533" s="363"/>
      <c r="W533" s="363"/>
      <c r="X533" s="363"/>
      <c r="Y533" s="363"/>
      <c r="Z533" s="363"/>
    </row>
    <row r="534" spans="1:26" ht="9.75" customHeight="1">
      <c r="A534" s="90"/>
      <c r="B534" s="90"/>
      <c r="C534" s="90"/>
      <c r="D534" s="90"/>
      <c r="E534" s="90"/>
      <c r="F534" s="90"/>
      <c r="G534" s="90"/>
      <c r="H534" s="363"/>
      <c r="I534" s="363"/>
      <c r="J534" s="363"/>
      <c r="K534" s="363"/>
      <c r="L534" s="363"/>
      <c r="M534" s="363"/>
      <c r="N534" s="363"/>
      <c r="O534" s="363"/>
      <c r="P534" s="363"/>
      <c r="Q534" s="363"/>
      <c r="R534" s="363"/>
      <c r="S534" s="363"/>
      <c r="T534" s="363"/>
      <c r="U534" s="363"/>
      <c r="V534" s="363"/>
      <c r="W534" s="363"/>
      <c r="X534" s="363"/>
      <c r="Y534" s="363"/>
      <c r="Z534" s="363"/>
    </row>
    <row r="535" spans="1:26" ht="9.75" customHeight="1">
      <c r="A535" s="90"/>
      <c r="B535" s="90"/>
      <c r="C535" s="90"/>
      <c r="D535" s="90"/>
      <c r="E535" s="90"/>
      <c r="F535" s="90"/>
      <c r="G535" s="90"/>
      <c r="H535" s="363"/>
      <c r="I535" s="363"/>
      <c r="J535" s="363"/>
      <c r="K535" s="363"/>
      <c r="L535" s="363"/>
      <c r="M535" s="363"/>
      <c r="N535" s="363"/>
      <c r="O535" s="363"/>
      <c r="P535" s="363"/>
      <c r="Q535" s="363"/>
      <c r="R535" s="363"/>
      <c r="S535" s="363"/>
      <c r="T535" s="363"/>
      <c r="U535" s="363"/>
      <c r="V535" s="363"/>
      <c r="W535" s="363"/>
      <c r="X535" s="363"/>
      <c r="Y535" s="363"/>
      <c r="Z535" s="363"/>
    </row>
    <row r="536" spans="1:26" ht="9.75" customHeight="1">
      <c r="A536" s="90"/>
      <c r="B536" s="90"/>
      <c r="C536" s="90"/>
      <c r="D536" s="90"/>
      <c r="E536" s="90"/>
      <c r="F536" s="90"/>
      <c r="G536" s="90"/>
      <c r="H536" s="363"/>
      <c r="I536" s="363"/>
      <c r="J536" s="363"/>
      <c r="K536" s="363"/>
      <c r="L536" s="363"/>
      <c r="M536" s="363"/>
      <c r="N536" s="363"/>
      <c r="O536" s="363"/>
      <c r="P536" s="363"/>
      <c r="Q536" s="363"/>
      <c r="R536" s="363"/>
      <c r="S536" s="363"/>
      <c r="T536" s="363"/>
      <c r="U536" s="363"/>
      <c r="V536" s="363"/>
      <c r="W536" s="363"/>
      <c r="X536" s="363"/>
      <c r="Y536" s="363"/>
      <c r="Z536" s="363"/>
    </row>
    <row r="537" spans="1:26" ht="9.75" customHeight="1">
      <c r="A537" s="90"/>
      <c r="B537" s="90"/>
      <c r="C537" s="90"/>
      <c r="D537" s="90"/>
      <c r="E537" s="90"/>
      <c r="F537" s="90"/>
      <c r="G537" s="90"/>
      <c r="H537" s="363"/>
      <c r="I537" s="363"/>
      <c r="J537" s="363"/>
      <c r="K537" s="363"/>
      <c r="L537" s="363"/>
      <c r="M537" s="363"/>
      <c r="N537" s="363"/>
      <c r="O537" s="363"/>
      <c r="P537" s="363"/>
      <c r="Q537" s="363"/>
      <c r="R537" s="363"/>
      <c r="S537" s="363"/>
      <c r="T537" s="363"/>
      <c r="U537" s="363"/>
      <c r="V537" s="363"/>
      <c r="W537" s="363"/>
      <c r="X537" s="363"/>
      <c r="Y537" s="363"/>
      <c r="Z537" s="363"/>
    </row>
    <row r="538" spans="1:26" ht="9.75" customHeight="1">
      <c r="A538" s="90"/>
      <c r="B538" s="90"/>
      <c r="C538" s="90"/>
      <c r="D538" s="90"/>
      <c r="E538" s="90"/>
      <c r="F538" s="90"/>
      <c r="G538" s="90"/>
      <c r="H538" s="363"/>
      <c r="I538" s="363"/>
      <c r="J538" s="363"/>
      <c r="K538" s="363"/>
      <c r="L538" s="363"/>
      <c r="M538" s="363"/>
      <c r="N538" s="363"/>
      <c r="O538" s="363"/>
      <c r="P538" s="363"/>
      <c r="Q538" s="363"/>
      <c r="R538" s="363"/>
      <c r="S538" s="363"/>
      <c r="T538" s="363"/>
      <c r="U538" s="363"/>
      <c r="V538" s="363"/>
      <c r="W538" s="363"/>
      <c r="X538" s="363"/>
      <c r="Y538" s="363"/>
      <c r="Z538" s="363"/>
    </row>
    <row r="539" spans="1:26" ht="9.75" customHeight="1">
      <c r="A539" s="90"/>
      <c r="B539" s="90"/>
      <c r="C539" s="90"/>
      <c r="D539" s="90"/>
      <c r="E539" s="90"/>
      <c r="F539" s="90"/>
      <c r="G539" s="90"/>
      <c r="H539" s="363"/>
      <c r="I539" s="363"/>
      <c r="J539" s="363"/>
      <c r="K539" s="363"/>
      <c r="L539" s="363"/>
      <c r="M539" s="363"/>
      <c r="N539" s="363"/>
      <c r="O539" s="363"/>
      <c r="P539" s="363"/>
      <c r="Q539" s="363"/>
      <c r="R539" s="363"/>
      <c r="S539" s="363"/>
      <c r="T539" s="363"/>
      <c r="U539" s="363"/>
      <c r="V539" s="363"/>
      <c r="W539" s="363"/>
      <c r="X539" s="363"/>
      <c r="Y539" s="363"/>
      <c r="Z539" s="363"/>
    </row>
    <row r="540" spans="1:26" ht="9.75" customHeight="1">
      <c r="A540" s="90"/>
      <c r="B540" s="90"/>
      <c r="C540" s="90"/>
      <c r="D540" s="90"/>
      <c r="E540" s="90"/>
      <c r="F540" s="90"/>
      <c r="G540" s="90"/>
      <c r="H540" s="363"/>
      <c r="I540" s="363"/>
      <c r="J540" s="363"/>
      <c r="K540" s="363"/>
      <c r="L540" s="363"/>
      <c r="M540" s="363"/>
      <c r="N540" s="363"/>
      <c r="O540" s="363"/>
      <c r="P540" s="363"/>
      <c r="Q540" s="363"/>
      <c r="R540" s="363"/>
      <c r="S540" s="363"/>
      <c r="T540" s="363"/>
      <c r="U540" s="363"/>
      <c r="V540" s="363"/>
      <c r="W540" s="363"/>
      <c r="X540" s="363"/>
      <c r="Y540" s="363"/>
      <c r="Z540" s="363"/>
    </row>
    <row r="541" spans="1:26" ht="9.75" customHeight="1">
      <c r="A541" s="90"/>
      <c r="B541" s="90"/>
      <c r="C541" s="90"/>
      <c r="D541" s="90"/>
      <c r="E541" s="90"/>
      <c r="F541" s="90"/>
      <c r="G541" s="90"/>
      <c r="H541" s="363"/>
      <c r="I541" s="363"/>
      <c r="J541" s="363"/>
      <c r="K541" s="363"/>
      <c r="L541" s="363"/>
      <c r="M541" s="363"/>
      <c r="N541" s="363"/>
      <c r="O541" s="363"/>
      <c r="P541" s="363"/>
      <c r="Q541" s="363"/>
      <c r="R541" s="363"/>
      <c r="S541" s="363"/>
      <c r="T541" s="363"/>
      <c r="U541" s="363"/>
      <c r="V541" s="363"/>
      <c r="W541" s="363"/>
      <c r="X541" s="363"/>
      <c r="Y541" s="363"/>
      <c r="Z541" s="363"/>
    </row>
    <row r="542" spans="1:26" ht="9.75" customHeight="1">
      <c r="A542" s="90"/>
      <c r="B542" s="90"/>
      <c r="C542" s="90"/>
      <c r="D542" s="90"/>
      <c r="E542" s="90"/>
      <c r="F542" s="90"/>
      <c r="G542" s="90"/>
      <c r="H542" s="363"/>
      <c r="I542" s="363"/>
      <c r="J542" s="363"/>
      <c r="K542" s="363"/>
      <c r="L542" s="363"/>
      <c r="M542" s="363"/>
      <c r="N542" s="363"/>
      <c r="O542" s="363"/>
      <c r="P542" s="363"/>
      <c r="Q542" s="363"/>
      <c r="R542" s="363"/>
      <c r="S542" s="363"/>
      <c r="T542" s="363"/>
      <c r="U542" s="363"/>
      <c r="V542" s="363"/>
      <c r="W542" s="363"/>
      <c r="X542" s="363"/>
      <c r="Y542" s="363"/>
      <c r="Z542" s="363"/>
    </row>
    <row r="543" spans="1:26" ht="9.75" customHeight="1">
      <c r="A543" s="90"/>
      <c r="B543" s="90"/>
      <c r="C543" s="90"/>
      <c r="D543" s="90"/>
      <c r="E543" s="90"/>
      <c r="F543" s="90"/>
      <c r="G543" s="90"/>
      <c r="H543" s="363"/>
      <c r="I543" s="363"/>
      <c r="J543" s="363"/>
      <c r="K543" s="363"/>
      <c r="L543" s="363"/>
      <c r="M543" s="363"/>
      <c r="N543" s="363"/>
      <c r="O543" s="363"/>
      <c r="P543" s="363"/>
      <c r="Q543" s="363"/>
      <c r="R543" s="363"/>
      <c r="S543" s="363"/>
      <c r="T543" s="363"/>
      <c r="U543" s="363"/>
      <c r="V543" s="363"/>
      <c r="W543" s="363"/>
      <c r="X543" s="363"/>
      <c r="Y543" s="363"/>
      <c r="Z543" s="363"/>
    </row>
    <row r="544" spans="1:26" ht="9.75" customHeight="1">
      <c r="A544" s="90"/>
      <c r="B544" s="90"/>
      <c r="C544" s="90"/>
      <c r="D544" s="90"/>
      <c r="E544" s="90"/>
      <c r="F544" s="90"/>
      <c r="G544" s="90"/>
      <c r="H544" s="363"/>
      <c r="I544" s="363"/>
      <c r="J544" s="363"/>
      <c r="K544" s="363"/>
      <c r="L544" s="363"/>
      <c r="M544" s="363"/>
      <c r="N544" s="363"/>
      <c r="O544" s="363"/>
      <c r="P544" s="363"/>
      <c r="Q544" s="363"/>
      <c r="R544" s="363"/>
      <c r="S544" s="363"/>
      <c r="T544" s="363"/>
      <c r="U544" s="363"/>
      <c r="V544" s="363"/>
      <c r="W544" s="363"/>
      <c r="X544" s="363"/>
      <c r="Y544" s="363"/>
      <c r="Z544" s="363"/>
    </row>
    <row r="545" spans="1:26" ht="9.75" customHeight="1">
      <c r="A545" s="90"/>
      <c r="B545" s="90"/>
      <c r="C545" s="90"/>
      <c r="D545" s="90"/>
      <c r="E545" s="90"/>
      <c r="F545" s="90"/>
      <c r="G545" s="90"/>
      <c r="H545" s="363"/>
      <c r="I545" s="363"/>
      <c r="J545" s="363"/>
      <c r="K545" s="363"/>
      <c r="L545" s="363"/>
      <c r="M545" s="363"/>
      <c r="N545" s="363"/>
      <c r="O545" s="363"/>
      <c r="P545" s="363"/>
      <c r="Q545" s="363"/>
      <c r="R545" s="363"/>
      <c r="S545" s="363"/>
      <c r="T545" s="363"/>
      <c r="U545" s="363"/>
      <c r="V545" s="363"/>
      <c r="W545" s="363"/>
      <c r="X545" s="363"/>
      <c r="Y545" s="363"/>
      <c r="Z545" s="363"/>
    </row>
    <row r="546" spans="1:26" ht="9.75" customHeight="1">
      <c r="A546" s="90"/>
      <c r="B546" s="90"/>
      <c r="C546" s="90"/>
      <c r="D546" s="90"/>
      <c r="E546" s="90"/>
      <c r="F546" s="90"/>
      <c r="G546" s="90"/>
      <c r="H546" s="363"/>
      <c r="I546" s="363"/>
      <c r="J546" s="363"/>
      <c r="K546" s="363"/>
      <c r="L546" s="363"/>
      <c r="M546" s="363"/>
      <c r="N546" s="363"/>
      <c r="O546" s="363"/>
      <c r="P546" s="363"/>
      <c r="Q546" s="363"/>
      <c r="R546" s="363"/>
      <c r="S546" s="363"/>
      <c r="T546" s="363"/>
      <c r="U546" s="363"/>
      <c r="V546" s="363"/>
      <c r="W546" s="363"/>
      <c r="X546" s="363"/>
      <c r="Y546" s="363"/>
      <c r="Z546" s="363"/>
    </row>
    <row r="547" spans="1:26" ht="9.75" customHeight="1">
      <c r="A547" s="90"/>
      <c r="B547" s="90"/>
      <c r="C547" s="90"/>
      <c r="D547" s="90"/>
      <c r="E547" s="90"/>
      <c r="F547" s="90"/>
      <c r="G547" s="90"/>
      <c r="H547" s="363"/>
      <c r="I547" s="363"/>
      <c r="J547" s="363"/>
      <c r="K547" s="363"/>
      <c r="L547" s="363"/>
      <c r="M547" s="363"/>
      <c r="N547" s="363"/>
      <c r="O547" s="363"/>
      <c r="P547" s="363"/>
      <c r="Q547" s="363"/>
      <c r="R547" s="363"/>
      <c r="S547" s="363"/>
      <c r="T547" s="363"/>
      <c r="U547" s="363"/>
      <c r="V547" s="363"/>
      <c r="W547" s="363"/>
      <c r="X547" s="363"/>
      <c r="Y547" s="363"/>
      <c r="Z547" s="363"/>
    </row>
    <row r="548" spans="1:26" ht="9.75" customHeight="1">
      <c r="A548" s="90"/>
      <c r="B548" s="90"/>
      <c r="C548" s="90"/>
      <c r="D548" s="90"/>
      <c r="E548" s="90"/>
      <c r="F548" s="90"/>
      <c r="G548" s="90"/>
      <c r="H548" s="363"/>
      <c r="I548" s="363"/>
      <c r="J548" s="363"/>
      <c r="K548" s="363"/>
      <c r="L548" s="363"/>
      <c r="M548" s="363"/>
      <c r="N548" s="363"/>
      <c r="O548" s="363"/>
      <c r="P548" s="363"/>
      <c r="Q548" s="363"/>
      <c r="R548" s="363"/>
      <c r="S548" s="363"/>
      <c r="T548" s="363"/>
      <c r="U548" s="363"/>
      <c r="V548" s="363"/>
      <c r="W548" s="363"/>
      <c r="X548" s="363"/>
      <c r="Y548" s="363"/>
      <c r="Z548" s="363"/>
    </row>
    <row r="549" spans="1:26" ht="9.75" customHeight="1">
      <c r="A549" s="90"/>
      <c r="B549" s="90"/>
      <c r="C549" s="90"/>
      <c r="D549" s="90"/>
      <c r="E549" s="90"/>
      <c r="F549" s="90"/>
      <c r="G549" s="90"/>
      <c r="H549" s="363"/>
      <c r="I549" s="363"/>
      <c r="J549" s="363"/>
      <c r="K549" s="363"/>
      <c r="L549" s="363"/>
      <c r="M549" s="363"/>
      <c r="N549" s="363"/>
      <c r="O549" s="363"/>
      <c r="P549" s="363"/>
      <c r="Q549" s="363"/>
      <c r="R549" s="363"/>
      <c r="S549" s="363"/>
      <c r="T549" s="363"/>
      <c r="U549" s="363"/>
      <c r="V549" s="363"/>
      <c r="W549" s="363"/>
      <c r="X549" s="363"/>
      <c r="Y549" s="363"/>
      <c r="Z549" s="363"/>
    </row>
    <row r="550" spans="1:26" ht="9.75" customHeight="1">
      <c r="A550" s="90"/>
      <c r="B550" s="90"/>
      <c r="C550" s="90"/>
      <c r="D550" s="90"/>
      <c r="E550" s="90"/>
      <c r="F550" s="90"/>
      <c r="G550" s="90"/>
      <c r="H550" s="363"/>
      <c r="I550" s="363"/>
      <c r="J550" s="363"/>
      <c r="K550" s="363"/>
      <c r="L550" s="363"/>
      <c r="M550" s="363"/>
      <c r="N550" s="363"/>
      <c r="O550" s="363"/>
      <c r="P550" s="363"/>
      <c r="Q550" s="363"/>
      <c r="R550" s="363"/>
      <c r="S550" s="363"/>
      <c r="T550" s="363"/>
      <c r="U550" s="363"/>
      <c r="V550" s="363"/>
      <c r="W550" s="363"/>
      <c r="X550" s="363"/>
      <c r="Y550" s="363"/>
      <c r="Z550" s="363"/>
    </row>
    <row r="551" spans="1:26" ht="9.75" customHeight="1">
      <c r="A551" s="90"/>
      <c r="B551" s="90"/>
      <c r="C551" s="90"/>
      <c r="D551" s="90"/>
      <c r="E551" s="90"/>
      <c r="F551" s="90"/>
      <c r="G551" s="90"/>
      <c r="H551" s="363"/>
      <c r="I551" s="363"/>
      <c r="J551" s="363"/>
      <c r="K551" s="363"/>
      <c r="L551" s="363"/>
      <c r="M551" s="363"/>
      <c r="N551" s="363"/>
      <c r="O551" s="363"/>
      <c r="P551" s="363"/>
      <c r="Q551" s="363"/>
      <c r="R551" s="363"/>
      <c r="S551" s="363"/>
      <c r="T551" s="363"/>
      <c r="U551" s="363"/>
      <c r="V551" s="363"/>
      <c r="W551" s="363"/>
      <c r="X551" s="363"/>
      <c r="Y551" s="363"/>
      <c r="Z551" s="363"/>
    </row>
    <row r="552" spans="1:26" ht="9.75" customHeight="1">
      <c r="A552" s="90"/>
      <c r="B552" s="90"/>
      <c r="C552" s="90"/>
      <c r="D552" s="90"/>
      <c r="E552" s="90"/>
      <c r="F552" s="90"/>
      <c r="G552" s="90"/>
      <c r="H552" s="363"/>
      <c r="I552" s="363"/>
      <c r="J552" s="363"/>
      <c r="K552" s="363"/>
      <c r="L552" s="363"/>
      <c r="M552" s="363"/>
      <c r="N552" s="363"/>
      <c r="O552" s="363"/>
      <c r="P552" s="363"/>
      <c r="Q552" s="363"/>
      <c r="R552" s="363"/>
      <c r="S552" s="363"/>
      <c r="T552" s="363"/>
      <c r="U552" s="363"/>
      <c r="V552" s="363"/>
      <c r="W552" s="363"/>
      <c r="X552" s="363"/>
      <c r="Y552" s="363"/>
      <c r="Z552" s="363"/>
    </row>
    <row r="553" spans="1:26" ht="9.75" customHeight="1">
      <c r="A553" s="90"/>
      <c r="B553" s="90"/>
      <c r="C553" s="90"/>
      <c r="D553" s="90"/>
      <c r="E553" s="90"/>
      <c r="F553" s="90"/>
      <c r="G553" s="90"/>
      <c r="H553" s="363"/>
      <c r="I553" s="363"/>
      <c r="J553" s="363"/>
      <c r="K553" s="363"/>
      <c r="L553" s="363"/>
      <c r="M553" s="363"/>
      <c r="N553" s="363"/>
      <c r="O553" s="363"/>
      <c r="P553" s="363"/>
      <c r="Q553" s="363"/>
      <c r="R553" s="363"/>
      <c r="S553" s="363"/>
      <c r="T553" s="363"/>
      <c r="U553" s="363"/>
      <c r="V553" s="363"/>
      <c r="W553" s="363"/>
      <c r="X553" s="363"/>
      <c r="Y553" s="363"/>
      <c r="Z553" s="363"/>
    </row>
    <row r="554" spans="1:26" ht="9.75" customHeight="1">
      <c r="A554" s="90"/>
      <c r="B554" s="90"/>
      <c r="C554" s="90"/>
      <c r="D554" s="90"/>
      <c r="E554" s="90"/>
      <c r="F554" s="90"/>
      <c r="G554" s="90"/>
      <c r="H554" s="363"/>
      <c r="I554" s="363"/>
      <c r="J554" s="363"/>
      <c r="K554" s="363"/>
      <c r="L554" s="363"/>
      <c r="M554" s="363"/>
      <c r="N554" s="363"/>
      <c r="O554" s="363"/>
      <c r="P554" s="363"/>
      <c r="Q554" s="363"/>
      <c r="R554" s="363"/>
      <c r="S554" s="363"/>
      <c r="T554" s="363"/>
      <c r="U554" s="363"/>
      <c r="V554" s="363"/>
      <c r="W554" s="363"/>
      <c r="X554" s="363"/>
      <c r="Y554" s="363"/>
      <c r="Z554" s="363"/>
    </row>
    <row r="555" spans="1:26" ht="9.75" customHeight="1">
      <c r="A555" s="90"/>
      <c r="B555" s="90"/>
      <c r="C555" s="90"/>
      <c r="D555" s="90"/>
      <c r="E555" s="90"/>
      <c r="F555" s="90"/>
      <c r="G555" s="90"/>
      <c r="H555" s="363"/>
      <c r="I555" s="363"/>
      <c r="J555" s="363"/>
      <c r="K555" s="363"/>
      <c r="L555" s="363"/>
      <c r="M555" s="363"/>
      <c r="N555" s="363"/>
      <c r="O555" s="363"/>
      <c r="P555" s="363"/>
      <c r="Q555" s="363"/>
      <c r="R555" s="363"/>
      <c r="S555" s="363"/>
      <c r="T555" s="363"/>
      <c r="U555" s="363"/>
      <c r="V555" s="363"/>
      <c r="W555" s="363"/>
      <c r="X555" s="363"/>
      <c r="Y555" s="363"/>
      <c r="Z555" s="363"/>
    </row>
    <row r="556" spans="1:26" ht="9.75" customHeight="1">
      <c r="A556" s="90"/>
      <c r="B556" s="90"/>
      <c r="C556" s="90"/>
      <c r="D556" s="90"/>
      <c r="E556" s="90"/>
      <c r="F556" s="90"/>
      <c r="G556" s="90"/>
      <c r="H556" s="363"/>
      <c r="I556" s="363"/>
      <c r="J556" s="363"/>
      <c r="K556" s="363"/>
      <c r="L556" s="363"/>
      <c r="M556" s="363"/>
      <c r="N556" s="363"/>
      <c r="O556" s="363"/>
      <c r="P556" s="363"/>
      <c r="Q556" s="363"/>
      <c r="R556" s="363"/>
      <c r="S556" s="363"/>
      <c r="T556" s="363"/>
      <c r="U556" s="363"/>
      <c r="V556" s="363"/>
      <c r="W556" s="363"/>
      <c r="X556" s="363"/>
      <c r="Y556" s="363"/>
      <c r="Z556" s="363"/>
    </row>
    <row r="557" spans="1:26" ht="9.75" customHeight="1">
      <c r="A557" s="90"/>
      <c r="B557" s="90"/>
      <c r="C557" s="90"/>
      <c r="D557" s="90"/>
      <c r="E557" s="90"/>
      <c r="F557" s="90"/>
      <c r="G557" s="90"/>
      <c r="H557" s="363"/>
      <c r="I557" s="363"/>
      <c r="J557" s="363"/>
      <c r="K557" s="363"/>
      <c r="L557" s="363"/>
      <c r="M557" s="363"/>
      <c r="N557" s="363"/>
      <c r="O557" s="363"/>
      <c r="P557" s="363"/>
      <c r="Q557" s="363"/>
      <c r="R557" s="363"/>
      <c r="S557" s="363"/>
      <c r="T557" s="363"/>
      <c r="U557" s="363"/>
      <c r="V557" s="363"/>
      <c r="W557" s="363"/>
      <c r="X557" s="363"/>
      <c r="Y557" s="363"/>
      <c r="Z557" s="363"/>
    </row>
    <row r="558" spans="1:26" ht="9.75" customHeight="1">
      <c r="A558" s="90"/>
      <c r="B558" s="90"/>
      <c r="C558" s="90"/>
      <c r="D558" s="90"/>
      <c r="E558" s="90"/>
      <c r="F558" s="90"/>
      <c r="G558" s="90"/>
      <c r="H558" s="363"/>
      <c r="I558" s="363"/>
      <c r="J558" s="363"/>
      <c r="K558" s="363"/>
      <c r="L558" s="363"/>
      <c r="M558" s="363"/>
      <c r="N558" s="363"/>
      <c r="O558" s="363"/>
      <c r="P558" s="363"/>
      <c r="Q558" s="363"/>
      <c r="R558" s="363"/>
      <c r="S558" s="363"/>
      <c r="T558" s="363"/>
      <c r="U558" s="363"/>
      <c r="V558" s="363"/>
      <c r="W558" s="363"/>
      <c r="X558" s="363"/>
      <c r="Y558" s="363"/>
      <c r="Z558" s="363"/>
    </row>
    <row r="559" spans="1:26" ht="9.75" customHeight="1">
      <c r="A559" s="90"/>
      <c r="B559" s="90"/>
      <c r="C559" s="90"/>
      <c r="D559" s="90"/>
      <c r="E559" s="90"/>
      <c r="F559" s="90"/>
      <c r="G559" s="90"/>
      <c r="H559" s="363"/>
      <c r="I559" s="363"/>
      <c r="J559" s="363"/>
      <c r="K559" s="363"/>
      <c r="L559" s="363"/>
      <c r="M559" s="363"/>
      <c r="N559" s="363"/>
      <c r="O559" s="363"/>
      <c r="P559" s="363"/>
      <c r="Q559" s="363"/>
      <c r="R559" s="363"/>
      <c r="S559" s="363"/>
      <c r="T559" s="363"/>
      <c r="U559" s="363"/>
      <c r="V559" s="363"/>
      <c r="W559" s="363"/>
      <c r="X559" s="363"/>
      <c r="Y559" s="363"/>
      <c r="Z559" s="363"/>
    </row>
    <row r="560" spans="1:26" ht="9.75" customHeight="1">
      <c r="A560" s="90"/>
      <c r="B560" s="90"/>
      <c r="C560" s="90"/>
      <c r="D560" s="90"/>
      <c r="E560" s="90"/>
      <c r="F560" s="90"/>
      <c r="G560" s="90"/>
      <c r="H560" s="363"/>
      <c r="I560" s="363"/>
      <c r="J560" s="363"/>
      <c r="K560" s="363"/>
      <c r="L560" s="363"/>
      <c r="M560" s="363"/>
      <c r="N560" s="363"/>
      <c r="O560" s="363"/>
      <c r="P560" s="363"/>
      <c r="Q560" s="363"/>
      <c r="R560" s="363"/>
      <c r="S560" s="363"/>
      <c r="T560" s="363"/>
      <c r="U560" s="363"/>
      <c r="V560" s="363"/>
      <c r="W560" s="363"/>
      <c r="X560" s="363"/>
      <c r="Y560" s="363"/>
      <c r="Z560" s="363"/>
    </row>
    <row r="561" spans="1:26" ht="9.75" customHeight="1">
      <c r="A561" s="90"/>
      <c r="B561" s="90"/>
      <c r="C561" s="90"/>
      <c r="D561" s="90"/>
      <c r="E561" s="90"/>
      <c r="F561" s="90"/>
      <c r="G561" s="90"/>
      <c r="H561" s="363"/>
      <c r="I561" s="363"/>
      <c r="J561" s="363"/>
      <c r="K561" s="363"/>
      <c r="L561" s="363"/>
      <c r="M561" s="363"/>
      <c r="N561" s="363"/>
      <c r="O561" s="363"/>
      <c r="P561" s="363"/>
      <c r="Q561" s="363"/>
      <c r="R561" s="363"/>
      <c r="S561" s="363"/>
      <c r="T561" s="363"/>
      <c r="U561" s="363"/>
      <c r="V561" s="363"/>
      <c r="W561" s="363"/>
      <c r="X561" s="363"/>
      <c r="Y561" s="363"/>
      <c r="Z561" s="363"/>
    </row>
    <row r="562" spans="1:26" ht="9.75" customHeight="1">
      <c r="A562" s="90"/>
      <c r="B562" s="90"/>
      <c r="C562" s="90"/>
      <c r="D562" s="90"/>
      <c r="E562" s="90"/>
      <c r="F562" s="90"/>
      <c r="G562" s="90"/>
      <c r="H562" s="363"/>
      <c r="I562" s="363"/>
      <c r="J562" s="363"/>
      <c r="K562" s="363"/>
      <c r="L562" s="363"/>
      <c r="M562" s="363"/>
      <c r="N562" s="363"/>
      <c r="O562" s="363"/>
      <c r="P562" s="363"/>
      <c r="Q562" s="363"/>
      <c r="R562" s="363"/>
      <c r="S562" s="363"/>
      <c r="T562" s="363"/>
      <c r="U562" s="363"/>
      <c r="V562" s="363"/>
      <c r="W562" s="363"/>
      <c r="X562" s="363"/>
      <c r="Y562" s="363"/>
      <c r="Z562" s="363"/>
    </row>
    <row r="563" spans="1:26" ht="9.75" customHeight="1">
      <c r="A563" s="90"/>
      <c r="B563" s="90"/>
      <c r="C563" s="90"/>
      <c r="D563" s="90"/>
      <c r="E563" s="90"/>
      <c r="F563" s="90"/>
      <c r="G563" s="90"/>
      <c r="H563" s="363"/>
      <c r="I563" s="363"/>
      <c r="J563" s="363"/>
      <c r="K563" s="363"/>
      <c r="L563" s="363"/>
      <c r="M563" s="363"/>
      <c r="N563" s="363"/>
      <c r="O563" s="363"/>
      <c r="P563" s="363"/>
      <c r="Q563" s="363"/>
      <c r="R563" s="363"/>
      <c r="S563" s="363"/>
      <c r="T563" s="363"/>
      <c r="U563" s="363"/>
      <c r="V563" s="363"/>
      <c r="W563" s="363"/>
      <c r="X563" s="363"/>
      <c r="Y563" s="363"/>
      <c r="Z563" s="363"/>
    </row>
    <row r="564" spans="1:26" ht="9.75" customHeight="1">
      <c r="A564" s="90"/>
      <c r="B564" s="90"/>
      <c r="C564" s="90"/>
      <c r="D564" s="90"/>
      <c r="E564" s="90"/>
      <c r="F564" s="90"/>
      <c r="G564" s="90"/>
      <c r="H564" s="363"/>
      <c r="I564" s="363"/>
      <c r="J564" s="363"/>
      <c r="K564" s="363"/>
      <c r="L564" s="363"/>
      <c r="M564" s="363"/>
      <c r="N564" s="363"/>
      <c r="O564" s="363"/>
      <c r="P564" s="363"/>
      <c r="Q564" s="363"/>
      <c r="R564" s="363"/>
      <c r="S564" s="363"/>
      <c r="T564" s="363"/>
      <c r="U564" s="363"/>
      <c r="V564" s="363"/>
      <c r="W564" s="363"/>
      <c r="X564" s="363"/>
      <c r="Y564" s="363"/>
      <c r="Z564" s="363"/>
    </row>
    <row r="565" spans="1:26" ht="9.75" customHeight="1">
      <c r="A565" s="90"/>
      <c r="B565" s="90"/>
      <c r="C565" s="90"/>
      <c r="D565" s="90"/>
      <c r="E565" s="90"/>
      <c r="F565" s="90"/>
      <c r="G565" s="90"/>
      <c r="H565" s="363"/>
      <c r="I565" s="363"/>
      <c r="J565" s="363"/>
      <c r="K565" s="363"/>
      <c r="L565" s="363"/>
      <c r="M565" s="363"/>
      <c r="N565" s="363"/>
      <c r="O565" s="363"/>
      <c r="P565" s="363"/>
      <c r="Q565" s="363"/>
      <c r="R565" s="363"/>
      <c r="S565" s="363"/>
      <c r="T565" s="363"/>
      <c r="U565" s="363"/>
      <c r="V565" s="363"/>
      <c r="W565" s="363"/>
      <c r="X565" s="363"/>
      <c r="Y565" s="363"/>
      <c r="Z565" s="363"/>
    </row>
    <row r="566" spans="1:26" ht="9.75" customHeight="1">
      <c r="A566" s="90"/>
      <c r="B566" s="90"/>
      <c r="C566" s="90"/>
      <c r="D566" s="90"/>
      <c r="E566" s="90"/>
      <c r="F566" s="90"/>
      <c r="G566" s="90"/>
      <c r="H566" s="363"/>
      <c r="I566" s="363"/>
      <c r="J566" s="363"/>
      <c r="K566" s="363"/>
      <c r="L566" s="363"/>
      <c r="M566" s="363"/>
      <c r="N566" s="363"/>
      <c r="O566" s="363"/>
      <c r="P566" s="363"/>
      <c r="Q566" s="363"/>
      <c r="R566" s="363"/>
      <c r="S566" s="363"/>
      <c r="T566" s="363"/>
      <c r="U566" s="363"/>
      <c r="V566" s="363"/>
      <c r="W566" s="363"/>
      <c r="X566" s="363"/>
      <c r="Y566" s="363"/>
      <c r="Z566" s="363"/>
    </row>
    <row r="567" spans="1:26" ht="9.75" customHeight="1">
      <c r="A567" s="90"/>
      <c r="B567" s="90"/>
      <c r="C567" s="90"/>
      <c r="D567" s="90"/>
      <c r="E567" s="90"/>
      <c r="F567" s="90"/>
      <c r="G567" s="90"/>
      <c r="H567" s="363"/>
      <c r="I567" s="363"/>
      <c r="J567" s="363"/>
      <c r="K567" s="363"/>
      <c r="L567" s="363"/>
      <c r="M567" s="363"/>
      <c r="N567" s="363"/>
      <c r="O567" s="363"/>
      <c r="P567" s="363"/>
      <c r="Q567" s="363"/>
      <c r="R567" s="363"/>
      <c r="S567" s="363"/>
      <c r="T567" s="363"/>
      <c r="U567" s="363"/>
      <c r="V567" s="363"/>
      <c r="W567" s="363"/>
      <c r="X567" s="363"/>
      <c r="Y567" s="363"/>
      <c r="Z567" s="363"/>
    </row>
    <row r="568" spans="1:26" ht="9.75" customHeight="1">
      <c r="A568" s="90"/>
      <c r="B568" s="90"/>
      <c r="C568" s="90"/>
      <c r="D568" s="90"/>
      <c r="E568" s="90"/>
      <c r="F568" s="90"/>
      <c r="G568" s="90"/>
      <c r="H568" s="363"/>
      <c r="I568" s="363"/>
      <c r="J568" s="363"/>
      <c r="K568" s="363"/>
      <c r="L568" s="363"/>
      <c r="M568" s="363"/>
      <c r="N568" s="363"/>
      <c r="O568" s="363"/>
      <c r="P568" s="363"/>
      <c r="Q568" s="363"/>
      <c r="R568" s="363"/>
      <c r="S568" s="363"/>
      <c r="T568" s="363"/>
      <c r="U568" s="363"/>
      <c r="V568" s="363"/>
      <c r="W568" s="363"/>
      <c r="X568" s="363"/>
      <c r="Y568" s="363"/>
      <c r="Z568" s="363"/>
    </row>
    <row r="569" spans="1:26" ht="9.75" customHeight="1">
      <c r="A569" s="90"/>
      <c r="B569" s="90"/>
      <c r="C569" s="90"/>
      <c r="D569" s="90"/>
      <c r="E569" s="90"/>
      <c r="F569" s="90"/>
      <c r="G569" s="90"/>
      <c r="H569" s="363"/>
      <c r="I569" s="363"/>
      <c r="J569" s="363"/>
      <c r="K569" s="363"/>
      <c r="L569" s="363"/>
      <c r="M569" s="363"/>
      <c r="N569" s="363"/>
      <c r="O569" s="363"/>
      <c r="P569" s="363"/>
      <c r="Q569" s="363"/>
      <c r="R569" s="363"/>
      <c r="S569" s="363"/>
      <c r="T569" s="363"/>
      <c r="U569" s="363"/>
      <c r="V569" s="363"/>
      <c r="W569" s="363"/>
      <c r="X569" s="363"/>
      <c r="Y569" s="363"/>
      <c r="Z569" s="363"/>
    </row>
    <row r="570" spans="1:26" ht="9.75" customHeight="1">
      <c r="A570" s="90"/>
      <c r="B570" s="90"/>
      <c r="C570" s="90"/>
      <c r="D570" s="90"/>
      <c r="E570" s="90"/>
      <c r="F570" s="90"/>
      <c r="G570" s="90"/>
      <c r="H570" s="363"/>
      <c r="I570" s="363"/>
      <c r="J570" s="363"/>
      <c r="K570" s="363"/>
      <c r="L570" s="363"/>
      <c r="M570" s="363"/>
      <c r="N570" s="363"/>
      <c r="O570" s="363"/>
      <c r="P570" s="363"/>
      <c r="Q570" s="363"/>
      <c r="R570" s="363"/>
      <c r="S570" s="363"/>
      <c r="T570" s="363"/>
      <c r="U570" s="363"/>
      <c r="V570" s="363"/>
      <c r="W570" s="363"/>
      <c r="X570" s="363"/>
      <c r="Y570" s="363"/>
      <c r="Z570" s="363"/>
    </row>
    <row r="571" spans="1:26" ht="9.75" customHeight="1">
      <c r="A571" s="90"/>
      <c r="B571" s="90"/>
      <c r="C571" s="90"/>
      <c r="D571" s="90"/>
      <c r="E571" s="90"/>
      <c r="F571" s="90"/>
      <c r="G571" s="90"/>
      <c r="H571" s="363"/>
      <c r="I571" s="363"/>
      <c r="J571" s="363"/>
      <c r="K571" s="363"/>
      <c r="L571" s="363"/>
      <c r="M571" s="363"/>
      <c r="N571" s="363"/>
      <c r="O571" s="363"/>
      <c r="P571" s="363"/>
      <c r="Q571" s="363"/>
      <c r="R571" s="363"/>
      <c r="S571" s="363"/>
      <c r="T571" s="363"/>
      <c r="U571" s="363"/>
      <c r="V571" s="363"/>
      <c r="W571" s="363"/>
      <c r="X571" s="363"/>
      <c r="Y571" s="363"/>
      <c r="Z571" s="363"/>
    </row>
    <row r="572" spans="1:26" ht="9.75" customHeight="1">
      <c r="A572" s="90"/>
      <c r="B572" s="90"/>
      <c r="C572" s="90"/>
      <c r="D572" s="90"/>
      <c r="E572" s="90"/>
      <c r="F572" s="90"/>
      <c r="G572" s="90"/>
      <c r="H572" s="363"/>
      <c r="I572" s="363"/>
      <c r="J572" s="363"/>
      <c r="K572" s="363"/>
      <c r="L572" s="363"/>
      <c r="M572" s="363"/>
      <c r="N572" s="363"/>
      <c r="O572" s="363"/>
      <c r="P572" s="363"/>
      <c r="Q572" s="363"/>
      <c r="R572" s="363"/>
      <c r="S572" s="363"/>
      <c r="T572" s="363"/>
      <c r="U572" s="363"/>
      <c r="V572" s="363"/>
      <c r="W572" s="363"/>
      <c r="X572" s="363"/>
      <c r="Y572" s="363"/>
      <c r="Z572" s="363"/>
    </row>
    <row r="573" spans="1:26" ht="9.75" customHeight="1">
      <c r="A573" s="90"/>
      <c r="B573" s="90"/>
      <c r="C573" s="90"/>
      <c r="D573" s="90"/>
      <c r="E573" s="90"/>
      <c r="F573" s="90"/>
      <c r="G573" s="90"/>
      <c r="H573" s="363"/>
      <c r="I573" s="363"/>
      <c r="J573" s="363"/>
      <c r="K573" s="363"/>
      <c r="L573" s="363"/>
      <c r="M573" s="363"/>
      <c r="N573" s="363"/>
      <c r="O573" s="363"/>
      <c r="P573" s="363"/>
      <c r="Q573" s="363"/>
      <c r="R573" s="363"/>
      <c r="S573" s="363"/>
      <c r="T573" s="363"/>
      <c r="U573" s="363"/>
      <c r="V573" s="363"/>
      <c r="W573" s="363"/>
      <c r="X573" s="363"/>
      <c r="Y573" s="363"/>
      <c r="Z573" s="363"/>
    </row>
    <row r="574" spans="1:26" ht="9.75" customHeight="1">
      <c r="A574" s="90"/>
      <c r="B574" s="90"/>
      <c r="C574" s="90"/>
      <c r="D574" s="90"/>
      <c r="E574" s="90"/>
      <c r="F574" s="90"/>
      <c r="G574" s="90"/>
      <c r="H574" s="363"/>
      <c r="I574" s="363"/>
      <c r="J574" s="363"/>
      <c r="K574" s="363"/>
      <c r="L574" s="363"/>
      <c r="M574" s="363"/>
      <c r="N574" s="363"/>
      <c r="O574" s="363"/>
      <c r="P574" s="363"/>
      <c r="Q574" s="363"/>
      <c r="R574" s="363"/>
      <c r="S574" s="363"/>
      <c r="T574" s="363"/>
      <c r="U574" s="363"/>
      <c r="V574" s="363"/>
      <c r="W574" s="363"/>
      <c r="X574" s="363"/>
      <c r="Y574" s="363"/>
      <c r="Z574" s="363"/>
    </row>
    <row r="575" spans="1:26" ht="9.75" customHeight="1">
      <c r="A575" s="90"/>
      <c r="B575" s="90"/>
      <c r="C575" s="90"/>
      <c r="D575" s="90"/>
      <c r="E575" s="90"/>
      <c r="F575" s="90"/>
      <c r="G575" s="90"/>
      <c r="H575" s="363"/>
      <c r="I575" s="363"/>
      <c r="J575" s="363"/>
      <c r="K575" s="363"/>
      <c r="L575" s="363"/>
      <c r="M575" s="363"/>
      <c r="N575" s="363"/>
      <c r="O575" s="363"/>
      <c r="P575" s="363"/>
      <c r="Q575" s="363"/>
      <c r="R575" s="363"/>
      <c r="S575" s="363"/>
      <c r="T575" s="363"/>
      <c r="U575" s="363"/>
      <c r="V575" s="363"/>
      <c r="W575" s="363"/>
      <c r="X575" s="363"/>
      <c r="Y575" s="363"/>
      <c r="Z575" s="363"/>
    </row>
    <row r="576" spans="1:26" ht="9.75" customHeight="1">
      <c r="A576" s="90"/>
      <c r="B576" s="90"/>
      <c r="C576" s="90"/>
      <c r="D576" s="90"/>
      <c r="E576" s="90"/>
      <c r="F576" s="90"/>
      <c r="G576" s="90"/>
      <c r="H576" s="363"/>
      <c r="I576" s="363"/>
      <c r="J576" s="363"/>
      <c r="K576" s="363"/>
      <c r="L576" s="363"/>
      <c r="M576" s="363"/>
      <c r="N576" s="363"/>
      <c r="O576" s="363"/>
      <c r="P576" s="363"/>
      <c r="Q576" s="363"/>
      <c r="R576" s="363"/>
      <c r="S576" s="363"/>
      <c r="T576" s="363"/>
      <c r="U576" s="363"/>
      <c r="V576" s="363"/>
      <c r="W576" s="363"/>
      <c r="X576" s="363"/>
      <c r="Y576" s="363"/>
      <c r="Z576" s="363"/>
    </row>
    <row r="577" spans="1:26" ht="9.75" customHeight="1">
      <c r="A577" s="90"/>
      <c r="B577" s="90"/>
      <c r="C577" s="90"/>
      <c r="D577" s="90"/>
      <c r="E577" s="90"/>
      <c r="F577" s="90"/>
      <c r="G577" s="90"/>
      <c r="H577" s="363"/>
      <c r="I577" s="363"/>
      <c r="J577" s="363"/>
      <c r="K577" s="363"/>
      <c r="L577" s="363"/>
      <c r="M577" s="363"/>
      <c r="N577" s="363"/>
      <c r="O577" s="363"/>
      <c r="P577" s="363"/>
      <c r="Q577" s="363"/>
      <c r="R577" s="363"/>
      <c r="S577" s="363"/>
      <c r="T577" s="363"/>
      <c r="U577" s="363"/>
      <c r="V577" s="363"/>
      <c r="W577" s="363"/>
      <c r="X577" s="363"/>
      <c r="Y577" s="363"/>
      <c r="Z577" s="363"/>
    </row>
    <row r="578" spans="1:26" ht="9.75" customHeight="1">
      <c r="A578" s="90"/>
      <c r="B578" s="90"/>
      <c r="C578" s="90"/>
      <c r="D578" s="90"/>
      <c r="E578" s="90"/>
      <c r="F578" s="90"/>
      <c r="G578" s="90"/>
      <c r="H578" s="363"/>
      <c r="I578" s="363"/>
      <c r="J578" s="363"/>
      <c r="K578" s="363"/>
      <c r="L578" s="363"/>
      <c r="M578" s="363"/>
      <c r="N578" s="363"/>
      <c r="O578" s="363"/>
      <c r="P578" s="363"/>
      <c r="Q578" s="363"/>
      <c r="R578" s="363"/>
      <c r="S578" s="363"/>
      <c r="T578" s="363"/>
      <c r="U578" s="363"/>
      <c r="V578" s="363"/>
      <c r="W578" s="363"/>
      <c r="X578" s="363"/>
      <c r="Y578" s="363"/>
      <c r="Z578" s="363"/>
    </row>
    <row r="579" spans="1:26" ht="9.75" customHeight="1">
      <c r="A579" s="90"/>
      <c r="B579" s="90"/>
      <c r="C579" s="90"/>
      <c r="D579" s="90"/>
      <c r="E579" s="90"/>
      <c r="F579" s="90"/>
      <c r="G579" s="90"/>
      <c r="H579" s="363"/>
      <c r="I579" s="363"/>
      <c r="J579" s="363"/>
      <c r="K579" s="363"/>
      <c r="L579" s="363"/>
      <c r="M579" s="363"/>
      <c r="N579" s="363"/>
      <c r="O579" s="363"/>
      <c r="P579" s="363"/>
      <c r="Q579" s="363"/>
      <c r="R579" s="363"/>
      <c r="S579" s="363"/>
      <c r="T579" s="363"/>
      <c r="U579" s="363"/>
      <c r="V579" s="363"/>
      <c r="W579" s="363"/>
      <c r="X579" s="363"/>
      <c r="Y579" s="363"/>
      <c r="Z579" s="363"/>
    </row>
    <row r="580" spans="1:26" ht="9.75" customHeight="1">
      <c r="A580" s="90"/>
      <c r="B580" s="90"/>
      <c r="C580" s="90"/>
      <c r="D580" s="90"/>
      <c r="E580" s="90"/>
      <c r="F580" s="90"/>
      <c r="G580" s="90"/>
      <c r="H580" s="363"/>
      <c r="I580" s="363"/>
      <c r="J580" s="363"/>
      <c r="K580" s="363"/>
      <c r="L580" s="363"/>
      <c r="M580" s="363"/>
      <c r="N580" s="363"/>
      <c r="O580" s="363"/>
      <c r="P580" s="363"/>
      <c r="Q580" s="363"/>
      <c r="R580" s="363"/>
      <c r="S580" s="363"/>
      <c r="T580" s="363"/>
      <c r="U580" s="363"/>
      <c r="V580" s="363"/>
      <c r="W580" s="363"/>
      <c r="X580" s="363"/>
      <c r="Y580" s="363"/>
      <c r="Z580" s="363"/>
    </row>
    <row r="581" spans="1:26" ht="9.75" customHeight="1">
      <c r="A581" s="90"/>
      <c r="B581" s="90"/>
      <c r="C581" s="90"/>
      <c r="D581" s="90"/>
      <c r="E581" s="90"/>
      <c r="F581" s="90"/>
      <c r="G581" s="90"/>
      <c r="H581" s="363"/>
      <c r="I581" s="363"/>
      <c r="J581" s="363"/>
      <c r="K581" s="363"/>
      <c r="L581" s="363"/>
      <c r="M581" s="363"/>
      <c r="N581" s="363"/>
      <c r="O581" s="363"/>
      <c r="P581" s="363"/>
      <c r="Q581" s="363"/>
      <c r="R581" s="363"/>
      <c r="S581" s="363"/>
      <c r="T581" s="363"/>
      <c r="U581" s="363"/>
      <c r="V581" s="363"/>
      <c r="W581" s="363"/>
      <c r="X581" s="363"/>
      <c r="Y581" s="363"/>
      <c r="Z581" s="363"/>
    </row>
    <row r="582" spans="1:26" ht="9.75" customHeight="1">
      <c r="A582" s="90"/>
      <c r="B582" s="90"/>
      <c r="C582" s="90"/>
      <c r="D582" s="90"/>
      <c r="E582" s="90"/>
      <c r="F582" s="90"/>
      <c r="G582" s="90"/>
      <c r="H582" s="363"/>
      <c r="I582" s="363"/>
      <c r="J582" s="363"/>
      <c r="K582" s="363"/>
      <c r="L582" s="363"/>
      <c r="M582" s="363"/>
      <c r="N582" s="363"/>
      <c r="O582" s="363"/>
      <c r="P582" s="363"/>
      <c r="Q582" s="363"/>
      <c r="R582" s="363"/>
      <c r="S582" s="363"/>
      <c r="T582" s="363"/>
      <c r="U582" s="363"/>
      <c r="V582" s="363"/>
      <c r="W582" s="363"/>
      <c r="X582" s="363"/>
      <c r="Y582" s="363"/>
      <c r="Z582" s="363"/>
    </row>
    <row r="583" spans="1:26" ht="9.75" customHeight="1">
      <c r="A583" s="90"/>
      <c r="B583" s="90"/>
      <c r="C583" s="90"/>
      <c r="D583" s="90"/>
      <c r="E583" s="90"/>
      <c r="F583" s="90"/>
      <c r="G583" s="90"/>
      <c r="H583" s="363"/>
      <c r="I583" s="363"/>
      <c r="J583" s="363"/>
      <c r="K583" s="363"/>
      <c r="L583" s="363"/>
      <c r="M583" s="363"/>
      <c r="N583" s="363"/>
      <c r="O583" s="363"/>
      <c r="P583" s="363"/>
      <c r="Q583" s="363"/>
      <c r="R583" s="363"/>
      <c r="S583" s="363"/>
      <c r="T583" s="363"/>
      <c r="U583" s="363"/>
      <c r="V583" s="363"/>
      <c r="W583" s="363"/>
      <c r="X583" s="363"/>
      <c r="Y583" s="363"/>
      <c r="Z583" s="363"/>
    </row>
    <row r="584" spans="1:26" ht="9.75" customHeight="1">
      <c r="A584" s="90"/>
      <c r="B584" s="90"/>
      <c r="C584" s="90"/>
      <c r="D584" s="90"/>
      <c r="E584" s="90"/>
      <c r="F584" s="90"/>
      <c r="G584" s="90"/>
      <c r="H584" s="363"/>
      <c r="I584" s="363"/>
      <c r="J584" s="363"/>
      <c r="K584" s="363"/>
      <c r="L584" s="363"/>
      <c r="M584" s="363"/>
      <c r="N584" s="363"/>
      <c r="O584" s="363"/>
      <c r="P584" s="363"/>
      <c r="Q584" s="363"/>
      <c r="R584" s="363"/>
      <c r="S584" s="363"/>
      <c r="T584" s="363"/>
      <c r="U584" s="363"/>
      <c r="V584" s="363"/>
      <c r="W584" s="363"/>
      <c r="X584" s="363"/>
      <c r="Y584" s="363"/>
      <c r="Z584" s="363"/>
    </row>
    <row r="585" spans="1:26" ht="9.75" customHeight="1">
      <c r="A585" s="90"/>
      <c r="B585" s="90"/>
      <c r="C585" s="90"/>
      <c r="D585" s="90"/>
      <c r="E585" s="90"/>
      <c r="F585" s="90"/>
      <c r="G585" s="90"/>
      <c r="H585" s="363"/>
      <c r="I585" s="363"/>
      <c r="J585" s="363"/>
      <c r="K585" s="363"/>
      <c r="L585" s="363"/>
      <c r="M585" s="363"/>
      <c r="N585" s="363"/>
      <c r="O585" s="363"/>
      <c r="P585" s="363"/>
      <c r="Q585" s="363"/>
      <c r="R585" s="363"/>
      <c r="S585" s="363"/>
      <c r="T585" s="363"/>
      <c r="U585" s="363"/>
      <c r="V585" s="363"/>
      <c r="W585" s="363"/>
      <c r="X585" s="363"/>
      <c r="Y585" s="363"/>
      <c r="Z585" s="363"/>
    </row>
    <row r="586" spans="1:26" ht="9.75" customHeight="1">
      <c r="A586" s="90"/>
      <c r="B586" s="90"/>
      <c r="C586" s="90"/>
      <c r="D586" s="90"/>
      <c r="E586" s="90"/>
      <c r="F586" s="90"/>
      <c r="G586" s="90"/>
      <c r="H586" s="363"/>
      <c r="I586" s="363"/>
      <c r="J586" s="363"/>
      <c r="K586" s="363"/>
      <c r="L586" s="363"/>
      <c r="M586" s="363"/>
      <c r="N586" s="363"/>
      <c r="O586" s="363"/>
      <c r="P586" s="363"/>
      <c r="Q586" s="363"/>
      <c r="R586" s="363"/>
      <c r="S586" s="363"/>
      <c r="T586" s="363"/>
      <c r="U586" s="363"/>
      <c r="V586" s="363"/>
      <c r="W586" s="363"/>
      <c r="X586" s="363"/>
      <c r="Y586" s="363"/>
      <c r="Z586" s="363"/>
    </row>
    <row r="587" spans="1:26" ht="9.75" customHeight="1">
      <c r="A587" s="90"/>
      <c r="B587" s="90"/>
      <c r="C587" s="90"/>
      <c r="D587" s="90"/>
      <c r="E587" s="90"/>
      <c r="F587" s="90"/>
      <c r="G587" s="90"/>
      <c r="H587" s="363"/>
      <c r="I587" s="363"/>
      <c r="J587" s="363"/>
      <c r="K587" s="363"/>
      <c r="L587" s="363"/>
      <c r="M587" s="363"/>
      <c r="N587" s="363"/>
      <c r="O587" s="363"/>
      <c r="P587" s="363"/>
      <c r="Q587" s="363"/>
      <c r="R587" s="363"/>
      <c r="S587" s="363"/>
      <c r="T587" s="363"/>
      <c r="U587" s="363"/>
      <c r="V587" s="363"/>
      <c r="W587" s="363"/>
      <c r="X587" s="363"/>
      <c r="Y587" s="363"/>
      <c r="Z587" s="363"/>
    </row>
    <row r="588" spans="1:26" ht="9.75" customHeight="1">
      <c r="A588" s="90"/>
      <c r="B588" s="90"/>
      <c r="C588" s="90"/>
      <c r="D588" s="90"/>
      <c r="E588" s="90"/>
      <c r="F588" s="90"/>
      <c r="G588" s="90"/>
      <c r="H588" s="363"/>
      <c r="I588" s="363"/>
      <c r="J588" s="363"/>
      <c r="K588" s="363"/>
      <c r="L588" s="363"/>
      <c r="M588" s="363"/>
      <c r="N588" s="363"/>
      <c r="O588" s="363"/>
      <c r="P588" s="363"/>
      <c r="Q588" s="363"/>
      <c r="R588" s="363"/>
      <c r="S588" s="363"/>
      <c r="T588" s="363"/>
      <c r="U588" s="363"/>
      <c r="V588" s="363"/>
      <c r="W588" s="363"/>
      <c r="X588" s="363"/>
      <c r="Y588" s="363"/>
      <c r="Z588" s="363"/>
    </row>
    <row r="589" spans="1:26" ht="9.75" customHeight="1">
      <c r="A589" s="90"/>
      <c r="B589" s="90"/>
      <c r="C589" s="90"/>
      <c r="D589" s="90"/>
      <c r="E589" s="90"/>
      <c r="F589" s="90"/>
      <c r="G589" s="90"/>
      <c r="H589" s="363"/>
      <c r="I589" s="363"/>
      <c r="J589" s="363"/>
      <c r="K589" s="363"/>
      <c r="L589" s="363"/>
      <c r="M589" s="363"/>
      <c r="N589" s="363"/>
      <c r="O589" s="363"/>
      <c r="P589" s="363"/>
      <c r="Q589" s="363"/>
      <c r="R589" s="363"/>
      <c r="S589" s="363"/>
      <c r="T589" s="363"/>
      <c r="U589" s="363"/>
      <c r="V589" s="363"/>
      <c r="W589" s="363"/>
      <c r="X589" s="363"/>
      <c r="Y589" s="363"/>
      <c r="Z589" s="363"/>
    </row>
    <row r="590" spans="1:26" ht="9.75" customHeight="1">
      <c r="A590" s="90"/>
      <c r="B590" s="90"/>
      <c r="C590" s="90"/>
      <c r="D590" s="90"/>
      <c r="E590" s="90"/>
      <c r="F590" s="90"/>
      <c r="G590" s="90"/>
      <c r="H590" s="363"/>
      <c r="I590" s="363"/>
      <c r="J590" s="363"/>
      <c r="K590" s="363"/>
      <c r="L590" s="363"/>
      <c r="M590" s="363"/>
      <c r="N590" s="363"/>
      <c r="O590" s="363"/>
      <c r="P590" s="363"/>
      <c r="Q590" s="363"/>
      <c r="R590" s="363"/>
      <c r="S590" s="363"/>
      <c r="T590" s="363"/>
      <c r="U590" s="363"/>
      <c r="V590" s="363"/>
      <c r="W590" s="363"/>
      <c r="X590" s="363"/>
      <c r="Y590" s="363"/>
      <c r="Z590" s="363"/>
    </row>
    <row r="591" spans="1:26" ht="9.75" customHeight="1">
      <c r="A591" s="90"/>
      <c r="B591" s="90"/>
      <c r="C591" s="90"/>
      <c r="D591" s="90"/>
      <c r="E591" s="90"/>
      <c r="F591" s="90"/>
      <c r="G591" s="90"/>
      <c r="H591" s="363"/>
      <c r="I591" s="363"/>
      <c r="J591" s="363"/>
      <c r="K591" s="363"/>
      <c r="L591" s="363"/>
      <c r="M591" s="363"/>
      <c r="N591" s="363"/>
      <c r="O591" s="363"/>
      <c r="P591" s="363"/>
      <c r="Q591" s="363"/>
      <c r="R591" s="363"/>
      <c r="S591" s="363"/>
      <c r="T591" s="363"/>
      <c r="U591" s="363"/>
      <c r="V591" s="363"/>
      <c r="W591" s="363"/>
      <c r="X591" s="363"/>
      <c r="Y591" s="363"/>
      <c r="Z591" s="363"/>
    </row>
    <row r="592" spans="1:26" ht="9.75" customHeight="1">
      <c r="A592" s="90"/>
      <c r="B592" s="90"/>
      <c r="C592" s="90"/>
      <c r="D592" s="90"/>
      <c r="E592" s="90"/>
      <c r="F592" s="90"/>
      <c r="G592" s="90"/>
      <c r="H592" s="363"/>
      <c r="I592" s="363"/>
      <c r="J592" s="363"/>
      <c r="K592" s="363"/>
      <c r="L592" s="363"/>
      <c r="M592" s="363"/>
      <c r="N592" s="363"/>
      <c r="O592" s="363"/>
      <c r="P592" s="363"/>
      <c r="Q592" s="363"/>
      <c r="R592" s="363"/>
      <c r="S592" s="363"/>
      <c r="T592" s="363"/>
      <c r="U592" s="363"/>
      <c r="V592" s="363"/>
      <c r="W592" s="363"/>
      <c r="X592" s="363"/>
      <c r="Y592" s="363"/>
      <c r="Z592" s="363"/>
    </row>
    <row r="593" spans="1:26" ht="9.75" customHeight="1">
      <c r="A593" s="90"/>
      <c r="B593" s="90"/>
      <c r="C593" s="90"/>
      <c r="D593" s="90"/>
      <c r="E593" s="90"/>
      <c r="F593" s="90"/>
      <c r="G593" s="90"/>
      <c r="H593" s="363"/>
      <c r="I593" s="363"/>
      <c r="J593" s="363"/>
      <c r="K593" s="363"/>
      <c r="L593" s="363"/>
      <c r="M593" s="363"/>
      <c r="N593" s="363"/>
      <c r="O593" s="363"/>
      <c r="P593" s="363"/>
      <c r="Q593" s="363"/>
      <c r="R593" s="363"/>
      <c r="S593" s="363"/>
      <c r="T593" s="363"/>
      <c r="U593" s="363"/>
      <c r="V593" s="363"/>
      <c r="W593" s="363"/>
      <c r="X593" s="363"/>
      <c r="Y593" s="363"/>
      <c r="Z593" s="363"/>
    </row>
    <row r="594" spans="1:26" ht="9.75" customHeight="1">
      <c r="A594" s="90"/>
      <c r="B594" s="90"/>
      <c r="C594" s="90"/>
      <c r="D594" s="90"/>
      <c r="E594" s="90"/>
      <c r="F594" s="90"/>
      <c r="G594" s="90"/>
      <c r="H594" s="363"/>
      <c r="I594" s="363"/>
      <c r="J594" s="363"/>
      <c r="K594" s="363"/>
      <c r="L594" s="363"/>
      <c r="M594" s="363"/>
      <c r="N594" s="363"/>
      <c r="O594" s="363"/>
      <c r="P594" s="363"/>
      <c r="Q594" s="363"/>
      <c r="R594" s="363"/>
      <c r="S594" s="363"/>
      <c r="T594" s="363"/>
      <c r="U594" s="363"/>
      <c r="V594" s="363"/>
      <c r="W594" s="363"/>
      <c r="X594" s="363"/>
      <c r="Y594" s="363"/>
      <c r="Z594" s="363"/>
    </row>
    <row r="595" spans="1:26" ht="9.75" customHeight="1">
      <c r="A595" s="90"/>
      <c r="B595" s="90"/>
      <c r="C595" s="90"/>
      <c r="D595" s="90"/>
      <c r="E595" s="90"/>
      <c r="F595" s="90"/>
      <c r="G595" s="90"/>
      <c r="H595" s="363"/>
      <c r="I595" s="363"/>
      <c r="J595" s="363"/>
      <c r="K595" s="363"/>
      <c r="L595" s="363"/>
      <c r="M595" s="363"/>
      <c r="N595" s="363"/>
      <c r="O595" s="363"/>
      <c r="P595" s="363"/>
      <c r="Q595" s="363"/>
      <c r="R595" s="363"/>
      <c r="S595" s="363"/>
      <c r="T595" s="363"/>
      <c r="U595" s="363"/>
      <c r="V595" s="363"/>
      <c r="W595" s="363"/>
      <c r="X595" s="363"/>
      <c r="Y595" s="363"/>
      <c r="Z595" s="363"/>
    </row>
    <row r="596" spans="1:26" ht="9.75" customHeight="1">
      <c r="A596" s="90"/>
      <c r="B596" s="90"/>
      <c r="C596" s="90"/>
      <c r="D596" s="90"/>
      <c r="E596" s="90"/>
      <c r="F596" s="90"/>
      <c r="G596" s="90"/>
      <c r="H596" s="363"/>
      <c r="I596" s="363"/>
      <c r="J596" s="363"/>
      <c r="K596" s="363"/>
      <c r="L596" s="363"/>
      <c r="M596" s="363"/>
      <c r="N596" s="363"/>
      <c r="O596" s="363"/>
      <c r="P596" s="363"/>
      <c r="Q596" s="363"/>
      <c r="R596" s="363"/>
      <c r="S596" s="363"/>
      <c r="T596" s="363"/>
      <c r="U596" s="363"/>
      <c r="V596" s="363"/>
      <c r="W596" s="363"/>
      <c r="X596" s="363"/>
      <c r="Y596" s="363"/>
      <c r="Z596" s="363"/>
    </row>
    <row r="597" spans="1:26" ht="9.75" customHeight="1">
      <c r="A597" s="90"/>
      <c r="B597" s="90"/>
      <c r="C597" s="90"/>
      <c r="D597" s="90"/>
      <c r="E597" s="90"/>
      <c r="F597" s="90"/>
      <c r="G597" s="90"/>
      <c r="H597" s="363"/>
      <c r="I597" s="363"/>
      <c r="J597" s="363"/>
      <c r="K597" s="363"/>
      <c r="L597" s="363"/>
      <c r="M597" s="363"/>
      <c r="N597" s="363"/>
      <c r="O597" s="363"/>
      <c r="P597" s="363"/>
      <c r="Q597" s="363"/>
      <c r="R597" s="363"/>
      <c r="S597" s="363"/>
      <c r="T597" s="363"/>
      <c r="U597" s="363"/>
      <c r="V597" s="363"/>
      <c r="W597" s="363"/>
      <c r="X597" s="363"/>
      <c r="Y597" s="363"/>
      <c r="Z597" s="363"/>
    </row>
    <row r="598" spans="1:26" ht="9.75" customHeight="1">
      <c r="A598" s="90"/>
      <c r="B598" s="90"/>
      <c r="C598" s="90"/>
      <c r="D598" s="90"/>
      <c r="E598" s="90"/>
      <c r="F598" s="90"/>
      <c r="G598" s="90"/>
      <c r="H598" s="363"/>
      <c r="I598" s="363"/>
      <c r="J598" s="363"/>
      <c r="K598" s="363"/>
      <c r="L598" s="363"/>
      <c r="M598" s="363"/>
      <c r="N598" s="363"/>
      <c r="O598" s="363"/>
      <c r="P598" s="363"/>
      <c r="Q598" s="363"/>
      <c r="R598" s="363"/>
      <c r="S598" s="363"/>
      <c r="T598" s="363"/>
      <c r="U598" s="363"/>
      <c r="V598" s="363"/>
      <c r="W598" s="363"/>
      <c r="X598" s="363"/>
      <c r="Y598" s="363"/>
      <c r="Z598" s="363"/>
    </row>
    <row r="599" spans="1:26" ht="9.75" customHeight="1">
      <c r="A599" s="90"/>
      <c r="B599" s="90"/>
      <c r="C599" s="90"/>
      <c r="D599" s="90"/>
      <c r="E599" s="90"/>
      <c r="F599" s="90"/>
      <c r="G599" s="90"/>
      <c r="H599" s="363"/>
      <c r="I599" s="363"/>
      <c r="J599" s="363"/>
      <c r="K599" s="363"/>
      <c r="L599" s="363"/>
      <c r="M599" s="363"/>
      <c r="N599" s="363"/>
      <c r="O599" s="363"/>
      <c r="P599" s="363"/>
      <c r="Q599" s="363"/>
      <c r="R599" s="363"/>
      <c r="S599" s="363"/>
      <c r="T599" s="363"/>
      <c r="U599" s="363"/>
      <c r="V599" s="363"/>
      <c r="W599" s="363"/>
      <c r="X599" s="363"/>
      <c r="Y599" s="363"/>
      <c r="Z599" s="363"/>
    </row>
    <row r="600" spans="1:26" ht="9.75" customHeight="1">
      <c r="A600" s="90"/>
      <c r="B600" s="90"/>
      <c r="C600" s="90"/>
      <c r="D600" s="90"/>
      <c r="E600" s="90"/>
      <c r="F600" s="90"/>
      <c r="G600" s="90"/>
      <c r="H600" s="363"/>
      <c r="I600" s="363"/>
      <c r="J600" s="363"/>
      <c r="K600" s="363"/>
      <c r="L600" s="363"/>
      <c r="M600" s="363"/>
      <c r="N600" s="363"/>
      <c r="O600" s="363"/>
      <c r="P600" s="363"/>
      <c r="Q600" s="363"/>
      <c r="R600" s="363"/>
      <c r="S600" s="363"/>
      <c r="T600" s="363"/>
      <c r="U600" s="363"/>
      <c r="V600" s="363"/>
      <c r="W600" s="363"/>
      <c r="X600" s="363"/>
      <c r="Y600" s="363"/>
      <c r="Z600" s="363"/>
    </row>
    <row r="601" spans="1:26" ht="9.75" customHeight="1">
      <c r="A601" s="90"/>
      <c r="B601" s="90"/>
      <c r="C601" s="90"/>
      <c r="D601" s="90"/>
      <c r="E601" s="90"/>
      <c r="F601" s="90"/>
      <c r="G601" s="90"/>
      <c r="H601" s="363"/>
      <c r="I601" s="363"/>
      <c r="J601" s="363"/>
      <c r="K601" s="363"/>
      <c r="L601" s="363"/>
      <c r="M601" s="363"/>
      <c r="N601" s="363"/>
      <c r="O601" s="363"/>
      <c r="P601" s="363"/>
      <c r="Q601" s="363"/>
      <c r="R601" s="363"/>
      <c r="S601" s="363"/>
      <c r="T601" s="363"/>
      <c r="U601" s="363"/>
      <c r="V601" s="363"/>
      <c r="W601" s="363"/>
      <c r="X601" s="363"/>
      <c r="Y601" s="363"/>
      <c r="Z601" s="363"/>
    </row>
    <row r="602" spans="1:26" ht="9.75" customHeight="1">
      <c r="A602" s="90"/>
      <c r="B602" s="90"/>
      <c r="C602" s="90"/>
      <c r="D602" s="90"/>
      <c r="E602" s="90"/>
      <c r="F602" s="90"/>
      <c r="G602" s="90"/>
      <c r="H602" s="363"/>
      <c r="I602" s="363"/>
      <c r="J602" s="363"/>
      <c r="K602" s="363"/>
      <c r="L602" s="363"/>
      <c r="M602" s="363"/>
      <c r="N602" s="363"/>
      <c r="O602" s="363"/>
      <c r="P602" s="363"/>
      <c r="Q602" s="363"/>
      <c r="R602" s="363"/>
      <c r="S602" s="363"/>
      <c r="T602" s="363"/>
      <c r="U602" s="363"/>
      <c r="V602" s="363"/>
      <c r="W602" s="363"/>
      <c r="X602" s="363"/>
      <c r="Y602" s="363"/>
      <c r="Z602" s="363"/>
    </row>
    <row r="603" spans="1:26" ht="9.75" customHeight="1">
      <c r="A603" s="90"/>
      <c r="B603" s="90"/>
      <c r="C603" s="90"/>
      <c r="D603" s="90"/>
      <c r="E603" s="90"/>
      <c r="F603" s="90"/>
      <c r="G603" s="90"/>
      <c r="H603" s="363"/>
      <c r="I603" s="363"/>
      <c r="J603" s="363"/>
      <c r="K603" s="363"/>
      <c r="L603" s="363"/>
      <c r="M603" s="363"/>
      <c r="N603" s="363"/>
      <c r="O603" s="363"/>
      <c r="P603" s="363"/>
      <c r="Q603" s="363"/>
      <c r="R603" s="363"/>
      <c r="S603" s="363"/>
      <c r="T603" s="363"/>
      <c r="U603" s="363"/>
      <c r="V603" s="363"/>
      <c r="W603" s="363"/>
      <c r="X603" s="363"/>
      <c r="Y603" s="363"/>
      <c r="Z603" s="363"/>
    </row>
    <row r="604" spans="1:26" ht="9.75" customHeight="1">
      <c r="A604" s="90"/>
      <c r="B604" s="90"/>
      <c r="C604" s="90"/>
      <c r="D604" s="90"/>
      <c r="E604" s="90"/>
      <c r="F604" s="90"/>
      <c r="G604" s="90"/>
      <c r="H604" s="363"/>
      <c r="I604" s="363"/>
      <c r="J604" s="363"/>
      <c r="K604" s="363"/>
      <c r="L604" s="363"/>
      <c r="M604" s="363"/>
      <c r="N604" s="363"/>
      <c r="O604" s="363"/>
      <c r="P604" s="363"/>
      <c r="Q604" s="363"/>
      <c r="R604" s="363"/>
      <c r="S604" s="363"/>
      <c r="T604" s="363"/>
      <c r="U604" s="363"/>
      <c r="V604" s="363"/>
      <c r="W604" s="363"/>
      <c r="X604" s="363"/>
      <c r="Y604" s="363"/>
      <c r="Z604" s="363"/>
    </row>
    <row r="605" spans="1:26" ht="9.75" customHeight="1">
      <c r="A605" s="90"/>
      <c r="B605" s="90"/>
      <c r="C605" s="90"/>
      <c r="D605" s="90"/>
      <c r="E605" s="90"/>
      <c r="F605" s="90"/>
      <c r="G605" s="90"/>
      <c r="H605" s="363"/>
      <c r="I605" s="363"/>
      <c r="J605" s="363"/>
      <c r="K605" s="363"/>
      <c r="L605" s="363"/>
      <c r="M605" s="363"/>
      <c r="N605" s="363"/>
      <c r="O605" s="363"/>
      <c r="P605" s="363"/>
      <c r="Q605" s="363"/>
      <c r="R605" s="363"/>
      <c r="S605" s="363"/>
      <c r="T605" s="363"/>
      <c r="U605" s="363"/>
      <c r="V605" s="363"/>
      <c r="W605" s="363"/>
      <c r="X605" s="363"/>
      <c r="Y605" s="363"/>
      <c r="Z605" s="363"/>
    </row>
    <row r="606" spans="1:26" ht="9.75" customHeight="1">
      <c r="A606" s="90"/>
      <c r="B606" s="90"/>
      <c r="C606" s="90"/>
      <c r="D606" s="90"/>
      <c r="E606" s="90"/>
      <c r="F606" s="90"/>
      <c r="G606" s="90"/>
      <c r="H606" s="363"/>
      <c r="I606" s="363"/>
      <c r="J606" s="363"/>
      <c r="K606" s="363"/>
      <c r="L606" s="363"/>
      <c r="M606" s="363"/>
      <c r="N606" s="363"/>
      <c r="O606" s="363"/>
      <c r="P606" s="363"/>
      <c r="Q606" s="363"/>
      <c r="R606" s="363"/>
      <c r="S606" s="363"/>
      <c r="T606" s="363"/>
      <c r="U606" s="363"/>
      <c r="V606" s="363"/>
      <c r="W606" s="363"/>
      <c r="X606" s="363"/>
      <c r="Y606" s="363"/>
      <c r="Z606" s="363"/>
    </row>
    <row r="607" spans="1:26" ht="9.75" customHeight="1">
      <c r="A607" s="90"/>
      <c r="B607" s="90"/>
      <c r="C607" s="90"/>
      <c r="D607" s="90"/>
      <c r="E607" s="90"/>
      <c r="F607" s="90"/>
      <c r="G607" s="90"/>
      <c r="H607" s="363"/>
      <c r="I607" s="363"/>
      <c r="J607" s="363"/>
      <c r="K607" s="363"/>
      <c r="L607" s="363"/>
      <c r="M607" s="363"/>
      <c r="N607" s="363"/>
      <c r="O607" s="363"/>
      <c r="P607" s="363"/>
      <c r="Q607" s="363"/>
      <c r="R607" s="363"/>
      <c r="S607" s="363"/>
      <c r="T607" s="363"/>
      <c r="U607" s="363"/>
      <c r="V607" s="363"/>
      <c r="W607" s="363"/>
      <c r="X607" s="363"/>
      <c r="Y607" s="363"/>
      <c r="Z607" s="363"/>
    </row>
    <row r="608" spans="1:26" ht="9.75" customHeight="1">
      <c r="A608" s="90"/>
      <c r="B608" s="90"/>
      <c r="C608" s="90"/>
      <c r="D608" s="90"/>
      <c r="E608" s="90"/>
      <c r="F608" s="90"/>
      <c r="G608" s="90"/>
      <c r="H608" s="363"/>
      <c r="I608" s="363"/>
      <c r="J608" s="363"/>
      <c r="K608" s="363"/>
      <c r="L608" s="363"/>
      <c r="M608" s="363"/>
      <c r="N608" s="363"/>
      <c r="O608" s="363"/>
      <c r="P608" s="363"/>
      <c r="Q608" s="363"/>
      <c r="R608" s="363"/>
      <c r="S608" s="363"/>
      <c r="T608" s="363"/>
      <c r="U608" s="363"/>
      <c r="V608" s="363"/>
      <c r="W608" s="363"/>
      <c r="X608" s="363"/>
      <c r="Y608" s="363"/>
      <c r="Z608" s="363"/>
    </row>
    <row r="609" spans="1:26" ht="9.75" customHeight="1">
      <c r="A609" s="90"/>
      <c r="B609" s="90"/>
      <c r="C609" s="90"/>
      <c r="D609" s="90"/>
      <c r="E609" s="90"/>
      <c r="F609" s="90"/>
      <c r="G609" s="90"/>
      <c r="H609" s="363"/>
      <c r="I609" s="363"/>
      <c r="J609" s="363"/>
      <c r="K609" s="363"/>
      <c r="L609" s="363"/>
      <c r="M609" s="363"/>
      <c r="N609" s="363"/>
      <c r="O609" s="363"/>
      <c r="P609" s="363"/>
      <c r="Q609" s="363"/>
      <c r="R609" s="363"/>
      <c r="S609" s="363"/>
      <c r="T609" s="363"/>
      <c r="U609" s="363"/>
      <c r="V609" s="363"/>
      <c r="W609" s="363"/>
      <c r="X609" s="363"/>
      <c r="Y609" s="363"/>
      <c r="Z609" s="363"/>
    </row>
    <row r="610" spans="1:26" ht="9.75" customHeight="1">
      <c r="A610" s="90"/>
      <c r="B610" s="90"/>
      <c r="C610" s="90"/>
      <c r="D610" s="90"/>
      <c r="E610" s="90"/>
      <c r="F610" s="90"/>
      <c r="G610" s="90"/>
      <c r="H610" s="363"/>
      <c r="I610" s="363"/>
      <c r="J610" s="363"/>
      <c r="K610" s="363"/>
      <c r="L610" s="363"/>
      <c r="M610" s="363"/>
      <c r="N610" s="363"/>
      <c r="O610" s="363"/>
      <c r="P610" s="363"/>
      <c r="Q610" s="363"/>
      <c r="R610" s="363"/>
      <c r="S610" s="363"/>
      <c r="T610" s="363"/>
      <c r="U610" s="363"/>
      <c r="V610" s="363"/>
      <c r="W610" s="363"/>
      <c r="X610" s="363"/>
      <c r="Y610" s="363"/>
      <c r="Z610" s="363"/>
    </row>
    <row r="611" spans="1:26" ht="9.75" customHeight="1">
      <c r="A611" s="90"/>
      <c r="B611" s="90"/>
      <c r="C611" s="90"/>
      <c r="D611" s="90"/>
      <c r="E611" s="90"/>
      <c r="F611" s="90"/>
      <c r="G611" s="90"/>
      <c r="H611" s="363"/>
      <c r="I611" s="363"/>
      <c r="J611" s="363"/>
      <c r="K611" s="363"/>
      <c r="L611" s="363"/>
      <c r="M611" s="363"/>
      <c r="N611" s="363"/>
      <c r="O611" s="363"/>
      <c r="P611" s="363"/>
      <c r="Q611" s="363"/>
      <c r="R611" s="363"/>
      <c r="S611" s="363"/>
      <c r="T611" s="363"/>
      <c r="U611" s="363"/>
      <c r="V611" s="363"/>
      <c r="W611" s="363"/>
      <c r="X611" s="363"/>
      <c r="Y611" s="363"/>
      <c r="Z611" s="363"/>
    </row>
    <row r="612" spans="1:26" ht="9.75" customHeight="1">
      <c r="A612" s="90"/>
      <c r="B612" s="90"/>
      <c r="C612" s="90"/>
      <c r="D612" s="90"/>
      <c r="E612" s="90"/>
      <c r="F612" s="90"/>
      <c r="G612" s="90"/>
      <c r="H612" s="363"/>
      <c r="I612" s="363"/>
      <c r="J612" s="363"/>
      <c r="K612" s="363"/>
      <c r="L612" s="363"/>
      <c r="M612" s="363"/>
      <c r="N612" s="363"/>
      <c r="O612" s="363"/>
      <c r="P612" s="363"/>
      <c r="Q612" s="363"/>
      <c r="R612" s="363"/>
      <c r="S612" s="363"/>
      <c r="T612" s="363"/>
      <c r="U612" s="363"/>
      <c r="V612" s="363"/>
      <c r="W612" s="363"/>
      <c r="X612" s="363"/>
      <c r="Y612" s="363"/>
      <c r="Z612" s="363"/>
    </row>
    <row r="613" spans="1:26" ht="9.75" customHeight="1">
      <c r="A613" s="90"/>
      <c r="B613" s="90"/>
      <c r="C613" s="90"/>
      <c r="D613" s="90"/>
      <c r="E613" s="90"/>
      <c r="F613" s="90"/>
      <c r="G613" s="90"/>
      <c r="H613" s="363"/>
      <c r="I613" s="363"/>
      <c r="J613" s="363"/>
      <c r="K613" s="363"/>
      <c r="L613" s="363"/>
      <c r="M613" s="363"/>
      <c r="N613" s="363"/>
      <c r="O613" s="363"/>
      <c r="P613" s="363"/>
      <c r="Q613" s="363"/>
      <c r="R613" s="363"/>
      <c r="S613" s="363"/>
      <c r="T613" s="363"/>
      <c r="U613" s="363"/>
      <c r="V613" s="363"/>
      <c r="W613" s="363"/>
      <c r="X613" s="363"/>
      <c r="Y613" s="363"/>
      <c r="Z613" s="363"/>
    </row>
    <row r="614" spans="1:26" ht="9.75" customHeight="1">
      <c r="A614" s="90"/>
      <c r="B614" s="90"/>
      <c r="C614" s="90"/>
      <c r="D614" s="90"/>
      <c r="E614" s="90"/>
      <c r="F614" s="90"/>
      <c r="G614" s="90"/>
      <c r="H614" s="363"/>
      <c r="I614" s="363"/>
      <c r="J614" s="363"/>
      <c r="K614" s="363"/>
      <c r="L614" s="363"/>
      <c r="M614" s="363"/>
      <c r="N614" s="363"/>
      <c r="O614" s="363"/>
      <c r="P614" s="363"/>
      <c r="Q614" s="363"/>
      <c r="R614" s="363"/>
      <c r="S614" s="363"/>
      <c r="T614" s="363"/>
      <c r="U614" s="363"/>
      <c r="V614" s="363"/>
      <c r="W614" s="363"/>
      <c r="X614" s="363"/>
      <c r="Y614" s="363"/>
      <c r="Z614" s="363"/>
    </row>
    <row r="615" spans="1:26" ht="9.75" customHeight="1">
      <c r="A615" s="90"/>
      <c r="B615" s="90"/>
      <c r="C615" s="90"/>
      <c r="D615" s="90"/>
      <c r="E615" s="90"/>
      <c r="F615" s="90"/>
      <c r="G615" s="90"/>
      <c r="H615" s="363"/>
      <c r="I615" s="363"/>
      <c r="J615" s="363"/>
      <c r="K615" s="363"/>
      <c r="L615" s="363"/>
      <c r="M615" s="363"/>
      <c r="N615" s="363"/>
      <c r="O615" s="363"/>
      <c r="P615" s="363"/>
      <c r="Q615" s="363"/>
      <c r="R615" s="363"/>
      <c r="S615" s="363"/>
      <c r="T615" s="363"/>
      <c r="U615" s="363"/>
      <c r="V615" s="363"/>
      <c r="W615" s="363"/>
      <c r="X615" s="363"/>
      <c r="Y615" s="363"/>
      <c r="Z615" s="363"/>
    </row>
    <row r="616" spans="1:26" ht="9.75" customHeight="1">
      <c r="A616" s="90"/>
      <c r="B616" s="90"/>
      <c r="C616" s="90"/>
      <c r="D616" s="90"/>
      <c r="E616" s="90"/>
      <c r="F616" s="90"/>
      <c r="G616" s="90"/>
      <c r="H616" s="363"/>
      <c r="I616" s="363"/>
      <c r="J616" s="363"/>
      <c r="K616" s="363"/>
      <c r="L616" s="363"/>
      <c r="M616" s="363"/>
      <c r="N616" s="363"/>
      <c r="O616" s="363"/>
      <c r="P616" s="363"/>
      <c r="Q616" s="363"/>
      <c r="R616" s="363"/>
      <c r="S616" s="363"/>
      <c r="T616" s="363"/>
      <c r="U616" s="363"/>
      <c r="V616" s="363"/>
      <c r="W616" s="363"/>
      <c r="X616" s="363"/>
      <c r="Y616" s="363"/>
      <c r="Z616" s="363"/>
    </row>
    <row r="617" spans="1:26" ht="9.75" customHeight="1">
      <c r="A617" s="90"/>
      <c r="B617" s="90"/>
      <c r="C617" s="90"/>
      <c r="D617" s="90"/>
      <c r="E617" s="90"/>
      <c r="F617" s="90"/>
      <c r="G617" s="90"/>
      <c r="H617" s="363"/>
      <c r="I617" s="363"/>
      <c r="J617" s="363"/>
      <c r="K617" s="363"/>
      <c r="L617" s="363"/>
      <c r="M617" s="363"/>
      <c r="N617" s="363"/>
      <c r="O617" s="363"/>
      <c r="P617" s="363"/>
      <c r="Q617" s="363"/>
      <c r="R617" s="363"/>
      <c r="S617" s="363"/>
      <c r="T617" s="363"/>
      <c r="U617" s="363"/>
      <c r="V617" s="363"/>
      <c r="W617" s="363"/>
      <c r="X617" s="363"/>
      <c r="Y617" s="363"/>
      <c r="Z617" s="363"/>
    </row>
    <row r="618" spans="1:26" ht="9.75" customHeight="1">
      <c r="A618" s="90"/>
      <c r="B618" s="90"/>
      <c r="C618" s="90"/>
      <c r="D618" s="90"/>
      <c r="E618" s="90"/>
      <c r="F618" s="90"/>
      <c r="G618" s="90"/>
      <c r="H618" s="363"/>
      <c r="I618" s="363"/>
      <c r="J618" s="363"/>
      <c r="K618" s="363"/>
      <c r="L618" s="363"/>
      <c r="M618" s="363"/>
      <c r="N618" s="363"/>
      <c r="O618" s="363"/>
      <c r="P618" s="363"/>
      <c r="Q618" s="363"/>
      <c r="R618" s="363"/>
      <c r="S618" s="363"/>
      <c r="T618" s="363"/>
      <c r="U618" s="363"/>
      <c r="V618" s="363"/>
      <c r="W618" s="363"/>
      <c r="X618" s="363"/>
      <c r="Y618" s="363"/>
      <c r="Z618" s="363"/>
    </row>
    <row r="619" spans="1:26" ht="9.75" customHeight="1">
      <c r="A619" s="90"/>
      <c r="B619" s="90"/>
      <c r="C619" s="90"/>
      <c r="D619" s="90"/>
      <c r="E619" s="90"/>
      <c r="F619" s="90"/>
      <c r="G619" s="90"/>
      <c r="H619" s="363"/>
      <c r="I619" s="363"/>
      <c r="J619" s="363"/>
      <c r="K619" s="363"/>
      <c r="L619" s="363"/>
      <c r="M619" s="363"/>
      <c r="N619" s="363"/>
      <c r="O619" s="363"/>
      <c r="P619" s="363"/>
      <c r="Q619" s="363"/>
      <c r="R619" s="363"/>
      <c r="S619" s="363"/>
      <c r="T619" s="363"/>
      <c r="U619" s="363"/>
      <c r="V619" s="363"/>
      <c r="W619" s="363"/>
      <c r="X619" s="363"/>
      <c r="Y619" s="363"/>
      <c r="Z619" s="363"/>
    </row>
    <row r="620" spans="1:26" ht="9.75" customHeight="1">
      <c r="A620" s="90"/>
      <c r="B620" s="90"/>
      <c r="C620" s="90"/>
      <c r="D620" s="90"/>
      <c r="E620" s="90"/>
      <c r="F620" s="90"/>
      <c r="G620" s="90"/>
      <c r="H620" s="363"/>
      <c r="I620" s="363"/>
      <c r="J620" s="363"/>
      <c r="K620" s="363"/>
      <c r="L620" s="363"/>
      <c r="M620" s="363"/>
      <c r="N620" s="363"/>
      <c r="O620" s="363"/>
      <c r="P620" s="363"/>
      <c r="Q620" s="363"/>
      <c r="R620" s="363"/>
      <c r="S620" s="363"/>
      <c r="T620" s="363"/>
      <c r="U620" s="363"/>
      <c r="V620" s="363"/>
      <c r="W620" s="363"/>
      <c r="X620" s="363"/>
      <c r="Y620" s="363"/>
      <c r="Z620" s="363"/>
    </row>
    <row r="621" spans="1:26" ht="9.75" customHeight="1">
      <c r="A621" s="90"/>
      <c r="B621" s="90"/>
      <c r="C621" s="90"/>
      <c r="D621" s="90"/>
      <c r="E621" s="90"/>
      <c r="F621" s="90"/>
      <c r="G621" s="90"/>
      <c r="H621" s="363"/>
      <c r="I621" s="363"/>
      <c r="J621" s="363"/>
      <c r="K621" s="363"/>
      <c r="L621" s="363"/>
      <c r="M621" s="363"/>
      <c r="N621" s="363"/>
      <c r="O621" s="363"/>
      <c r="P621" s="363"/>
      <c r="Q621" s="363"/>
      <c r="R621" s="363"/>
      <c r="S621" s="363"/>
      <c r="T621" s="363"/>
      <c r="U621" s="363"/>
      <c r="V621" s="363"/>
      <c r="W621" s="363"/>
      <c r="X621" s="363"/>
      <c r="Y621" s="363"/>
      <c r="Z621" s="363"/>
    </row>
    <row r="622" spans="1:26" ht="9.75" customHeight="1">
      <c r="A622" s="90"/>
      <c r="B622" s="90"/>
      <c r="C622" s="90"/>
      <c r="D622" s="90"/>
      <c r="E622" s="90"/>
      <c r="F622" s="90"/>
      <c r="G622" s="90"/>
      <c r="H622" s="363"/>
      <c r="I622" s="363"/>
      <c r="J622" s="363"/>
      <c r="K622" s="363"/>
      <c r="L622" s="363"/>
      <c r="M622" s="363"/>
      <c r="N622" s="363"/>
      <c r="O622" s="363"/>
      <c r="P622" s="363"/>
      <c r="Q622" s="363"/>
      <c r="R622" s="363"/>
      <c r="S622" s="363"/>
      <c r="T622" s="363"/>
      <c r="U622" s="363"/>
      <c r="V622" s="363"/>
      <c r="W622" s="363"/>
      <c r="X622" s="363"/>
      <c r="Y622" s="363"/>
      <c r="Z622" s="363"/>
    </row>
    <row r="623" spans="1:26" ht="9.75" customHeight="1">
      <c r="A623" s="90"/>
      <c r="B623" s="90"/>
      <c r="C623" s="90"/>
      <c r="D623" s="90"/>
      <c r="E623" s="90"/>
      <c r="F623" s="90"/>
      <c r="G623" s="90"/>
      <c r="H623" s="363"/>
      <c r="I623" s="363"/>
      <c r="J623" s="363"/>
      <c r="K623" s="363"/>
      <c r="L623" s="363"/>
      <c r="M623" s="363"/>
      <c r="N623" s="363"/>
      <c r="O623" s="363"/>
      <c r="P623" s="363"/>
      <c r="Q623" s="363"/>
      <c r="R623" s="363"/>
      <c r="S623" s="363"/>
      <c r="T623" s="363"/>
      <c r="U623" s="363"/>
      <c r="V623" s="363"/>
      <c r="W623" s="363"/>
      <c r="X623" s="363"/>
      <c r="Y623" s="363"/>
      <c r="Z623" s="363"/>
    </row>
    <row r="624" spans="1:26" ht="9.75" customHeight="1">
      <c r="A624" s="90"/>
      <c r="B624" s="90"/>
      <c r="C624" s="90"/>
      <c r="D624" s="90"/>
      <c r="E624" s="90"/>
      <c r="F624" s="90"/>
      <c r="G624" s="90"/>
      <c r="H624" s="363"/>
      <c r="I624" s="363"/>
      <c r="J624" s="363"/>
      <c r="K624" s="363"/>
      <c r="L624" s="363"/>
      <c r="M624" s="363"/>
      <c r="N624" s="363"/>
      <c r="O624" s="363"/>
      <c r="P624" s="363"/>
      <c r="Q624" s="363"/>
      <c r="R624" s="363"/>
      <c r="S624" s="363"/>
      <c r="T624" s="363"/>
      <c r="U624" s="363"/>
      <c r="V624" s="363"/>
      <c r="W624" s="363"/>
      <c r="X624" s="363"/>
      <c r="Y624" s="363"/>
      <c r="Z624" s="363"/>
    </row>
    <row r="625" spans="1:26" ht="9.75" customHeight="1">
      <c r="A625" s="90"/>
      <c r="B625" s="90"/>
      <c r="C625" s="90"/>
      <c r="D625" s="90"/>
      <c r="E625" s="90"/>
      <c r="F625" s="90"/>
      <c r="G625" s="90"/>
      <c r="H625" s="363"/>
      <c r="I625" s="363"/>
      <c r="J625" s="363"/>
      <c r="K625" s="363"/>
      <c r="L625" s="363"/>
      <c r="M625" s="363"/>
      <c r="N625" s="363"/>
      <c r="O625" s="363"/>
      <c r="P625" s="363"/>
      <c r="Q625" s="363"/>
      <c r="R625" s="363"/>
      <c r="S625" s="363"/>
      <c r="T625" s="363"/>
      <c r="U625" s="363"/>
      <c r="V625" s="363"/>
      <c r="W625" s="363"/>
      <c r="X625" s="363"/>
      <c r="Y625" s="363"/>
      <c r="Z625" s="363"/>
    </row>
    <row r="626" spans="1:26" ht="9.75" customHeight="1">
      <c r="A626" s="90"/>
      <c r="B626" s="90"/>
      <c r="C626" s="90"/>
      <c r="D626" s="90"/>
      <c r="E626" s="90"/>
      <c r="F626" s="90"/>
      <c r="G626" s="90"/>
      <c r="H626" s="363"/>
      <c r="I626" s="363"/>
      <c r="J626" s="363"/>
      <c r="K626" s="363"/>
      <c r="L626" s="363"/>
      <c r="M626" s="363"/>
      <c r="N626" s="363"/>
      <c r="O626" s="363"/>
      <c r="P626" s="363"/>
      <c r="Q626" s="363"/>
      <c r="R626" s="363"/>
      <c r="S626" s="363"/>
      <c r="T626" s="363"/>
      <c r="U626" s="363"/>
      <c r="V626" s="363"/>
      <c r="W626" s="363"/>
      <c r="X626" s="363"/>
      <c r="Y626" s="363"/>
      <c r="Z626" s="363"/>
    </row>
    <row r="627" spans="1:26" ht="9.75" customHeight="1">
      <c r="A627" s="90"/>
      <c r="B627" s="90"/>
      <c r="C627" s="90"/>
      <c r="D627" s="90"/>
      <c r="E627" s="90"/>
      <c r="F627" s="90"/>
      <c r="G627" s="90"/>
      <c r="H627" s="363"/>
      <c r="I627" s="363"/>
      <c r="J627" s="363"/>
      <c r="K627" s="363"/>
      <c r="L627" s="363"/>
      <c r="M627" s="363"/>
      <c r="N627" s="363"/>
      <c r="O627" s="363"/>
      <c r="P627" s="363"/>
      <c r="Q627" s="363"/>
      <c r="R627" s="363"/>
      <c r="S627" s="363"/>
      <c r="T627" s="363"/>
      <c r="U627" s="363"/>
      <c r="V627" s="363"/>
      <c r="W627" s="363"/>
      <c r="X627" s="363"/>
      <c r="Y627" s="363"/>
      <c r="Z627" s="363"/>
    </row>
    <row r="628" spans="1:26" ht="9.75" customHeight="1">
      <c r="A628" s="90"/>
      <c r="B628" s="90"/>
      <c r="C628" s="90"/>
      <c r="D628" s="90"/>
      <c r="E628" s="90"/>
      <c r="F628" s="90"/>
      <c r="G628" s="90"/>
      <c r="H628" s="363"/>
      <c r="I628" s="363"/>
      <c r="J628" s="363"/>
      <c r="K628" s="363"/>
      <c r="L628" s="363"/>
      <c r="M628" s="363"/>
      <c r="N628" s="363"/>
      <c r="O628" s="363"/>
      <c r="P628" s="363"/>
      <c r="Q628" s="363"/>
      <c r="R628" s="363"/>
      <c r="S628" s="363"/>
      <c r="T628" s="363"/>
      <c r="U628" s="363"/>
      <c r="V628" s="363"/>
      <c r="W628" s="363"/>
      <c r="X628" s="363"/>
      <c r="Y628" s="363"/>
      <c r="Z628" s="363"/>
    </row>
    <row r="629" spans="1:26" ht="9.75" customHeight="1">
      <c r="A629" s="90"/>
      <c r="B629" s="90"/>
      <c r="C629" s="90"/>
      <c r="D629" s="90"/>
      <c r="E629" s="90"/>
      <c r="F629" s="90"/>
      <c r="G629" s="90"/>
      <c r="H629" s="363"/>
      <c r="I629" s="363"/>
      <c r="J629" s="363"/>
      <c r="K629" s="363"/>
      <c r="L629" s="363"/>
      <c r="M629" s="363"/>
      <c r="N629" s="363"/>
      <c r="O629" s="363"/>
      <c r="P629" s="363"/>
      <c r="Q629" s="363"/>
      <c r="R629" s="363"/>
      <c r="S629" s="363"/>
      <c r="T629" s="363"/>
      <c r="U629" s="363"/>
      <c r="V629" s="363"/>
      <c r="W629" s="363"/>
      <c r="X629" s="363"/>
      <c r="Y629" s="363"/>
      <c r="Z629" s="363"/>
    </row>
    <row r="630" spans="1:26" ht="9.75" customHeight="1">
      <c r="A630" s="90"/>
      <c r="B630" s="90"/>
      <c r="C630" s="90"/>
      <c r="D630" s="90"/>
      <c r="E630" s="90"/>
      <c r="F630" s="90"/>
      <c r="G630" s="90"/>
      <c r="H630" s="363"/>
      <c r="I630" s="363"/>
      <c r="J630" s="363"/>
      <c r="K630" s="363"/>
      <c r="L630" s="363"/>
      <c r="M630" s="363"/>
      <c r="N630" s="363"/>
      <c r="O630" s="363"/>
      <c r="P630" s="363"/>
      <c r="Q630" s="363"/>
      <c r="R630" s="363"/>
      <c r="S630" s="363"/>
      <c r="T630" s="363"/>
      <c r="U630" s="363"/>
      <c r="V630" s="363"/>
      <c r="W630" s="363"/>
      <c r="X630" s="363"/>
      <c r="Y630" s="363"/>
      <c r="Z630" s="363"/>
    </row>
    <row r="631" spans="1:26" ht="9.75" customHeight="1">
      <c r="A631" s="90"/>
      <c r="B631" s="90"/>
      <c r="C631" s="90"/>
      <c r="D631" s="90"/>
      <c r="E631" s="90"/>
      <c r="F631" s="90"/>
      <c r="G631" s="90"/>
      <c r="H631" s="363"/>
      <c r="I631" s="363"/>
      <c r="J631" s="363"/>
      <c r="K631" s="363"/>
      <c r="L631" s="363"/>
      <c r="M631" s="363"/>
      <c r="N631" s="363"/>
      <c r="O631" s="363"/>
      <c r="P631" s="363"/>
      <c r="Q631" s="363"/>
      <c r="R631" s="363"/>
      <c r="S631" s="363"/>
      <c r="T631" s="363"/>
      <c r="U631" s="363"/>
      <c r="V631" s="363"/>
      <c r="W631" s="363"/>
      <c r="X631" s="363"/>
      <c r="Y631" s="363"/>
      <c r="Z631" s="363"/>
    </row>
    <row r="632" spans="1:26" ht="9.75" customHeight="1">
      <c r="A632" s="90"/>
      <c r="B632" s="90"/>
      <c r="C632" s="90"/>
      <c r="D632" s="90"/>
      <c r="E632" s="90"/>
      <c r="F632" s="90"/>
      <c r="G632" s="90"/>
      <c r="H632" s="363"/>
      <c r="I632" s="363"/>
      <c r="J632" s="363"/>
      <c r="K632" s="363"/>
      <c r="L632" s="363"/>
      <c r="M632" s="363"/>
      <c r="N632" s="363"/>
      <c r="O632" s="363"/>
      <c r="P632" s="363"/>
      <c r="Q632" s="363"/>
      <c r="R632" s="363"/>
      <c r="S632" s="363"/>
      <c r="T632" s="363"/>
      <c r="U632" s="363"/>
      <c r="V632" s="363"/>
      <c r="W632" s="363"/>
      <c r="X632" s="363"/>
      <c r="Y632" s="363"/>
      <c r="Z632" s="363"/>
    </row>
    <row r="633" spans="1:26" ht="9.75" customHeight="1">
      <c r="A633" s="90"/>
      <c r="B633" s="90"/>
      <c r="C633" s="90"/>
      <c r="D633" s="90"/>
      <c r="E633" s="90"/>
      <c r="F633" s="90"/>
      <c r="G633" s="90"/>
      <c r="H633" s="363"/>
      <c r="I633" s="363"/>
      <c r="J633" s="363"/>
      <c r="K633" s="363"/>
      <c r="L633" s="363"/>
      <c r="M633" s="363"/>
      <c r="N633" s="363"/>
      <c r="O633" s="363"/>
      <c r="P633" s="363"/>
      <c r="Q633" s="363"/>
      <c r="R633" s="363"/>
      <c r="S633" s="363"/>
      <c r="T633" s="363"/>
      <c r="U633" s="363"/>
      <c r="V633" s="363"/>
      <c r="W633" s="363"/>
      <c r="X633" s="363"/>
      <c r="Y633" s="363"/>
      <c r="Z633" s="363"/>
    </row>
    <row r="634" spans="1:26" ht="9.75" customHeight="1">
      <c r="A634" s="90"/>
      <c r="B634" s="90"/>
      <c r="C634" s="90"/>
      <c r="D634" s="90"/>
      <c r="E634" s="90"/>
      <c r="F634" s="90"/>
      <c r="G634" s="90"/>
      <c r="H634" s="363"/>
      <c r="I634" s="363"/>
      <c r="J634" s="363"/>
      <c r="K634" s="363"/>
      <c r="L634" s="363"/>
      <c r="M634" s="363"/>
      <c r="N634" s="363"/>
      <c r="O634" s="363"/>
      <c r="P634" s="363"/>
      <c r="Q634" s="363"/>
      <c r="R634" s="363"/>
      <c r="S634" s="363"/>
      <c r="T634" s="363"/>
      <c r="U634" s="363"/>
      <c r="V634" s="363"/>
      <c r="W634" s="363"/>
      <c r="X634" s="363"/>
      <c r="Y634" s="363"/>
      <c r="Z634" s="363"/>
    </row>
    <row r="635" spans="1:26" ht="9.75" customHeight="1">
      <c r="A635" s="90"/>
      <c r="B635" s="90"/>
      <c r="C635" s="90"/>
      <c r="D635" s="90"/>
      <c r="E635" s="90"/>
      <c r="F635" s="90"/>
      <c r="G635" s="90"/>
      <c r="H635" s="363"/>
      <c r="I635" s="363"/>
      <c r="J635" s="363"/>
      <c r="K635" s="363"/>
      <c r="L635" s="363"/>
      <c r="M635" s="363"/>
      <c r="N635" s="363"/>
      <c r="O635" s="363"/>
      <c r="P635" s="363"/>
      <c r="Q635" s="363"/>
      <c r="R635" s="363"/>
      <c r="S635" s="363"/>
      <c r="T635" s="363"/>
      <c r="U635" s="363"/>
      <c r="V635" s="363"/>
      <c r="W635" s="363"/>
      <c r="X635" s="363"/>
      <c r="Y635" s="363"/>
      <c r="Z635" s="363"/>
    </row>
    <row r="636" spans="1:26" ht="9.75" customHeight="1">
      <c r="A636" s="90"/>
      <c r="B636" s="90"/>
      <c r="C636" s="90"/>
      <c r="D636" s="90"/>
      <c r="E636" s="90"/>
      <c r="F636" s="90"/>
      <c r="G636" s="90"/>
      <c r="H636" s="363"/>
      <c r="I636" s="363"/>
      <c r="J636" s="363"/>
      <c r="K636" s="363"/>
      <c r="L636" s="363"/>
      <c r="M636" s="363"/>
      <c r="N636" s="363"/>
      <c r="O636" s="363"/>
      <c r="P636" s="363"/>
      <c r="Q636" s="363"/>
      <c r="R636" s="363"/>
      <c r="S636" s="363"/>
      <c r="T636" s="363"/>
      <c r="U636" s="363"/>
      <c r="V636" s="363"/>
      <c r="W636" s="363"/>
      <c r="X636" s="363"/>
      <c r="Y636" s="363"/>
      <c r="Z636" s="363"/>
    </row>
    <row r="637" spans="1:26" ht="9.75" customHeight="1">
      <c r="A637" s="90"/>
      <c r="B637" s="90"/>
      <c r="C637" s="90"/>
      <c r="D637" s="90"/>
      <c r="E637" s="90"/>
      <c r="F637" s="90"/>
      <c r="G637" s="90"/>
      <c r="H637" s="363"/>
      <c r="I637" s="363"/>
      <c r="J637" s="363"/>
      <c r="K637" s="363"/>
      <c r="L637" s="363"/>
      <c r="M637" s="363"/>
      <c r="N637" s="363"/>
      <c r="O637" s="363"/>
      <c r="P637" s="363"/>
      <c r="Q637" s="363"/>
      <c r="R637" s="363"/>
      <c r="S637" s="363"/>
      <c r="T637" s="363"/>
      <c r="U637" s="363"/>
      <c r="V637" s="363"/>
      <c r="W637" s="363"/>
      <c r="X637" s="363"/>
      <c r="Y637" s="363"/>
      <c r="Z637" s="363"/>
    </row>
    <row r="638" spans="1:26" ht="9.75" customHeight="1">
      <c r="A638" s="90"/>
      <c r="B638" s="90"/>
      <c r="C638" s="90"/>
      <c r="D638" s="90"/>
      <c r="E638" s="90"/>
      <c r="F638" s="90"/>
      <c r="G638" s="90"/>
      <c r="H638" s="363"/>
      <c r="I638" s="363"/>
      <c r="J638" s="363"/>
      <c r="K638" s="363"/>
      <c r="L638" s="363"/>
      <c r="M638" s="363"/>
      <c r="N638" s="363"/>
      <c r="O638" s="363"/>
      <c r="P638" s="363"/>
      <c r="Q638" s="363"/>
      <c r="R638" s="363"/>
      <c r="S638" s="363"/>
      <c r="T638" s="363"/>
      <c r="U638" s="363"/>
      <c r="V638" s="363"/>
      <c r="W638" s="363"/>
      <c r="X638" s="363"/>
      <c r="Y638" s="363"/>
      <c r="Z638" s="363"/>
    </row>
    <row r="639" spans="1:26" ht="9.75" customHeight="1">
      <c r="A639" s="90"/>
      <c r="B639" s="90"/>
      <c r="C639" s="90"/>
      <c r="D639" s="90"/>
      <c r="E639" s="90"/>
      <c r="F639" s="90"/>
      <c r="G639" s="90"/>
      <c r="H639" s="363"/>
      <c r="I639" s="363"/>
      <c r="J639" s="363"/>
      <c r="K639" s="363"/>
      <c r="L639" s="363"/>
      <c r="M639" s="363"/>
      <c r="N639" s="363"/>
      <c r="O639" s="363"/>
      <c r="P639" s="363"/>
      <c r="Q639" s="363"/>
      <c r="R639" s="363"/>
      <c r="S639" s="363"/>
      <c r="T639" s="363"/>
      <c r="U639" s="363"/>
      <c r="V639" s="363"/>
      <c r="W639" s="363"/>
      <c r="X639" s="363"/>
      <c r="Y639" s="363"/>
      <c r="Z639" s="363"/>
    </row>
    <row r="640" spans="1:26" ht="9.75" customHeight="1">
      <c r="A640" s="90"/>
      <c r="B640" s="90"/>
      <c r="C640" s="90"/>
      <c r="D640" s="90"/>
      <c r="E640" s="90"/>
      <c r="F640" s="90"/>
      <c r="G640" s="90"/>
      <c r="H640" s="363"/>
      <c r="I640" s="363"/>
      <c r="J640" s="363"/>
      <c r="K640" s="363"/>
      <c r="L640" s="363"/>
      <c r="M640" s="363"/>
      <c r="N640" s="363"/>
      <c r="O640" s="363"/>
      <c r="P640" s="363"/>
      <c r="Q640" s="363"/>
      <c r="R640" s="363"/>
      <c r="S640" s="363"/>
      <c r="T640" s="363"/>
      <c r="U640" s="363"/>
      <c r="V640" s="363"/>
      <c r="W640" s="363"/>
      <c r="X640" s="363"/>
      <c r="Y640" s="363"/>
      <c r="Z640" s="363"/>
    </row>
    <row r="641" spans="1:26" ht="9.75" customHeight="1">
      <c r="A641" s="90"/>
      <c r="B641" s="90"/>
      <c r="C641" s="90"/>
      <c r="D641" s="90"/>
      <c r="E641" s="90"/>
      <c r="F641" s="90"/>
      <c r="G641" s="90"/>
      <c r="H641" s="363"/>
      <c r="I641" s="363"/>
      <c r="J641" s="363"/>
      <c r="K641" s="363"/>
      <c r="L641" s="363"/>
      <c r="M641" s="363"/>
      <c r="N641" s="363"/>
      <c r="O641" s="363"/>
      <c r="P641" s="363"/>
      <c r="Q641" s="363"/>
      <c r="R641" s="363"/>
      <c r="S641" s="363"/>
      <c r="T641" s="363"/>
      <c r="U641" s="363"/>
      <c r="V641" s="363"/>
      <c r="W641" s="363"/>
      <c r="X641" s="363"/>
      <c r="Y641" s="363"/>
      <c r="Z641" s="363"/>
    </row>
    <row r="642" spans="1:26" ht="9.75" customHeight="1">
      <c r="A642" s="90"/>
      <c r="B642" s="90"/>
      <c r="C642" s="90"/>
      <c r="D642" s="90"/>
      <c r="E642" s="90"/>
      <c r="F642" s="90"/>
      <c r="G642" s="90"/>
      <c r="H642" s="363"/>
      <c r="I642" s="363"/>
      <c r="J642" s="363"/>
      <c r="K642" s="363"/>
      <c r="L642" s="363"/>
      <c r="M642" s="363"/>
      <c r="N642" s="363"/>
      <c r="O642" s="363"/>
      <c r="P642" s="363"/>
      <c r="Q642" s="363"/>
      <c r="R642" s="363"/>
      <c r="S642" s="363"/>
      <c r="T642" s="363"/>
      <c r="U642" s="363"/>
      <c r="V642" s="363"/>
      <c r="W642" s="363"/>
      <c r="X642" s="363"/>
      <c r="Y642" s="363"/>
      <c r="Z642" s="363"/>
    </row>
    <row r="643" spans="1:26" ht="9.75" customHeight="1">
      <c r="A643" s="90"/>
      <c r="B643" s="90"/>
      <c r="C643" s="90"/>
      <c r="D643" s="90"/>
      <c r="E643" s="90"/>
      <c r="F643" s="90"/>
      <c r="G643" s="90"/>
      <c r="H643" s="363"/>
      <c r="I643" s="363"/>
      <c r="J643" s="363"/>
      <c r="K643" s="363"/>
      <c r="L643" s="363"/>
      <c r="M643" s="363"/>
      <c r="N643" s="363"/>
      <c r="O643" s="363"/>
      <c r="P643" s="363"/>
      <c r="Q643" s="363"/>
      <c r="R643" s="363"/>
      <c r="S643" s="363"/>
      <c r="T643" s="363"/>
      <c r="U643" s="363"/>
      <c r="V643" s="363"/>
      <c r="W643" s="363"/>
      <c r="X643" s="363"/>
      <c r="Y643" s="363"/>
      <c r="Z643" s="363"/>
    </row>
    <row r="644" spans="1:26" ht="9.75" customHeight="1">
      <c r="A644" s="90"/>
      <c r="B644" s="90"/>
      <c r="C644" s="90"/>
      <c r="D644" s="90"/>
      <c r="E644" s="90"/>
      <c r="F644" s="90"/>
      <c r="G644" s="90"/>
      <c r="H644" s="363"/>
      <c r="I644" s="363"/>
      <c r="J644" s="363"/>
      <c r="K644" s="363"/>
      <c r="L644" s="363"/>
      <c r="M644" s="363"/>
      <c r="N644" s="363"/>
      <c r="O644" s="363"/>
      <c r="P644" s="363"/>
      <c r="Q644" s="363"/>
      <c r="R644" s="363"/>
      <c r="S644" s="363"/>
      <c r="T644" s="363"/>
      <c r="U644" s="363"/>
      <c r="V644" s="363"/>
      <c r="W644" s="363"/>
      <c r="X644" s="363"/>
      <c r="Y644" s="363"/>
      <c r="Z644" s="363"/>
    </row>
    <row r="645" spans="1:26" ht="9.75" customHeight="1">
      <c r="A645" s="90"/>
      <c r="B645" s="90"/>
      <c r="C645" s="90"/>
      <c r="D645" s="90"/>
      <c r="E645" s="90"/>
      <c r="F645" s="90"/>
      <c r="G645" s="90"/>
      <c r="H645" s="363"/>
      <c r="I645" s="363"/>
      <c r="J645" s="363"/>
      <c r="K645" s="363"/>
      <c r="L645" s="363"/>
      <c r="M645" s="363"/>
      <c r="N645" s="363"/>
      <c r="O645" s="363"/>
      <c r="P645" s="363"/>
      <c r="Q645" s="363"/>
      <c r="R645" s="363"/>
      <c r="S645" s="363"/>
      <c r="T645" s="363"/>
      <c r="U645" s="363"/>
      <c r="V645" s="363"/>
      <c r="W645" s="363"/>
      <c r="X645" s="363"/>
      <c r="Y645" s="363"/>
      <c r="Z645" s="363"/>
    </row>
    <row r="646" spans="1:26" ht="9.75" customHeight="1">
      <c r="A646" s="90"/>
      <c r="B646" s="90"/>
      <c r="C646" s="90"/>
      <c r="D646" s="90"/>
      <c r="E646" s="90"/>
      <c r="F646" s="90"/>
      <c r="G646" s="90"/>
      <c r="H646" s="363"/>
      <c r="I646" s="363"/>
      <c r="J646" s="363"/>
      <c r="K646" s="363"/>
      <c r="L646" s="363"/>
      <c r="M646" s="363"/>
      <c r="N646" s="363"/>
      <c r="O646" s="363"/>
      <c r="P646" s="363"/>
      <c r="Q646" s="363"/>
      <c r="R646" s="363"/>
      <c r="S646" s="363"/>
      <c r="T646" s="363"/>
      <c r="U646" s="363"/>
      <c r="V646" s="363"/>
      <c r="W646" s="363"/>
      <c r="X646" s="363"/>
      <c r="Y646" s="363"/>
      <c r="Z646" s="363"/>
    </row>
    <row r="647" spans="1:26" ht="9.75" customHeight="1">
      <c r="A647" s="90"/>
      <c r="B647" s="90"/>
      <c r="C647" s="90"/>
      <c r="D647" s="90"/>
      <c r="E647" s="90"/>
      <c r="F647" s="90"/>
      <c r="G647" s="90"/>
      <c r="H647" s="363"/>
      <c r="I647" s="363"/>
      <c r="J647" s="363"/>
      <c r="K647" s="363"/>
      <c r="L647" s="363"/>
      <c r="M647" s="363"/>
      <c r="N647" s="363"/>
      <c r="O647" s="363"/>
      <c r="P647" s="363"/>
      <c r="Q647" s="363"/>
      <c r="R647" s="363"/>
      <c r="S647" s="363"/>
      <c r="T647" s="363"/>
      <c r="U647" s="363"/>
      <c r="V647" s="363"/>
      <c r="W647" s="363"/>
      <c r="X647" s="363"/>
      <c r="Y647" s="363"/>
      <c r="Z647" s="363"/>
    </row>
    <row r="648" spans="1:26" ht="9.75" customHeight="1">
      <c r="A648" s="90"/>
      <c r="B648" s="90"/>
      <c r="C648" s="90"/>
      <c r="D648" s="90"/>
      <c r="E648" s="90"/>
      <c r="F648" s="90"/>
      <c r="G648" s="90"/>
      <c r="H648" s="363"/>
      <c r="I648" s="363"/>
      <c r="J648" s="363"/>
      <c r="K648" s="363"/>
      <c r="L648" s="363"/>
      <c r="M648" s="363"/>
      <c r="N648" s="363"/>
      <c r="O648" s="363"/>
      <c r="P648" s="363"/>
      <c r="Q648" s="363"/>
      <c r="R648" s="363"/>
      <c r="S648" s="363"/>
      <c r="T648" s="363"/>
      <c r="U648" s="363"/>
      <c r="V648" s="363"/>
      <c r="W648" s="363"/>
      <c r="X648" s="363"/>
      <c r="Y648" s="363"/>
      <c r="Z648" s="363"/>
    </row>
    <row r="649" spans="1:26" ht="9.75" customHeight="1">
      <c r="A649" s="90"/>
      <c r="B649" s="90"/>
      <c r="C649" s="90"/>
      <c r="D649" s="90"/>
      <c r="E649" s="90"/>
      <c r="F649" s="90"/>
      <c r="G649" s="90"/>
      <c r="H649" s="363"/>
      <c r="I649" s="363"/>
      <c r="J649" s="363"/>
      <c r="K649" s="363"/>
      <c r="L649" s="363"/>
      <c r="M649" s="363"/>
      <c r="N649" s="363"/>
      <c r="O649" s="363"/>
      <c r="P649" s="363"/>
      <c r="Q649" s="363"/>
      <c r="R649" s="363"/>
      <c r="S649" s="363"/>
      <c r="T649" s="363"/>
      <c r="U649" s="363"/>
      <c r="V649" s="363"/>
      <c r="W649" s="363"/>
      <c r="X649" s="363"/>
      <c r="Y649" s="363"/>
      <c r="Z649" s="363"/>
    </row>
    <row r="650" spans="1:26" ht="9.75" customHeight="1">
      <c r="A650" s="90"/>
      <c r="B650" s="90"/>
      <c r="C650" s="90"/>
      <c r="D650" s="90"/>
      <c r="E650" s="90"/>
      <c r="F650" s="90"/>
      <c r="G650" s="90"/>
      <c r="H650" s="363"/>
      <c r="I650" s="363"/>
      <c r="J650" s="363"/>
      <c r="K650" s="363"/>
      <c r="L650" s="363"/>
      <c r="M650" s="363"/>
      <c r="N650" s="363"/>
      <c r="O650" s="363"/>
      <c r="P650" s="363"/>
      <c r="Q650" s="363"/>
      <c r="R650" s="363"/>
      <c r="S650" s="363"/>
      <c r="T650" s="363"/>
      <c r="U650" s="363"/>
      <c r="V650" s="363"/>
      <c r="W650" s="363"/>
      <c r="X650" s="363"/>
      <c r="Y650" s="363"/>
      <c r="Z650" s="363"/>
    </row>
    <row r="651" spans="1:26" ht="9.75" customHeight="1">
      <c r="A651" s="90"/>
      <c r="B651" s="90"/>
      <c r="C651" s="90"/>
      <c r="D651" s="90"/>
      <c r="E651" s="90"/>
      <c r="F651" s="90"/>
      <c r="G651" s="90"/>
      <c r="H651" s="363"/>
      <c r="I651" s="363"/>
      <c r="J651" s="363"/>
      <c r="K651" s="363"/>
      <c r="L651" s="363"/>
      <c r="M651" s="363"/>
      <c r="N651" s="363"/>
      <c r="O651" s="363"/>
      <c r="P651" s="363"/>
      <c r="Q651" s="363"/>
      <c r="R651" s="363"/>
      <c r="S651" s="363"/>
      <c r="T651" s="363"/>
      <c r="U651" s="363"/>
      <c r="V651" s="363"/>
      <c r="W651" s="363"/>
      <c r="X651" s="363"/>
      <c r="Y651" s="363"/>
      <c r="Z651" s="363"/>
    </row>
    <row r="652" spans="1:26" ht="9.75" customHeight="1">
      <c r="A652" s="90"/>
      <c r="B652" s="90"/>
      <c r="C652" s="90"/>
      <c r="D652" s="90"/>
      <c r="E652" s="90"/>
      <c r="F652" s="90"/>
      <c r="G652" s="90"/>
      <c r="H652" s="363"/>
      <c r="I652" s="363"/>
      <c r="J652" s="363"/>
      <c r="K652" s="363"/>
      <c r="L652" s="363"/>
      <c r="M652" s="363"/>
      <c r="N652" s="363"/>
      <c r="O652" s="363"/>
      <c r="P652" s="363"/>
      <c r="Q652" s="363"/>
      <c r="R652" s="363"/>
      <c r="S652" s="363"/>
      <c r="T652" s="363"/>
      <c r="U652" s="363"/>
      <c r="V652" s="363"/>
      <c r="W652" s="363"/>
      <c r="X652" s="363"/>
      <c r="Y652" s="363"/>
      <c r="Z652" s="363"/>
    </row>
    <row r="653" spans="1:26" ht="9.75" customHeight="1">
      <c r="A653" s="90"/>
      <c r="B653" s="90"/>
      <c r="C653" s="90"/>
      <c r="D653" s="90"/>
      <c r="E653" s="90"/>
      <c r="F653" s="90"/>
      <c r="G653" s="90"/>
      <c r="H653" s="363"/>
      <c r="I653" s="363"/>
      <c r="J653" s="363"/>
      <c r="K653" s="363"/>
      <c r="L653" s="363"/>
      <c r="M653" s="363"/>
      <c r="N653" s="363"/>
      <c r="O653" s="363"/>
      <c r="P653" s="363"/>
      <c r="Q653" s="363"/>
      <c r="R653" s="363"/>
      <c r="S653" s="363"/>
      <c r="T653" s="363"/>
      <c r="U653" s="363"/>
      <c r="V653" s="363"/>
      <c r="W653" s="363"/>
      <c r="X653" s="363"/>
      <c r="Y653" s="363"/>
      <c r="Z653" s="363"/>
    </row>
    <row r="654" spans="1:26" ht="9.75" customHeight="1">
      <c r="A654" s="90"/>
      <c r="B654" s="90"/>
      <c r="C654" s="90"/>
      <c r="D654" s="90"/>
      <c r="E654" s="90"/>
      <c r="F654" s="90"/>
      <c r="G654" s="90"/>
      <c r="H654" s="363"/>
      <c r="I654" s="363"/>
      <c r="J654" s="363"/>
      <c r="K654" s="363"/>
      <c r="L654" s="363"/>
      <c r="M654" s="363"/>
      <c r="N654" s="363"/>
      <c r="O654" s="363"/>
      <c r="P654" s="363"/>
      <c r="Q654" s="363"/>
      <c r="R654" s="363"/>
      <c r="S654" s="363"/>
      <c r="T654" s="363"/>
      <c r="U654" s="363"/>
      <c r="V654" s="363"/>
      <c r="W654" s="363"/>
      <c r="X654" s="363"/>
      <c r="Y654" s="363"/>
      <c r="Z654" s="363"/>
    </row>
    <row r="655" spans="1:26" ht="9.75" customHeight="1">
      <c r="A655" s="90"/>
      <c r="B655" s="90"/>
      <c r="C655" s="90"/>
      <c r="D655" s="90"/>
      <c r="E655" s="90"/>
      <c r="F655" s="90"/>
      <c r="G655" s="90"/>
      <c r="H655" s="363"/>
      <c r="I655" s="363"/>
      <c r="J655" s="363"/>
      <c r="K655" s="363"/>
      <c r="L655" s="363"/>
      <c r="M655" s="363"/>
      <c r="N655" s="363"/>
      <c r="O655" s="363"/>
      <c r="P655" s="363"/>
      <c r="Q655" s="363"/>
      <c r="R655" s="363"/>
      <c r="S655" s="363"/>
      <c r="T655" s="363"/>
      <c r="U655" s="363"/>
      <c r="V655" s="363"/>
      <c r="W655" s="363"/>
      <c r="X655" s="363"/>
      <c r="Y655" s="363"/>
      <c r="Z655" s="363"/>
    </row>
    <row r="656" spans="1:26" ht="9.75" customHeight="1">
      <c r="A656" s="90"/>
      <c r="B656" s="90"/>
      <c r="C656" s="90"/>
      <c r="D656" s="90"/>
      <c r="E656" s="90"/>
      <c r="F656" s="90"/>
      <c r="G656" s="90"/>
      <c r="H656" s="363"/>
      <c r="I656" s="363"/>
      <c r="J656" s="363"/>
      <c r="K656" s="363"/>
      <c r="L656" s="363"/>
      <c r="M656" s="363"/>
      <c r="N656" s="363"/>
      <c r="O656" s="363"/>
      <c r="P656" s="363"/>
      <c r="Q656" s="363"/>
      <c r="R656" s="363"/>
      <c r="S656" s="363"/>
      <c r="T656" s="363"/>
      <c r="U656" s="363"/>
      <c r="V656" s="363"/>
      <c r="W656" s="363"/>
      <c r="X656" s="363"/>
      <c r="Y656" s="363"/>
      <c r="Z656" s="363"/>
    </row>
    <row r="657" spans="1:26" ht="9.75" customHeight="1">
      <c r="A657" s="90"/>
      <c r="B657" s="90"/>
      <c r="C657" s="90"/>
      <c r="D657" s="90"/>
      <c r="E657" s="90"/>
      <c r="F657" s="90"/>
      <c r="G657" s="90"/>
      <c r="H657" s="363"/>
      <c r="I657" s="363"/>
      <c r="J657" s="363"/>
      <c r="K657" s="363"/>
      <c r="L657" s="363"/>
      <c r="M657" s="363"/>
      <c r="N657" s="363"/>
      <c r="O657" s="363"/>
      <c r="P657" s="363"/>
      <c r="Q657" s="363"/>
      <c r="R657" s="363"/>
      <c r="S657" s="363"/>
      <c r="T657" s="363"/>
      <c r="U657" s="363"/>
      <c r="V657" s="363"/>
      <c r="W657" s="363"/>
      <c r="X657" s="363"/>
      <c r="Y657" s="363"/>
      <c r="Z657" s="363"/>
    </row>
    <row r="658" spans="1:26" ht="9.75" customHeight="1">
      <c r="A658" s="90"/>
      <c r="B658" s="90"/>
      <c r="C658" s="90"/>
      <c r="D658" s="90"/>
      <c r="E658" s="90"/>
      <c r="F658" s="90"/>
      <c r="G658" s="90"/>
      <c r="H658" s="363"/>
      <c r="I658" s="363"/>
      <c r="J658" s="363"/>
      <c r="K658" s="363"/>
      <c r="L658" s="363"/>
      <c r="M658" s="363"/>
      <c r="N658" s="363"/>
      <c r="O658" s="363"/>
      <c r="P658" s="363"/>
      <c r="Q658" s="363"/>
      <c r="R658" s="363"/>
      <c r="S658" s="363"/>
      <c r="T658" s="363"/>
      <c r="U658" s="363"/>
      <c r="V658" s="363"/>
      <c r="W658" s="363"/>
      <c r="X658" s="363"/>
      <c r="Y658" s="363"/>
      <c r="Z658" s="363"/>
    </row>
    <row r="659" spans="1:26" ht="9.75" customHeight="1">
      <c r="A659" s="90"/>
      <c r="B659" s="90"/>
      <c r="C659" s="90"/>
      <c r="D659" s="90"/>
      <c r="E659" s="90"/>
      <c r="F659" s="90"/>
      <c r="G659" s="90"/>
      <c r="H659" s="363"/>
      <c r="I659" s="363"/>
      <c r="J659" s="363"/>
      <c r="K659" s="363"/>
      <c r="L659" s="363"/>
      <c r="M659" s="363"/>
      <c r="N659" s="363"/>
      <c r="O659" s="363"/>
      <c r="P659" s="363"/>
      <c r="Q659" s="363"/>
      <c r="R659" s="363"/>
      <c r="S659" s="363"/>
      <c r="T659" s="363"/>
      <c r="U659" s="363"/>
      <c r="V659" s="363"/>
      <c r="W659" s="363"/>
      <c r="X659" s="363"/>
      <c r="Y659" s="363"/>
      <c r="Z659" s="363"/>
    </row>
    <row r="660" spans="1:26" ht="9.75" customHeight="1">
      <c r="A660" s="90"/>
      <c r="B660" s="90"/>
      <c r="C660" s="90"/>
      <c r="D660" s="90"/>
      <c r="E660" s="90"/>
      <c r="F660" s="90"/>
      <c r="G660" s="90"/>
      <c r="H660" s="363"/>
      <c r="I660" s="363"/>
      <c r="J660" s="363"/>
      <c r="K660" s="363"/>
      <c r="L660" s="363"/>
      <c r="M660" s="363"/>
      <c r="N660" s="363"/>
      <c r="O660" s="363"/>
      <c r="P660" s="363"/>
      <c r="Q660" s="363"/>
      <c r="R660" s="363"/>
      <c r="S660" s="363"/>
      <c r="T660" s="363"/>
      <c r="U660" s="363"/>
      <c r="V660" s="363"/>
      <c r="W660" s="363"/>
      <c r="X660" s="363"/>
      <c r="Y660" s="363"/>
      <c r="Z660" s="363"/>
    </row>
    <row r="661" spans="1:26" ht="9.75" customHeight="1">
      <c r="A661" s="90"/>
      <c r="B661" s="90"/>
      <c r="C661" s="90"/>
      <c r="D661" s="90"/>
      <c r="E661" s="90"/>
      <c r="F661" s="90"/>
      <c r="G661" s="90"/>
      <c r="H661" s="363"/>
      <c r="I661" s="363"/>
      <c r="J661" s="363"/>
      <c r="K661" s="363"/>
      <c r="L661" s="363"/>
      <c r="M661" s="363"/>
      <c r="N661" s="363"/>
      <c r="O661" s="363"/>
      <c r="P661" s="363"/>
      <c r="Q661" s="363"/>
      <c r="R661" s="363"/>
      <c r="S661" s="363"/>
      <c r="T661" s="363"/>
      <c r="U661" s="363"/>
      <c r="V661" s="363"/>
      <c r="W661" s="363"/>
      <c r="X661" s="363"/>
      <c r="Y661" s="363"/>
      <c r="Z661" s="363"/>
    </row>
    <row r="662" spans="1:26" ht="9.75" customHeight="1">
      <c r="A662" s="90"/>
      <c r="B662" s="90"/>
      <c r="C662" s="90"/>
      <c r="D662" s="90"/>
      <c r="E662" s="90"/>
      <c r="F662" s="90"/>
      <c r="G662" s="90"/>
      <c r="H662" s="363"/>
      <c r="I662" s="363"/>
      <c r="J662" s="363"/>
      <c r="K662" s="363"/>
      <c r="L662" s="363"/>
      <c r="M662" s="363"/>
      <c r="N662" s="363"/>
      <c r="O662" s="363"/>
      <c r="P662" s="363"/>
      <c r="Q662" s="363"/>
      <c r="R662" s="363"/>
      <c r="S662" s="363"/>
      <c r="T662" s="363"/>
      <c r="U662" s="363"/>
      <c r="V662" s="363"/>
      <c r="W662" s="363"/>
      <c r="X662" s="363"/>
      <c r="Y662" s="363"/>
      <c r="Z662" s="363"/>
    </row>
    <row r="663" spans="1:26" ht="9.75" customHeight="1">
      <c r="A663" s="90"/>
      <c r="B663" s="90"/>
      <c r="C663" s="90"/>
      <c r="D663" s="90"/>
      <c r="E663" s="90"/>
      <c r="F663" s="90"/>
      <c r="G663" s="90"/>
      <c r="H663" s="363"/>
      <c r="I663" s="363"/>
      <c r="J663" s="363"/>
      <c r="K663" s="363"/>
      <c r="L663" s="363"/>
      <c r="M663" s="363"/>
      <c r="N663" s="363"/>
      <c r="O663" s="363"/>
      <c r="P663" s="363"/>
      <c r="Q663" s="363"/>
      <c r="R663" s="363"/>
      <c r="S663" s="363"/>
      <c r="T663" s="363"/>
      <c r="U663" s="363"/>
      <c r="V663" s="363"/>
      <c r="W663" s="363"/>
      <c r="X663" s="363"/>
      <c r="Y663" s="363"/>
      <c r="Z663" s="363"/>
    </row>
    <row r="664" spans="1:26" ht="9.75" customHeight="1">
      <c r="A664" s="90"/>
      <c r="B664" s="90"/>
      <c r="C664" s="90"/>
      <c r="D664" s="90"/>
      <c r="E664" s="90"/>
      <c r="F664" s="90"/>
      <c r="G664" s="90"/>
      <c r="H664" s="363"/>
      <c r="I664" s="363"/>
      <c r="J664" s="363"/>
      <c r="K664" s="363"/>
      <c r="L664" s="363"/>
      <c r="M664" s="363"/>
      <c r="N664" s="363"/>
      <c r="O664" s="363"/>
      <c r="P664" s="363"/>
      <c r="Q664" s="363"/>
      <c r="R664" s="363"/>
      <c r="S664" s="363"/>
      <c r="T664" s="363"/>
      <c r="U664" s="363"/>
      <c r="V664" s="363"/>
      <c r="W664" s="363"/>
      <c r="X664" s="363"/>
      <c r="Y664" s="363"/>
      <c r="Z664" s="363"/>
    </row>
    <row r="665" spans="1:26" ht="9.75" customHeight="1">
      <c r="A665" s="90"/>
      <c r="B665" s="90"/>
      <c r="C665" s="90"/>
      <c r="D665" s="90"/>
      <c r="E665" s="90"/>
      <c r="F665" s="90"/>
      <c r="G665" s="90"/>
      <c r="H665" s="363"/>
      <c r="I665" s="363"/>
      <c r="J665" s="363"/>
      <c r="K665" s="363"/>
      <c r="L665" s="363"/>
      <c r="M665" s="363"/>
      <c r="N665" s="363"/>
      <c r="O665" s="363"/>
      <c r="P665" s="363"/>
      <c r="Q665" s="363"/>
      <c r="R665" s="363"/>
      <c r="S665" s="363"/>
      <c r="T665" s="363"/>
      <c r="U665" s="363"/>
      <c r="V665" s="363"/>
      <c r="W665" s="363"/>
      <c r="X665" s="363"/>
      <c r="Y665" s="363"/>
      <c r="Z665" s="363"/>
    </row>
    <row r="666" spans="1:26" ht="9.75" customHeight="1">
      <c r="A666" s="90"/>
      <c r="B666" s="90"/>
      <c r="C666" s="90"/>
      <c r="D666" s="90"/>
      <c r="E666" s="90"/>
      <c r="F666" s="90"/>
      <c r="G666" s="90"/>
      <c r="H666" s="363"/>
      <c r="I666" s="363"/>
      <c r="J666" s="363"/>
      <c r="K666" s="363"/>
      <c r="L666" s="363"/>
      <c r="M666" s="363"/>
      <c r="N666" s="363"/>
      <c r="O666" s="363"/>
      <c r="P666" s="363"/>
      <c r="Q666" s="363"/>
      <c r="R666" s="363"/>
      <c r="S666" s="363"/>
      <c r="T666" s="363"/>
      <c r="U666" s="363"/>
      <c r="V666" s="363"/>
      <c r="W666" s="363"/>
      <c r="X666" s="363"/>
      <c r="Y666" s="363"/>
      <c r="Z666" s="363"/>
    </row>
    <row r="667" spans="1:26" ht="9.75" customHeight="1">
      <c r="A667" s="90"/>
      <c r="B667" s="90"/>
      <c r="C667" s="90"/>
      <c r="D667" s="90"/>
      <c r="E667" s="90"/>
      <c r="F667" s="90"/>
      <c r="G667" s="90"/>
      <c r="H667" s="363"/>
      <c r="I667" s="363"/>
      <c r="J667" s="363"/>
      <c r="K667" s="363"/>
      <c r="L667" s="363"/>
      <c r="M667" s="363"/>
      <c r="N667" s="363"/>
      <c r="O667" s="363"/>
      <c r="P667" s="363"/>
      <c r="Q667" s="363"/>
      <c r="R667" s="363"/>
      <c r="S667" s="363"/>
      <c r="T667" s="363"/>
      <c r="U667" s="363"/>
      <c r="V667" s="363"/>
      <c r="W667" s="363"/>
      <c r="X667" s="363"/>
      <c r="Y667" s="363"/>
      <c r="Z667" s="363"/>
    </row>
    <row r="668" spans="1:26" ht="9.75" customHeight="1">
      <c r="A668" s="90"/>
      <c r="B668" s="90"/>
      <c r="C668" s="90"/>
      <c r="D668" s="90"/>
      <c r="E668" s="90"/>
      <c r="F668" s="90"/>
      <c r="G668" s="90"/>
      <c r="H668" s="363"/>
      <c r="I668" s="363"/>
      <c r="J668" s="363"/>
      <c r="K668" s="363"/>
      <c r="L668" s="363"/>
      <c r="M668" s="363"/>
      <c r="N668" s="363"/>
      <c r="O668" s="363"/>
      <c r="P668" s="363"/>
      <c r="Q668" s="363"/>
      <c r="R668" s="363"/>
      <c r="S668" s="363"/>
      <c r="T668" s="363"/>
      <c r="U668" s="363"/>
      <c r="V668" s="363"/>
      <c r="W668" s="363"/>
      <c r="X668" s="363"/>
      <c r="Y668" s="363"/>
      <c r="Z668" s="363"/>
    </row>
    <row r="669" spans="1:26" ht="9.75" customHeight="1">
      <c r="A669" s="90"/>
      <c r="B669" s="90"/>
      <c r="C669" s="90"/>
      <c r="D669" s="90"/>
      <c r="E669" s="90"/>
      <c r="F669" s="90"/>
      <c r="G669" s="90"/>
      <c r="H669" s="363"/>
      <c r="I669" s="363"/>
      <c r="J669" s="363"/>
      <c r="K669" s="363"/>
      <c r="L669" s="363"/>
      <c r="M669" s="363"/>
      <c r="N669" s="363"/>
      <c r="O669" s="363"/>
      <c r="P669" s="363"/>
      <c r="Q669" s="363"/>
      <c r="R669" s="363"/>
      <c r="S669" s="363"/>
      <c r="T669" s="363"/>
      <c r="U669" s="363"/>
      <c r="V669" s="363"/>
      <c r="W669" s="363"/>
      <c r="X669" s="363"/>
      <c r="Y669" s="363"/>
      <c r="Z669" s="363"/>
    </row>
    <row r="670" spans="1:26" ht="9.75" customHeight="1">
      <c r="A670" s="90"/>
      <c r="B670" s="90"/>
      <c r="C670" s="90"/>
      <c r="D670" s="90"/>
      <c r="E670" s="90"/>
      <c r="F670" s="90"/>
      <c r="G670" s="90"/>
      <c r="H670" s="363"/>
      <c r="I670" s="363"/>
      <c r="J670" s="363"/>
      <c r="K670" s="363"/>
      <c r="L670" s="363"/>
      <c r="M670" s="363"/>
      <c r="N670" s="363"/>
      <c r="O670" s="363"/>
      <c r="P670" s="363"/>
      <c r="Q670" s="363"/>
      <c r="R670" s="363"/>
      <c r="S670" s="363"/>
      <c r="T670" s="363"/>
      <c r="U670" s="363"/>
      <c r="V670" s="363"/>
      <c r="W670" s="363"/>
      <c r="X670" s="363"/>
      <c r="Y670" s="363"/>
      <c r="Z670" s="363"/>
    </row>
    <row r="671" spans="1:26" ht="9.75" customHeight="1">
      <c r="A671" s="90"/>
      <c r="B671" s="90"/>
      <c r="C671" s="90"/>
      <c r="D671" s="90"/>
      <c r="E671" s="90"/>
      <c r="F671" s="90"/>
      <c r="G671" s="90"/>
      <c r="H671" s="363"/>
      <c r="I671" s="363"/>
      <c r="J671" s="363"/>
      <c r="K671" s="363"/>
      <c r="L671" s="363"/>
      <c r="M671" s="363"/>
      <c r="N671" s="363"/>
      <c r="O671" s="363"/>
      <c r="P671" s="363"/>
      <c r="Q671" s="363"/>
      <c r="R671" s="363"/>
      <c r="S671" s="363"/>
      <c r="T671" s="363"/>
      <c r="U671" s="363"/>
      <c r="V671" s="363"/>
      <c r="W671" s="363"/>
      <c r="X671" s="363"/>
      <c r="Y671" s="363"/>
      <c r="Z671" s="363"/>
    </row>
    <row r="672" spans="1:26" ht="9.75" customHeight="1">
      <c r="A672" s="90"/>
      <c r="B672" s="90"/>
      <c r="C672" s="90"/>
      <c r="D672" s="90"/>
      <c r="E672" s="90"/>
      <c r="F672" s="90"/>
      <c r="G672" s="90"/>
      <c r="H672" s="363"/>
      <c r="I672" s="363"/>
      <c r="J672" s="363"/>
      <c r="K672" s="363"/>
      <c r="L672" s="363"/>
      <c r="M672" s="363"/>
      <c r="N672" s="363"/>
      <c r="O672" s="363"/>
      <c r="P672" s="363"/>
      <c r="Q672" s="363"/>
      <c r="R672" s="363"/>
      <c r="S672" s="363"/>
      <c r="T672" s="363"/>
      <c r="U672" s="363"/>
      <c r="V672" s="363"/>
      <c r="W672" s="363"/>
      <c r="X672" s="363"/>
      <c r="Y672" s="363"/>
      <c r="Z672" s="363"/>
    </row>
    <row r="673" spans="1:26" ht="9.75" customHeight="1">
      <c r="A673" s="90"/>
      <c r="B673" s="90"/>
      <c r="C673" s="90"/>
      <c r="D673" s="90"/>
      <c r="E673" s="90"/>
      <c r="F673" s="90"/>
      <c r="G673" s="90"/>
      <c r="H673" s="363"/>
      <c r="I673" s="363"/>
      <c r="J673" s="363"/>
      <c r="K673" s="363"/>
      <c r="L673" s="363"/>
      <c r="M673" s="363"/>
      <c r="N673" s="363"/>
      <c r="O673" s="363"/>
      <c r="P673" s="363"/>
      <c r="Q673" s="363"/>
      <c r="R673" s="363"/>
      <c r="S673" s="363"/>
      <c r="T673" s="363"/>
      <c r="U673" s="363"/>
      <c r="V673" s="363"/>
      <c r="W673" s="363"/>
      <c r="X673" s="363"/>
      <c r="Y673" s="363"/>
      <c r="Z673" s="363"/>
    </row>
    <row r="674" spans="1:26" ht="9.75" customHeight="1">
      <c r="A674" s="90"/>
      <c r="B674" s="90"/>
      <c r="C674" s="90"/>
      <c r="D674" s="90"/>
      <c r="E674" s="90"/>
      <c r="F674" s="90"/>
      <c r="G674" s="90"/>
      <c r="H674" s="363"/>
      <c r="I674" s="363"/>
      <c r="J674" s="363"/>
      <c r="K674" s="363"/>
      <c r="L674" s="363"/>
      <c r="M674" s="363"/>
      <c r="N674" s="363"/>
      <c r="O674" s="363"/>
      <c r="P674" s="363"/>
      <c r="Q674" s="363"/>
      <c r="R674" s="363"/>
      <c r="S674" s="363"/>
      <c r="T674" s="363"/>
      <c r="U674" s="363"/>
      <c r="V674" s="363"/>
      <c r="W674" s="363"/>
      <c r="X674" s="363"/>
      <c r="Y674" s="363"/>
      <c r="Z674" s="363"/>
    </row>
    <row r="675" spans="1:26" ht="9.75" customHeight="1">
      <c r="A675" s="90"/>
      <c r="B675" s="90"/>
      <c r="C675" s="90"/>
      <c r="D675" s="90"/>
      <c r="E675" s="90"/>
      <c r="F675" s="90"/>
      <c r="G675" s="90"/>
      <c r="H675" s="363"/>
      <c r="I675" s="363"/>
      <c r="J675" s="363"/>
      <c r="K675" s="363"/>
      <c r="L675" s="363"/>
      <c r="M675" s="363"/>
      <c r="N675" s="363"/>
      <c r="O675" s="363"/>
      <c r="P675" s="363"/>
      <c r="Q675" s="363"/>
      <c r="R675" s="363"/>
      <c r="S675" s="363"/>
      <c r="T675" s="363"/>
      <c r="U675" s="363"/>
      <c r="V675" s="363"/>
      <c r="W675" s="363"/>
      <c r="X675" s="363"/>
      <c r="Y675" s="363"/>
      <c r="Z675" s="363"/>
    </row>
    <row r="676" spans="1:26" ht="9.75" customHeight="1">
      <c r="A676" s="90"/>
      <c r="B676" s="90"/>
      <c r="C676" s="90"/>
      <c r="D676" s="90"/>
      <c r="E676" s="90"/>
      <c r="F676" s="90"/>
      <c r="G676" s="90"/>
      <c r="H676" s="363"/>
      <c r="I676" s="363"/>
      <c r="J676" s="363"/>
      <c r="K676" s="363"/>
      <c r="L676" s="363"/>
      <c r="M676" s="363"/>
      <c r="N676" s="363"/>
      <c r="O676" s="363"/>
      <c r="P676" s="363"/>
      <c r="Q676" s="363"/>
      <c r="R676" s="363"/>
      <c r="S676" s="363"/>
      <c r="T676" s="363"/>
      <c r="U676" s="363"/>
      <c r="V676" s="363"/>
      <c r="W676" s="363"/>
      <c r="X676" s="363"/>
      <c r="Y676" s="363"/>
      <c r="Z676" s="363"/>
    </row>
    <row r="677" spans="1:26" ht="9.75" customHeight="1">
      <c r="A677" s="90"/>
      <c r="B677" s="90"/>
      <c r="C677" s="90"/>
      <c r="D677" s="90"/>
      <c r="E677" s="90"/>
      <c r="F677" s="90"/>
      <c r="G677" s="90"/>
      <c r="H677" s="363"/>
      <c r="I677" s="363"/>
      <c r="J677" s="363"/>
      <c r="K677" s="363"/>
      <c r="L677" s="363"/>
      <c r="M677" s="363"/>
      <c r="N677" s="363"/>
      <c r="O677" s="363"/>
      <c r="P677" s="363"/>
      <c r="Q677" s="363"/>
      <c r="R677" s="363"/>
      <c r="S677" s="363"/>
      <c r="T677" s="363"/>
      <c r="U677" s="363"/>
      <c r="V677" s="363"/>
      <c r="W677" s="363"/>
      <c r="X677" s="363"/>
      <c r="Y677" s="363"/>
      <c r="Z677" s="363"/>
    </row>
    <row r="678" spans="1:26" ht="9.75" customHeight="1">
      <c r="A678" s="90"/>
      <c r="B678" s="90"/>
      <c r="C678" s="90"/>
      <c r="D678" s="90"/>
      <c r="E678" s="90"/>
      <c r="F678" s="90"/>
      <c r="G678" s="90"/>
      <c r="H678" s="363"/>
      <c r="I678" s="363"/>
      <c r="J678" s="363"/>
      <c r="K678" s="363"/>
      <c r="L678" s="363"/>
      <c r="M678" s="363"/>
      <c r="N678" s="363"/>
      <c r="O678" s="363"/>
      <c r="P678" s="363"/>
      <c r="Q678" s="363"/>
      <c r="R678" s="363"/>
      <c r="S678" s="363"/>
      <c r="T678" s="363"/>
      <c r="U678" s="363"/>
      <c r="V678" s="363"/>
      <c r="W678" s="363"/>
      <c r="X678" s="363"/>
      <c r="Y678" s="363"/>
      <c r="Z678" s="363"/>
    </row>
    <row r="679" spans="1:26" ht="9.75" customHeight="1">
      <c r="A679" s="90"/>
      <c r="B679" s="90"/>
      <c r="C679" s="90"/>
      <c r="D679" s="90"/>
      <c r="E679" s="90"/>
      <c r="F679" s="90"/>
      <c r="G679" s="90"/>
      <c r="H679" s="363"/>
      <c r="I679" s="363"/>
      <c r="J679" s="363"/>
      <c r="K679" s="363"/>
      <c r="L679" s="363"/>
      <c r="M679" s="363"/>
      <c r="N679" s="363"/>
      <c r="O679" s="363"/>
      <c r="P679" s="363"/>
      <c r="Q679" s="363"/>
      <c r="R679" s="363"/>
      <c r="S679" s="363"/>
      <c r="T679" s="363"/>
      <c r="U679" s="363"/>
      <c r="V679" s="363"/>
      <c r="W679" s="363"/>
      <c r="X679" s="363"/>
      <c r="Y679" s="363"/>
      <c r="Z679" s="363"/>
    </row>
    <row r="680" spans="1:26" ht="9.75" customHeight="1">
      <c r="A680" s="90"/>
      <c r="B680" s="90"/>
      <c r="C680" s="90"/>
      <c r="D680" s="90"/>
      <c r="E680" s="90"/>
      <c r="F680" s="90"/>
      <c r="G680" s="90"/>
      <c r="H680" s="363"/>
      <c r="I680" s="363"/>
      <c r="J680" s="363"/>
      <c r="K680" s="363"/>
      <c r="L680" s="363"/>
      <c r="M680" s="363"/>
      <c r="N680" s="363"/>
      <c r="O680" s="363"/>
      <c r="P680" s="363"/>
      <c r="Q680" s="363"/>
      <c r="R680" s="363"/>
      <c r="S680" s="363"/>
      <c r="T680" s="363"/>
      <c r="U680" s="363"/>
      <c r="V680" s="363"/>
      <c r="W680" s="363"/>
      <c r="X680" s="363"/>
      <c r="Y680" s="363"/>
      <c r="Z680" s="363"/>
    </row>
    <row r="681" spans="1:26" ht="9.75" customHeight="1">
      <c r="A681" s="90"/>
      <c r="B681" s="90"/>
      <c r="C681" s="90"/>
      <c r="D681" s="90"/>
      <c r="E681" s="90"/>
      <c r="F681" s="90"/>
      <c r="G681" s="90"/>
      <c r="H681" s="363"/>
      <c r="I681" s="363"/>
      <c r="J681" s="363"/>
      <c r="K681" s="363"/>
      <c r="L681" s="363"/>
      <c r="M681" s="363"/>
      <c r="N681" s="363"/>
      <c r="O681" s="363"/>
      <c r="P681" s="363"/>
      <c r="Q681" s="363"/>
      <c r="R681" s="363"/>
      <c r="S681" s="363"/>
      <c r="T681" s="363"/>
      <c r="U681" s="363"/>
      <c r="V681" s="363"/>
      <c r="W681" s="363"/>
      <c r="X681" s="363"/>
      <c r="Y681" s="363"/>
      <c r="Z681" s="363"/>
    </row>
    <row r="682" spans="1:26" ht="9.75" customHeight="1">
      <c r="A682" s="90"/>
      <c r="B682" s="90"/>
      <c r="C682" s="90"/>
      <c r="D682" s="90"/>
      <c r="E682" s="90"/>
      <c r="F682" s="90"/>
      <c r="G682" s="90"/>
      <c r="H682" s="363"/>
      <c r="I682" s="363"/>
      <c r="J682" s="363"/>
      <c r="K682" s="363"/>
      <c r="L682" s="363"/>
      <c r="M682" s="363"/>
      <c r="N682" s="363"/>
      <c r="O682" s="363"/>
      <c r="P682" s="363"/>
      <c r="Q682" s="363"/>
      <c r="R682" s="363"/>
      <c r="S682" s="363"/>
      <c r="T682" s="363"/>
      <c r="U682" s="363"/>
      <c r="V682" s="363"/>
      <c r="W682" s="363"/>
      <c r="X682" s="363"/>
      <c r="Y682" s="363"/>
      <c r="Z682" s="363"/>
    </row>
    <row r="683" spans="1:26" ht="9.75" customHeight="1">
      <c r="A683" s="90"/>
      <c r="B683" s="90"/>
      <c r="C683" s="90"/>
      <c r="D683" s="90"/>
      <c r="E683" s="90"/>
      <c r="F683" s="90"/>
      <c r="G683" s="90"/>
      <c r="H683" s="363"/>
      <c r="I683" s="363"/>
      <c r="J683" s="363"/>
      <c r="K683" s="363"/>
      <c r="L683" s="363"/>
      <c r="M683" s="363"/>
      <c r="N683" s="363"/>
      <c r="O683" s="363"/>
      <c r="P683" s="363"/>
      <c r="Q683" s="363"/>
      <c r="R683" s="363"/>
      <c r="S683" s="363"/>
      <c r="T683" s="363"/>
      <c r="U683" s="363"/>
      <c r="V683" s="363"/>
      <c r="W683" s="363"/>
      <c r="X683" s="363"/>
      <c r="Y683" s="363"/>
      <c r="Z683" s="363"/>
    </row>
    <row r="684" spans="1:26" ht="9.75" customHeight="1">
      <c r="A684" s="90"/>
      <c r="B684" s="90"/>
      <c r="C684" s="90"/>
      <c r="D684" s="90"/>
      <c r="E684" s="90"/>
      <c r="F684" s="90"/>
      <c r="G684" s="90"/>
      <c r="H684" s="363"/>
      <c r="I684" s="363"/>
      <c r="J684" s="363"/>
      <c r="K684" s="363"/>
      <c r="L684" s="363"/>
      <c r="M684" s="363"/>
      <c r="N684" s="363"/>
      <c r="O684" s="363"/>
      <c r="P684" s="363"/>
      <c r="Q684" s="363"/>
      <c r="R684" s="363"/>
      <c r="S684" s="363"/>
      <c r="T684" s="363"/>
      <c r="U684" s="363"/>
      <c r="V684" s="363"/>
      <c r="W684" s="363"/>
      <c r="X684" s="363"/>
      <c r="Y684" s="363"/>
      <c r="Z684" s="363"/>
    </row>
    <row r="685" spans="1:26" ht="9.75" customHeight="1">
      <c r="A685" s="90"/>
      <c r="B685" s="90"/>
      <c r="C685" s="90"/>
      <c r="D685" s="90"/>
      <c r="E685" s="90"/>
      <c r="F685" s="90"/>
      <c r="G685" s="90"/>
      <c r="H685" s="363"/>
      <c r="I685" s="363"/>
      <c r="J685" s="363"/>
      <c r="K685" s="363"/>
      <c r="L685" s="363"/>
      <c r="M685" s="363"/>
      <c r="N685" s="363"/>
      <c r="O685" s="363"/>
      <c r="P685" s="363"/>
      <c r="Q685" s="363"/>
      <c r="R685" s="363"/>
      <c r="S685" s="363"/>
      <c r="T685" s="363"/>
      <c r="U685" s="363"/>
      <c r="V685" s="363"/>
      <c r="W685" s="363"/>
      <c r="X685" s="363"/>
      <c r="Y685" s="363"/>
      <c r="Z685" s="363"/>
    </row>
    <row r="686" spans="1:26" ht="9.75" customHeight="1">
      <c r="A686" s="90"/>
      <c r="B686" s="90"/>
      <c r="C686" s="90"/>
      <c r="D686" s="90"/>
      <c r="E686" s="90"/>
      <c r="F686" s="90"/>
      <c r="G686" s="90"/>
      <c r="H686" s="363"/>
      <c r="I686" s="363"/>
      <c r="J686" s="363"/>
      <c r="K686" s="363"/>
      <c r="L686" s="363"/>
      <c r="M686" s="363"/>
      <c r="N686" s="363"/>
      <c r="O686" s="363"/>
      <c r="P686" s="363"/>
      <c r="Q686" s="363"/>
      <c r="R686" s="363"/>
      <c r="S686" s="363"/>
      <c r="T686" s="363"/>
      <c r="U686" s="363"/>
      <c r="V686" s="363"/>
      <c r="W686" s="363"/>
      <c r="X686" s="363"/>
      <c r="Y686" s="363"/>
      <c r="Z686" s="363"/>
    </row>
    <row r="687" spans="1:26" ht="9.75" customHeight="1">
      <c r="A687" s="90"/>
      <c r="B687" s="90"/>
      <c r="C687" s="90"/>
      <c r="D687" s="90"/>
      <c r="E687" s="90"/>
      <c r="F687" s="90"/>
      <c r="G687" s="90"/>
      <c r="H687" s="363"/>
      <c r="I687" s="363"/>
      <c r="J687" s="363"/>
      <c r="K687" s="363"/>
      <c r="L687" s="363"/>
      <c r="M687" s="363"/>
      <c r="N687" s="363"/>
      <c r="O687" s="363"/>
      <c r="P687" s="363"/>
      <c r="Q687" s="363"/>
      <c r="R687" s="363"/>
      <c r="S687" s="363"/>
      <c r="T687" s="363"/>
      <c r="U687" s="363"/>
      <c r="V687" s="363"/>
      <c r="W687" s="363"/>
      <c r="X687" s="363"/>
      <c r="Y687" s="363"/>
      <c r="Z687" s="363"/>
    </row>
    <row r="688" spans="1:26" ht="9.75" customHeight="1">
      <c r="A688" s="90"/>
      <c r="B688" s="90"/>
      <c r="C688" s="90"/>
      <c r="D688" s="90"/>
      <c r="E688" s="90"/>
      <c r="F688" s="90"/>
      <c r="G688" s="90"/>
      <c r="H688" s="363"/>
      <c r="I688" s="363"/>
      <c r="J688" s="363"/>
      <c r="K688" s="363"/>
      <c r="L688" s="363"/>
      <c r="M688" s="363"/>
      <c r="N688" s="363"/>
      <c r="O688" s="363"/>
      <c r="P688" s="363"/>
      <c r="Q688" s="363"/>
      <c r="R688" s="363"/>
      <c r="S688" s="363"/>
      <c r="T688" s="363"/>
      <c r="U688" s="363"/>
      <c r="V688" s="363"/>
      <c r="W688" s="363"/>
      <c r="X688" s="363"/>
      <c r="Y688" s="363"/>
      <c r="Z688" s="363"/>
    </row>
    <row r="689" spans="1:26" ht="9.75" customHeight="1">
      <c r="A689" s="90"/>
      <c r="B689" s="90"/>
      <c r="C689" s="90"/>
      <c r="D689" s="90"/>
      <c r="E689" s="90"/>
      <c r="F689" s="90"/>
      <c r="G689" s="90"/>
      <c r="H689" s="363"/>
      <c r="I689" s="363"/>
      <c r="J689" s="363"/>
      <c r="K689" s="363"/>
      <c r="L689" s="363"/>
      <c r="M689" s="363"/>
      <c r="N689" s="363"/>
      <c r="O689" s="363"/>
      <c r="P689" s="363"/>
      <c r="Q689" s="363"/>
      <c r="R689" s="363"/>
      <c r="S689" s="363"/>
      <c r="T689" s="363"/>
      <c r="U689" s="363"/>
      <c r="V689" s="363"/>
      <c r="W689" s="363"/>
      <c r="X689" s="363"/>
      <c r="Y689" s="363"/>
      <c r="Z689" s="363"/>
    </row>
    <row r="690" spans="1:26" ht="9.75" customHeight="1">
      <c r="A690" s="90"/>
      <c r="B690" s="90"/>
      <c r="C690" s="90"/>
      <c r="D690" s="90"/>
      <c r="E690" s="90"/>
      <c r="F690" s="90"/>
      <c r="G690" s="90"/>
      <c r="H690" s="363"/>
      <c r="I690" s="363"/>
      <c r="J690" s="363"/>
      <c r="K690" s="363"/>
      <c r="L690" s="363"/>
      <c r="M690" s="363"/>
      <c r="N690" s="363"/>
      <c r="O690" s="363"/>
      <c r="P690" s="363"/>
      <c r="Q690" s="363"/>
      <c r="R690" s="363"/>
      <c r="S690" s="363"/>
      <c r="T690" s="363"/>
      <c r="U690" s="363"/>
      <c r="V690" s="363"/>
      <c r="W690" s="363"/>
      <c r="X690" s="363"/>
      <c r="Y690" s="363"/>
      <c r="Z690" s="363"/>
    </row>
    <row r="691" spans="1:26" ht="9.75" customHeight="1">
      <c r="A691" s="90"/>
      <c r="B691" s="90"/>
      <c r="C691" s="90"/>
      <c r="D691" s="90"/>
      <c r="E691" s="90"/>
      <c r="F691" s="90"/>
      <c r="G691" s="90"/>
      <c r="H691" s="363"/>
      <c r="I691" s="363"/>
      <c r="J691" s="363"/>
      <c r="K691" s="363"/>
      <c r="L691" s="363"/>
      <c r="M691" s="363"/>
      <c r="N691" s="363"/>
      <c r="O691" s="363"/>
      <c r="P691" s="363"/>
      <c r="Q691" s="363"/>
      <c r="R691" s="363"/>
      <c r="S691" s="363"/>
      <c r="T691" s="363"/>
      <c r="U691" s="363"/>
      <c r="V691" s="363"/>
      <c r="W691" s="363"/>
      <c r="X691" s="363"/>
      <c r="Y691" s="363"/>
      <c r="Z691" s="363"/>
    </row>
    <row r="692" spans="1:26" ht="9.75" customHeight="1">
      <c r="A692" s="90"/>
      <c r="B692" s="90"/>
      <c r="C692" s="90"/>
      <c r="D692" s="90"/>
      <c r="E692" s="90"/>
      <c r="F692" s="90"/>
      <c r="G692" s="90"/>
      <c r="H692" s="363"/>
      <c r="I692" s="363"/>
      <c r="J692" s="363"/>
      <c r="K692" s="363"/>
      <c r="L692" s="363"/>
      <c r="M692" s="363"/>
      <c r="N692" s="363"/>
      <c r="O692" s="363"/>
      <c r="P692" s="363"/>
      <c r="Q692" s="363"/>
      <c r="R692" s="363"/>
      <c r="S692" s="363"/>
      <c r="T692" s="363"/>
      <c r="U692" s="363"/>
      <c r="V692" s="363"/>
      <c r="W692" s="363"/>
      <c r="X692" s="363"/>
      <c r="Y692" s="363"/>
      <c r="Z692" s="363"/>
    </row>
    <row r="693" spans="1:26" ht="9.75" customHeight="1">
      <c r="A693" s="90"/>
      <c r="B693" s="90"/>
      <c r="C693" s="90"/>
      <c r="D693" s="90"/>
      <c r="E693" s="90"/>
      <c r="F693" s="90"/>
      <c r="G693" s="90"/>
      <c r="H693" s="363"/>
      <c r="I693" s="363"/>
      <c r="J693" s="363"/>
      <c r="K693" s="363"/>
      <c r="L693" s="363"/>
      <c r="M693" s="363"/>
      <c r="N693" s="363"/>
      <c r="O693" s="363"/>
      <c r="P693" s="363"/>
      <c r="Q693" s="363"/>
      <c r="R693" s="363"/>
      <c r="S693" s="363"/>
      <c r="T693" s="363"/>
      <c r="U693" s="363"/>
      <c r="V693" s="363"/>
      <c r="W693" s="363"/>
      <c r="X693" s="363"/>
      <c r="Y693" s="363"/>
      <c r="Z693" s="363"/>
    </row>
    <row r="694" spans="1:26" ht="9.75" customHeight="1">
      <c r="A694" s="90"/>
      <c r="B694" s="90"/>
      <c r="C694" s="90"/>
      <c r="D694" s="90"/>
      <c r="E694" s="90"/>
      <c r="F694" s="90"/>
      <c r="G694" s="90"/>
      <c r="H694" s="363"/>
      <c r="I694" s="363"/>
      <c r="J694" s="363"/>
      <c r="K694" s="363"/>
      <c r="L694" s="363"/>
      <c r="M694" s="363"/>
      <c r="N694" s="363"/>
      <c r="O694" s="363"/>
      <c r="P694" s="363"/>
      <c r="Q694" s="363"/>
      <c r="R694" s="363"/>
      <c r="S694" s="363"/>
      <c r="T694" s="363"/>
      <c r="U694" s="363"/>
      <c r="V694" s="363"/>
      <c r="W694" s="363"/>
      <c r="X694" s="363"/>
      <c r="Y694" s="363"/>
      <c r="Z694" s="363"/>
    </row>
    <row r="695" spans="1:26" ht="9.75" customHeight="1">
      <c r="A695" s="90"/>
      <c r="B695" s="90"/>
      <c r="C695" s="90"/>
      <c r="D695" s="90"/>
      <c r="E695" s="90"/>
      <c r="F695" s="90"/>
      <c r="G695" s="90"/>
      <c r="H695" s="363"/>
      <c r="I695" s="363"/>
      <c r="J695" s="363"/>
      <c r="K695" s="363"/>
      <c r="L695" s="363"/>
      <c r="M695" s="363"/>
      <c r="N695" s="363"/>
      <c r="O695" s="363"/>
      <c r="P695" s="363"/>
      <c r="Q695" s="363"/>
      <c r="R695" s="363"/>
      <c r="S695" s="363"/>
      <c r="T695" s="363"/>
      <c r="U695" s="363"/>
      <c r="V695" s="363"/>
      <c r="W695" s="363"/>
      <c r="X695" s="363"/>
      <c r="Y695" s="363"/>
      <c r="Z695" s="363"/>
    </row>
    <row r="696" spans="1:26" ht="9.75" customHeight="1">
      <c r="A696" s="90"/>
      <c r="B696" s="90"/>
      <c r="C696" s="90"/>
      <c r="D696" s="90"/>
      <c r="E696" s="90"/>
      <c r="F696" s="90"/>
      <c r="G696" s="90"/>
      <c r="H696" s="363"/>
      <c r="I696" s="363"/>
      <c r="J696" s="363"/>
      <c r="K696" s="363"/>
      <c r="L696" s="363"/>
      <c r="M696" s="363"/>
      <c r="N696" s="363"/>
      <c r="O696" s="363"/>
      <c r="P696" s="363"/>
      <c r="Q696" s="363"/>
      <c r="R696" s="363"/>
      <c r="S696" s="363"/>
      <c r="T696" s="363"/>
      <c r="U696" s="363"/>
      <c r="V696" s="363"/>
      <c r="W696" s="363"/>
      <c r="X696" s="363"/>
      <c r="Y696" s="363"/>
      <c r="Z696" s="363"/>
    </row>
    <row r="697" spans="1:26" ht="9.75" customHeight="1">
      <c r="A697" s="90"/>
      <c r="B697" s="90"/>
      <c r="C697" s="90"/>
      <c r="D697" s="90"/>
      <c r="E697" s="90"/>
      <c r="F697" s="90"/>
      <c r="G697" s="90"/>
      <c r="H697" s="363"/>
      <c r="I697" s="363"/>
      <c r="J697" s="363"/>
      <c r="K697" s="363"/>
      <c r="L697" s="363"/>
      <c r="M697" s="363"/>
      <c r="N697" s="363"/>
      <c r="O697" s="363"/>
      <c r="P697" s="363"/>
      <c r="Q697" s="363"/>
      <c r="R697" s="363"/>
      <c r="S697" s="363"/>
      <c r="T697" s="363"/>
      <c r="U697" s="363"/>
      <c r="V697" s="363"/>
      <c r="W697" s="363"/>
      <c r="X697" s="363"/>
      <c r="Y697" s="363"/>
      <c r="Z697" s="363"/>
    </row>
    <row r="698" spans="1:26" ht="9.75" customHeight="1">
      <c r="A698" s="90"/>
      <c r="B698" s="90"/>
      <c r="C698" s="90"/>
      <c r="D698" s="90"/>
      <c r="E698" s="90"/>
      <c r="F698" s="90"/>
      <c r="G698" s="90"/>
      <c r="H698" s="363"/>
      <c r="I698" s="363"/>
      <c r="J698" s="363"/>
      <c r="K698" s="363"/>
      <c r="L698" s="363"/>
      <c r="M698" s="363"/>
      <c r="N698" s="363"/>
      <c r="O698" s="363"/>
      <c r="P698" s="363"/>
      <c r="Q698" s="363"/>
      <c r="R698" s="363"/>
      <c r="S698" s="363"/>
      <c r="T698" s="363"/>
      <c r="U698" s="363"/>
      <c r="V698" s="363"/>
      <c r="W698" s="363"/>
      <c r="X698" s="363"/>
      <c r="Y698" s="363"/>
      <c r="Z698" s="363"/>
    </row>
    <row r="699" spans="1:26" ht="9.75" customHeight="1">
      <c r="A699" s="90"/>
      <c r="B699" s="90"/>
      <c r="C699" s="90"/>
      <c r="D699" s="90"/>
      <c r="E699" s="90"/>
      <c r="F699" s="90"/>
      <c r="G699" s="90"/>
      <c r="H699" s="363"/>
      <c r="I699" s="363"/>
      <c r="J699" s="363"/>
      <c r="K699" s="363"/>
      <c r="L699" s="363"/>
      <c r="M699" s="363"/>
      <c r="N699" s="363"/>
      <c r="O699" s="363"/>
      <c r="P699" s="363"/>
      <c r="Q699" s="363"/>
      <c r="R699" s="363"/>
      <c r="S699" s="363"/>
      <c r="T699" s="363"/>
      <c r="U699" s="363"/>
      <c r="V699" s="363"/>
      <c r="W699" s="363"/>
      <c r="X699" s="363"/>
      <c r="Y699" s="363"/>
      <c r="Z699" s="363"/>
    </row>
    <row r="700" spans="1:26" ht="9.75" customHeight="1">
      <c r="A700" s="90"/>
      <c r="B700" s="90"/>
      <c r="C700" s="90"/>
      <c r="D700" s="90"/>
      <c r="E700" s="90"/>
      <c r="F700" s="90"/>
      <c r="G700" s="90"/>
      <c r="H700" s="363"/>
      <c r="I700" s="363"/>
      <c r="J700" s="363"/>
      <c r="K700" s="363"/>
      <c r="L700" s="363"/>
      <c r="M700" s="363"/>
      <c r="N700" s="363"/>
      <c r="O700" s="363"/>
      <c r="P700" s="363"/>
      <c r="Q700" s="363"/>
      <c r="R700" s="363"/>
      <c r="S700" s="363"/>
      <c r="T700" s="363"/>
      <c r="U700" s="363"/>
      <c r="V700" s="363"/>
      <c r="W700" s="363"/>
      <c r="X700" s="363"/>
      <c r="Y700" s="363"/>
      <c r="Z700" s="363"/>
    </row>
    <row r="701" spans="1:26" ht="9.75" customHeight="1">
      <c r="A701" s="90"/>
      <c r="B701" s="90"/>
      <c r="C701" s="90"/>
      <c r="D701" s="90"/>
      <c r="E701" s="90"/>
      <c r="F701" s="90"/>
      <c r="G701" s="90"/>
      <c r="H701" s="363"/>
      <c r="I701" s="363"/>
      <c r="J701" s="363"/>
      <c r="K701" s="363"/>
      <c r="L701" s="363"/>
      <c r="M701" s="363"/>
      <c r="N701" s="363"/>
      <c r="O701" s="363"/>
      <c r="P701" s="363"/>
      <c r="Q701" s="363"/>
      <c r="R701" s="363"/>
      <c r="S701" s="363"/>
      <c r="T701" s="363"/>
      <c r="U701" s="363"/>
      <c r="V701" s="363"/>
      <c r="W701" s="363"/>
      <c r="X701" s="363"/>
      <c r="Y701" s="363"/>
      <c r="Z701" s="363"/>
    </row>
    <row r="702" spans="1:26" ht="9.75" customHeight="1">
      <c r="A702" s="90"/>
      <c r="B702" s="90"/>
      <c r="C702" s="90"/>
      <c r="D702" s="90"/>
      <c r="E702" s="90"/>
      <c r="F702" s="90"/>
      <c r="G702" s="90"/>
      <c r="H702" s="363"/>
      <c r="I702" s="363"/>
      <c r="J702" s="363"/>
      <c r="K702" s="363"/>
      <c r="L702" s="363"/>
      <c r="M702" s="363"/>
      <c r="N702" s="363"/>
      <c r="O702" s="363"/>
      <c r="P702" s="363"/>
      <c r="Q702" s="363"/>
      <c r="R702" s="363"/>
      <c r="S702" s="363"/>
      <c r="T702" s="363"/>
      <c r="U702" s="363"/>
      <c r="V702" s="363"/>
      <c r="W702" s="363"/>
      <c r="X702" s="363"/>
      <c r="Y702" s="363"/>
      <c r="Z702" s="363"/>
    </row>
    <row r="703" spans="1:26" ht="9.75" customHeight="1">
      <c r="A703" s="90"/>
      <c r="B703" s="90"/>
      <c r="C703" s="90"/>
      <c r="D703" s="90"/>
      <c r="E703" s="90"/>
      <c r="F703" s="90"/>
      <c r="G703" s="90"/>
      <c r="H703" s="363"/>
      <c r="I703" s="363"/>
      <c r="J703" s="363"/>
      <c r="K703" s="363"/>
      <c r="L703" s="363"/>
      <c r="M703" s="363"/>
      <c r="N703" s="363"/>
      <c r="O703" s="363"/>
      <c r="P703" s="363"/>
      <c r="Q703" s="363"/>
      <c r="R703" s="363"/>
      <c r="S703" s="363"/>
      <c r="T703" s="363"/>
      <c r="U703" s="363"/>
      <c r="V703" s="363"/>
      <c r="W703" s="363"/>
      <c r="X703" s="363"/>
      <c r="Y703" s="363"/>
      <c r="Z703" s="363"/>
    </row>
    <row r="704" spans="1:26" ht="9.75" customHeight="1">
      <c r="A704" s="90"/>
      <c r="B704" s="90"/>
      <c r="C704" s="90"/>
      <c r="D704" s="90"/>
      <c r="E704" s="90"/>
      <c r="F704" s="90"/>
      <c r="G704" s="90"/>
      <c r="H704" s="363"/>
      <c r="I704" s="363"/>
      <c r="J704" s="363"/>
      <c r="K704" s="363"/>
      <c r="L704" s="363"/>
      <c r="M704" s="363"/>
      <c r="N704" s="363"/>
      <c r="O704" s="363"/>
      <c r="P704" s="363"/>
      <c r="Q704" s="363"/>
      <c r="R704" s="363"/>
      <c r="S704" s="363"/>
      <c r="T704" s="363"/>
      <c r="U704" s="363"/>
      <c r="V704" s="363"/>
      <c r="W704" s="363"/>
      <c r="X704" s="363"/>
      <c r="Y704" s="363"/>
      <c r="Z704" s="363"/>
    </row>
    <row r="705" spans="1:26" ht="9.75" customHeight="1">
      <c r="A705" s="90"/>
      <c r="B705" s="90"/>
      <c r="C705" s="90"/>
      <c r="D705" s="90"/>
      <c r="E705" s="90"/>
      <c r="F705" s="90"/>
      <c r="G705" s="90"/>
      <c r="H705" s="363"/>
      <c r="I705" s="363"/>
      <c r="J705" s="363"/>
      <c r="K705" s="363"/>
      <c r="L705" s="363"/>
      <c r="M705" s="363"/>
      <c r="N705" s="363"/>
      <c r="O705" s="363"/>
      <c r="P705" s="363"/>
      <c r="Q705" s="363"/>
      <c r="R705" s="363"/>
      <c r="S705" s="363"/>
      <c r="T705" s="363"/>
      <c r="U705" s="363"/>
      <c r="V705" s="363"/>
      <c r="W705" s="363"/>
      <c r="X705" s="363"/>
      <c r="Y705" s="363"/>
      <c r="Z705" s="363"/>
    </row>
    <row r="706" spans="1:26" ht="9.75" customHeight="1">
      <c r="A706" s="90"/>
      <c r="B706" s="90"/>
      <c r="C706" s="90"/>
      <c r="D706" s="90"/>
      <c r="E706" s="90"/>
      <c r="F706" s="90"/>
      <c r="G706" s="90"/>
      <c r="H706" s="363"/>
      <c r="I706" s="363"/>
      <c r="J706" s="363"/>
      <c r="K706" s="363"/>
      <c r="L706" s="363"/>
      <c r="M706" s="363"/>
      <c r="N706" s="363"/>
      <c r="O706" s="363"/>
      <c r="P706" s="363"/>
      <c r="Q706" s="363"/>
      <c r="R706" s="363"/>
      <c r="S706" s="363"/>
      <c r="T706" s="363"/>
      <c r="U706" s="363"/>
      <c r="V706" s="363"/>
      <c r="W706" s="363"/>
      <c r="X706" s="363"/>
      <c r="Y706" s="363"/>
      <c r="Z706" s="363"/>
    </row>
    <row r="707" spans="1:26" ht="9.75" customHeight="1">
      <c r="A707" s="90"/>
      <c r="B707" s="90"/>
      <c r="C707" s="90"/>
      <c r="D707" s="90"/>
      <c r="E707" s="90"/>
      <c r="F707" s="90"/>
      <c r="G707" s="90"/>
      <c r="H707" s="363"/>
      <c r="I707" s="363"/>
      <c r="J707" s="363"/>
      <c r="K707" s="363"/>
      <c r="L707" s="363"/>
      <c r="M707" s="363"/>
      <c r="N707" s="363"/>
      <c r="O707" s="363"/>
      <c r="P707" s="363"/>
      <c r="Q707" s="363"/>
      <c r="R707" s="363"/>
      <c r="S707" s="363"/>
      <c r="T707" s="363"/>
      <c r="U707" s="363"/>
      <c r="V707" s="363"/>
      <c r="W707" s="363"/>
      <c r="X707" s="363"/>
      <c r="Y707" s="363"/>
      <c r="Z707" s="363"/>
    </row>
    <row r="708" spans="1:26" ht="9.75" customHeight="1">
      <c r="A708" s="90"/>
      <c r="B708" s="90"/>
      <c r="C708" s="90"/>
      <c r="D708" s="90"/>
      <c r="E708" s="90"/>
      <c r="F708" s="90"/>
      <c r="G708" s="90"/>
      <c r="H708" s="363"/>
      <c r="I708" s="363"/>
      <c r="J708" s="363"/>
      <c r="K708" s="363"/>
      <c r="L708" s="363"/>
      <c r="M708" s="363"/>
      <c r="N708" s="363"/>
      <c r="O708" s="363"/>
      <c r="P708" s="363"/>
      <c r="Q708" s="363"/>
      <c r="R708" s="363"/>
      <c r="S708" s="363"/>
      <c r="T708" s="363"/>
      <c r="U708" s="363"/>
      <c r="V708" s="363"/>
      <c r="W708" s="363"/>
      <c r="X708" s="363"/>
      <c r="Y708" s="363"/>
      <c r="Z708" s="363"/>
    </row>
    <row r="709" spans="1:26" ht="9.75" customHeight="1">
      <c r="A709" s="90"/>
      <c r="B709" s="90"/>
      <c r="C709" s="90"/>
      <c r="D709" s="90"/>
      <c r="E709" s="90"/>
      <c r="F709" s="90"/>
      <c r="G709" s="90"/>
      <c r="H709" s="363"/>
      <c r="I709" s="363"/>
      <c r="J709" s="363"/>
      <c r="K709" s="363"/>
      <c r="L709" s="363"/>
      <c r="M709" s="363"/>
      <c r="N709" s="363"/>
      <c r="O709" s="363"/>
      <c r="P709" s="363"/>
      <c r="Q709" s="363"/>
      <c r="R709" s="363"/>
      <c r="S709" s="363"/>
      <c r="T709" s="363"/>
      <c r="U709" s="363"/>
      <c r="V709" s="363"/>
      <c r="W709" s="363"/>
      <c r="X709" s="363"/>
      <c r="Y709" s="363"/>
      <c r="Z709" s="363"/>
    </row>
    <row r="710" spans="1:26" ht="9.75" customHeight="1">
      <c r="A710" s="90"/>
      <c r="B710" s="90"/>
      <c r="C710" s="90"/>
      <c r="D710" s="90"/>
      <c r="E710" s="90"/>
      <c r="F710" s="90"/>
      <c r="G710" s="90"/>
      <c r="H710" s="363"/>
      <c r="I710" s="363"/>
      <c r="J710" s="363"/>
      <c r="K710" s="363"/>
      <c r="L710" s="363"/>
      <c r="M710" s="363"/>
      <c r="N710" s="363"/>
      <c r="O710" s="363"/>
      <c r="P710" s="363"/>
      <c r="Q710" s="363"/>
      <c r="R710" s="363"/>
      <c r="S710" s="363"/>
      <c r="T710" s="363"/>
      <c r="U710" s="363"/>
      <c r="V710" s="363"/>
      <c r="W710" s="363"/>
      <c r="X710" s="363"/>
      <c r="Y710" s="363"/>
      <c r="Z710" s="363"/>
    </row>
    <row r="711" spans="1:26" ht="9.75" customHeight="1">
      <c r="A711" s="90"/>
      <c r="B711" s="90"/>
      <c r="C711" s="90"/>
      <c r="D711" s="90"/>
      <c r="E711" s="90"/>
      <c r="F711" s="90"/>
      <c r="G711" s="90"/>
      <c r="H711" s="363"/>
      <c r="I711" s="363"/>
      <c r="J711" s="363"/>
      <c r="K711" s="363"/>
      <c r="L711" s="363"/>
      <c r="M711" s="363"/>
      <c r="N711" s="363"/>
      <c r="O711" s="363"/>
      <c r="P711" s="363"/>
      <c r="Q711" s="363"/>
      <c r="R711" s="363"/>
      <c r="S711" s="363"/>
      <c r="T711" s="363"/>
      <c r="U711" s="363"/>
      <c r="V711" s="363"/>
      <c r="W711" s="363"/>
      <c r="X711" s="363"/>
      <c r="Y711" s="363"/>
      <c r="Z711" s="363"/>
    </row>
    <row r="712" spans="1:26" ht="9.75" customHeight="1">
      <c r="A712" s="90"/>
      <c r="B712" s="90"/>
      <c r="C712" s="90"/>
      <c r="D712" s="90"/>
      <c r="E712" s="90"/>
      <c r="F712" s="90"/>
      <c r="G712" s="90"/>
      <c r="H712" s="363"/>
      <c r="I712" s="363"/>
      <c r="J712" s="363"/>
      <c r="K712" s="363"/>
      <c r="L712" s="363"/>
      <c r="M712" s="363"/>
      <c r="N712" s="363"/>
      <c r="O712" s="363"/>
      <c r="P712" s="363"/>
      <c r="Q712" s="363"/>
      <c r="R712" s="363"/>
      <c r="S712" s="363"/>
      <c r="T712" s="363"/>
      <c r="U712" s="363"/>
      <c r="V712" s="363"/>
      <c r="W712" s="363"/>
      <c r="X712" s="363"/>
      <c r="Y712" s="363"/>
      <c r="Z712" s="363"/>
    </row>
    <row r="713" spans="1:26" ht="9.75" customHeight="1">
      <c r="A713" s="90"/>
      <c r="B713" s="90"/>
      <c r="C713" s="90"/>
      <c r="D713" s="90"/>
      <c r="E713" s="90"/>
      <c r="F713" s="90"/>
      <c r="G713" s="90"/>
      <c r="H713" s="363"/>
      <c r="I713" s="363"/>
      <c r="J713" s="363"/>
      <c r="K713" s="363"/>
      <c r="L713" s="363"/>
      <c r="M713" s="363"/>
      <c r="N713" s="363"/>
      <c r="O713" s="363"/>
      <c r="P713" s="363"/>
      <c r="Q713" s="363"/>
      <c r="R713" s="363"/>
      <c r="S713" s="363"/>
      <c r="T713" s="363"/>
      <c r="U713" s="363"/>
      <c r="V713" s="363"/>
      <c r="W713" s="363"/>
      <c r="X713" s="363"/>
      <c r="Y713" s="363"/>
      <c r="Z713" s="363"/>
    </row>
    <row r="714" spans="1:26" ht="9.75" customHeight="1">
      <c r="A714" s="90"/>
      <c r="B714" s="90"/>
      <c r="C714" s="90"/>
      <c r="D714" s="90"/>
      <c r="E714" s="90"/>
      <c r="F714" s="90"/>
      <c r="G714" s="90"/>
      <c r="H714" s="363"/>
      <c r="I714" s="363"/>
      <c r="J714" s="363"/>
      <c r="K714" s="363"/>
      <c r="L714" s="363"/>
      <c r="M714" s="363"/>
      <c r="N714" s="363"/>
      <c r="O714" s="363"/>
      <c r="P714" s="363"/>
      <c r="Q714" s="363"/>
      <c r="R714" s="363"/>
      <c r="S714" s="363"/>
      <c r="T714" s="363"/>
      <c r="U714" s="363"/>
      <c r="V714" s="363"/>
      <c r="W714" s="363"/>
      <c r="X714" s="363"/>
      <c r="Y714" s="363"/>
      <c r="Z714" s="363"/>
    </row>
    <row r="715" spans="1:26" ht="9.75" customHeight="1">
      <c r="A715" s="90"/>
      <c r="B715" s="90"/>
      <c r="C715" s="90"/>
      <c r="D715" s="90"/>
      <c r="E715" s="90"/>
      <c r="F715" s="90"/>
      <c r="G715" s="90"/>
      <c r="H715" s="363"/>
      <c r="I715" s="363"/>
      <c r="J715" s="363"/>
      <c r="K715" s="363"/>
      <c r="L715" s="363"/>
      <c r="M715" s="363"/>
      <c r="N715" s="363"/>
      <c r="O715" s="363"/>
      <c r="P715" s="363"/>
      <c r="Q715" s="363"/>
      <c r="R715" s="363"/>
      <c r="S715" s="363"/>
      <c r="T715" s="363"/>
      <c r="U715" s="363"/>
      <c r="V715" s="363"/>
      <c r="W715" s="363"/>
      <c r="X715" s="363"/>
      <c r="Y715" s="363"/>
      <c r="Z715" s="363"/>
    </row>
    <row r="716" spans="1:26" ht="9.75" customHeight="1">
      <c r="A716" s="90"/>
      <c r="B716" s="90"/>
      <c r="C716" s="90"/>
      <c r="D716" s="90"/>
      <c r="E716" s="90"/>
      <c r="F716" s="90"/>
      <c r="G716" s="90"/>
      <c r="H716" s="363"/>
      <c r="I716" s="363"/>
      <c r="J716" s="363"/>
      <c r="K716" s="363"/>
      <c r="L716" s="363"/>
      <c r="M716" s="363"/>
      <c r="N716" s="363"/>
      <c r="O716" s="363"/>
      <c r="P716" s="363"/>
      <c r="Q716" s="363"/>
      <c r="R716" s="363"/>
      <c r="S716" s="363"/>
      <c r="T716" s="363"/>
      <c r="U716" s="363"/>
      <c r="V716" s="363"/>
      <c r="W716" s="363"/>
      <c r="X716" s="363"/>
      <c r="Y716" s="363"/>
      <c r="Z716" s="363"/>
    </row>
    <row r="717" spans="1:26" ht="9.75" customHeight="1">
      <c r="A717" s="90"/>
      <c r="B717" s="90"/>
      <c r="C717" s="90"/>
      <c r="D717" s="90"/>
      <c r="E717" s="90"/>
      <c r="F717" s="90"/>
      <c r="G717" s="90"/>
      <c r="H717" s="363"/>
      <c r="I717" s="363"/>
      <c r="J717" s="363"/>
      <c r="K717" s="363"/>
      <c r="L717" s="363"/>
      <c r="M717" s="363"/>
      <c r="N717" s="363"/>
      <c r="O717" s="363"/>
      <c r="P717" s="363"/>
      <c r="Q717" s="363"/>
      <c r="R717" s="363"/>
      <c r="S717" s="363"/>
      <c r="T717" s="363"/>
      <c r="U717" s="363"/>
      <c r="V717" s="363"/>
      <c r="W717" s="363"/>
      <c r="X717" s="363"/>
      <c r="Y717" s="363"/>
      <c r="Z717" s="363"/>
    </row>
    <row r="718" spans="1:26" ht="9.75" customHeight="1">
      <c r="A718" s="90"/>
      <c r="B718" s="90"/>
      <c r="C718" s="90"/>
      <c r="D718" s="90"/>
      <c r="E718" s="90"/>
      <c r="F718" s="90"/>
      <c r="G718" s="90"/>
      <c r="H718" s="363"/>
      <c r="I718" s="363"/>
      <c r="J718" s="363"/>
      <c r="K718" s="363"/>
      <c r="L718" s="363"/>
      <c r="M718" s="363"/>
      <c r="N718" s="363"/>
      <c r="O718" s="363"/>
      <c r="P718" s="363"/>
      <c r="Q718" s="363"/>
      <c r="R718" s="363"/>
      <c r="S718" s="363"/>
      <c r="T718" s="363"/>
      <c r="U718" s="363"/>
      <c r="V718" s="363"/>
      <c r="W718" s="363"/>
      <c r="X718" s="363"/>
      <c r="Y718" s="363"/>
      <c r="Z718" s="363"/>
    </row>
    <row r="719" spans="1:26" ht="9.75" customHeight="1">
      <c r="A719" s="90"/>
      <c r="B719" s="90"/>
      <c r="C719" s="90"/>
      <c r="D719" s="90"/>
      <c r="E719" s="90"/>
      <c r="F719" s="90"/>
      <c r="G719" s="90"/>
      <c r="H719" s="363"/>
      <c r="I719" s="363"/>
      <c r="J719" s="363"/>
      <c r="K719" s="363"/>
      <c r="L719" s="363"/>
      <c r="M719" s="363"/>
      <c r="N719" s="363"/>
      <c r="O719" s="363"/>
      <c r="P719" s="363"/>
      <c r="Q719" s="363"/>
      <c r="R719" s="363"/>
      <c r="S719" s="363"/>
      <c r="T719" s="363"/>
      <c r="U719" s="363"/>
      <c r="V719" s="363"/>
      <c r="W719" s="363"/>
      <c r="X719" s="363"/>
      <c r="Y719" s="363"/>
      <c r="Z719" s="363"/>
    </row>
    <row r="720" spans="1:26" ht="9.75" customHeight="1">
      <c r="A720" s="90"/>
      <c r="B720" s="90"/>
      <c r="C720" s="90"/>
      <c r="D720" s="90"/>
      <c r="E720" s="90"/>
      <c r="F720" s="90"/>
      <c r="G720" s="90"/>
      <c r="H720" s="363"/>
      <c r="I720" s="363"/>
      <c r="J720" s="363"/>
      <c r="K720" s="363"/>
      <c r="L720" s="363"/>
      <c r="M720" s="363"/>
      <c r="N720" s="363"/>
      <c r="O720" s="363"/>
      <c r="P720" s="363"/>
      <c r="Q720" s="363"/>
      <c r="R720" s="363"/>
      <c r="S720" s="363"/>
      <c r="T720" s="363"/>
      <c r="U720" s="363"/>
      <c r="V720" s="363"/>
      <c r="W720" s="363"/>
      <c r="X720" s="363"/>
      <c r="Y720" s="363"/>
      <c r="Z720" s="363"/>
    </row>
    <row r="721" spans="1:26" ht="9.75" customHeight="1">
      <c r="A721" s="90"/>
      <c r="B721" s="90"/>
      <c r="C721" s="90"/>
      <c r="D721" s="90"/>
      <c r="E721" s="90"/>
      <c r="F721" s="90"/>
      <c r="G721" s="90"/>
      <c r="H721" s="363"/>
      <c r="I721" s="363"/>
      <c r="J721" s="363"/>
      <c r="K721" s="363"/>
      <c r="L721" s="363"/>
      <c r="M721" s="363"/>
      <c r="N721" s="363"/>
      <c r="O721" s="363"/>
      <c r="P721" s="363"/>
      <c r="Q721" s="363"/>
      <c r="R721" s="363"/>
      <c r="S721" s="363"/>
      <c r="T721" s="363"/>
      <c r="U721" s="363"/>
      <c r="V721" s="363"/>
      <c r="W721" s="363"/>
      <c r="X721" s="363"/>
      <c r="Y721" s="363"/>
      <c r="Z721" s="363"/>
    </row>
    <row r="722" spans="1:26" ht="9.75" customHeight="1">
      <c r="A722" s="90"/>
      <c r="B722" s="90"/>
      <c r="C722" s="90"/>
      <c r="D722" s="90"/>
      <c r="E722" s="90"/>
      <c r="F722" s="90"/>
      <c r="G722" s="90"/>
      <c r="H722" s="363"/>
      <c r="I722" s="363"/>
      <c r="J722" s="363"/>
      <c r="K722" s="363"/>
      <c r="L722" s="363"/>
      <c r="M722" s="363"/>
      <c r="N722" s="363"/>
      <c r="O722" s="363"/>
      <c r="P722" s="363"/>
      <c r="Q722" s="363"/>
      <c r="R722" s="363"/>
      <c r="S722" s="363"/>
      <c r="T722" s="363"/>
      <c r="U722" s="363"/>
      <c r="V722" s="363"/>
      <c r="W722" s="363"/>
      <c r="X722" s="363"/>
      <c r="Y722" s="363"/>
      <c r="Z722" s="363"/>
    </row>
    <row r="723" spans="1:26" ht="9.75" customHeight="1">
      <c r="A723" s="90"/>
      <c r="B723" s="90"/>
      <c r="C723" s="90"/>
      <c r="D723" s="90"/>
      <c r="E723" s="90"/>
      <c r="F723" s="90"/>
      <c r="G723" s="90"/>
      <c r="H723" s="363"/>
      <c r="I723" s="363"/>
      <c r="J723" s="363"/>
      <c r="K723" s="363"/>
      <c r="L723" s="363"/>
      <c r="M723" s="363"/>
      <c r="N723" s="363"/>
      <c r="O723" s="363"/>
      <c r="P723" s="363"/>
      <c r="Q723" s="363"/>
      <c r="R723" s="363"/>
      <c r="S723" s="363"/>
      <c r="T723" s="363"/>
      <c r="U723" s="363"/>
      <c r="V723" s="363"/>
      <c r="W723" s="363"/>
      <c r="X723" s="363"/>
      <c r="Y723" s="363"/>
      <c r="Z723" s="363"/>
    </row>
    <row r="724" spans="1:26" ht="9.75" customHeight="1">
      <c r="A724" s="90"/>
      <c r="B724" s="90"/>
      <c r="C724" s="90"/>
      <c r="D724" s="90"/>
      <c r="E724" s="90"/>
      <c r="F724" s="90"/>
      <c r="G724" s="90"/>
      <c r="H724" s="363"/>
      <c r="I724" s="363"/>
      <c r="J724" s="363"/>
      <c r="K724" s="363"/>
      <c r="L724" s="363"/>
      <c r="M724" s="363"/>
      <c r="N724" s="363"/>
      <c r="O724" s="363"/>
      <c r="P724" s="363"/>
      <c r="Q724" s="363"/>
      <c r="R724" s="363"/>
      <c r="S724" s="363"/>
      <c r="T724" s="363"/>
      <c r="U724" s="363"/>
      <c r="V724" s="363"/>
      <c r="W724" s="363"/>
      <c r="X724" s="363"/>
      <c r="Y724" s="363"/>
      <c r="Z724" s="363"/>
    </row>
    <row r="725" spans="1:26" ht="9.75" customHeight="1">
      <c r="A725" s="90"/>
      <c r="B725" s="90"/>
      <c r="C725" s="90"/>
      <c r="D725" s="90"/>
      <c r="E725" s="90"/>
      <c r="F725" s="90"/>
      <c r="G725" s="90"/>
      <c r="H725" s="363"/>
      <c r="I725" s="363"/>
      <c r="J725" s="363"/>
      <c r="K725" s="363"/>
      <c r="L725" s="363"/>
      <c r="M725" s="363"/>
      <c r="N725" s="363"/>
      <c r="O725" s="363"/>
      <c r="P725" s="363"/>
      <c r="Q725" s="363"/>
      <c r="R725" s="363"/>
      <c r="S725" s="363"/>
      <c r="T725" s="363"/>
      <c r="U725" s="363"/>
      <c r="V725" s="363"/>
      <c r="W725" s="363"/>
      <c r="X725" s="363"/>
      <c r="Y725" s="363"/>
      <c r="Z725" s="363"/>
    </row>
    <row r="726" spans="1:26" ht="9.75" customHeight="1">
      <c r="A726" s="90"/>
      <c r="B726" s="90"/>
      <c r="C726" s="90"/>
      <c r="D726" s="90"/>
      <c r="E726" s="90"/>
      <c r="F726" s="90"/>
      <c r="G726" s="90"/>
      <c r="H726" s="363"/>
      <c r="I726" s="363"/>
      <c r="J726" s="363"/>
      <c r="K726" s="363"/>
      <c r="L726" s="363"/>
      <c r="M726" s="363"/>
      <c r="N726" s="363"/>
      <c r="O726" s="363"/>
      <c r="P726" s="363"/>
      <c r="Q726" s="363"/>
      <c r="R726" s="363"/>
      <c r="S726" s="363"/>
      <c r="T726" s="363"/>
      <c r="U726" s="363"/>
      <c r="V726" s="363"/>
      <c r="W726" s="363"/>
      <c r="X726" s="363"/>
      <c r="Y726" s="363"/>
      <c r="Z726" s="363"/>
    </row>
    <row r="727" spans="1:26" ht="9.75" customHeight="1">
      <c r="A727" s="90"/>
      <c r="B727" s="90"/>
      <c r="C727" s="90"/>
      <c r="D727" s="90"/>
      <c r="E727" s="90"/>
      <c r="F727" s="90"/>
      <c r="G727" s="90"/>
      <c r="H727" s="363"/>
      <c r="I727" s="363"/>
      <c r="J727" s="363"/>
      <c r="K727" s="363"/>
      <c r="L727" s="363"/>
      <c r="M727" s="363"/>
      <c r="N727" s="363"/>
      <c r="O727" s="363"/>
      <c r="P727" s="363"/>
      <c r="Q727" s="363"/>
      <c r="R727" s="363"/>
      <c r="S727" s="363"/>
      <c r="T727" s="363"/>
      <c r="U727" s="363"/>
      <c r="V727" s="363"/>
      <c r="W727" s="363"/>
      <c r="X727" s="363"/>
      <c r="Y727" s="363"/>
      <c r="Z727" s="363"/>
    </row>
    <row r="728" spans="1:26" ht="9.75" customHeight="1">
      <c r="A728" s="90"/>
      <c r="B728" s="90"/>
      <c r="C728" s="90"/>
      <c r="D728" s="90"/>
      <c r="E728" s="90"/>
      <c r="F728" s="90"/>
      <c r="G728" s="90"/>
      <c r="H728" s="363"/>
      <c r="I728" s="363"/>
      <c r="J728" s="363"/>
      <c r="K728" s="363"/>
      <c r="L728" s="363"/>
      <c r="M728" s="363"/>
      <c r="N728" s="363"/>
      <c r="O728" s="363"/>
      <c r="P728" s="363"/>
      <c r="Q728" s="363"/>
      <c r="R728" s="363"/>
      <c r="S728" s="363"/>
      <c r="T728" s="363"/>
      <c r="U728" s="363"/>
      <c r="V728" s="363"/>
      <c r="W728" s="363"/>
      <c r="X728" s="363"/>
      <c r="Y728" s="363"/>
      <c r="Z728" s="363"/>
    </row>
    <row r="729" spans="1:26" ht="9.75" customHeight="1">
      <c r="A729" s="90"/>
      <c r="B729" s="90"/>
      <c r="C729" s="90"/>
      <c r="D729" s="90"/>
      <c r="E729" s="90"/>
      <c r="F729" s="90"/>
      <c r="G729" s="90"/>
      <c r="H729" s="363"/>
      <c r="I729" s="363"/>
      <c r="J729" s="363"/>
      <c r="K729" s="363"/>
      <c r="L729" s="363"/>
      <c r="M729" s="363"/>
      <c r="N729" s="363"/>
      <c r="O729" s="363"/>
      <c r="P729" s="363"/>
      <c r="Q729" s="363"/>
      <c r="R729" s="363"/>
      <c r="S729" s="363"/>
      <c r="T729" s="363"/>
      <c r="U729" s="363"/>
      <c r="V729" s="363"/>
      <c r="W729" s="363"/>
      <c r="X729" s="363"/>
      <c r="Y729" s="363"/>
      <c r="Z729" s="363"/>
    </row>
    <row r="730" spans="1:26" ht="9.75" customHeight="1">
      <c r="A730" s="90"/>
      <c r="B730" s="90"/>
      <c r="C730" s="90"/>
      <c r="D730" s="90"/>
      <c r="E730" s="90"/>
      <c r="F730" s="90"/>
      <c r="G730" s="90"/>
      <c r="H730" s="363"/>
      <c r="I730" s="363"/>
      <c r="J730" s="363"/>
      <c r="K730" s="363"/>
      <c r="L730" s="363"/>
      <c r="M730" s="363"/>
      <c r="N730" s="363"/>
      <c r="O730" s="363"/>
      <c r="P730" s="363"/>
      <c r="Q730" s="363"/>
      <c r="R730" s="363"/>
      <c r="S730" s="363"/>
      <c r="T730" s="363"/>
      <c r="U730" s="363"/>
      <c r="V730" s="363"/>
      <c r="W730" s="363"/>
      <c r="X730" s="363"/>
      <c r="Y730" s="363"/>
      <c r="Z730" s="363"/>
    </row>
    <row r="731" spans="1:26" ht="9.75" customHeight="1">
      <c r="A731" s="90"/>
      <c r="B731" s="90"/>
      <c r="C731" s="90"/>
      <c r="D731" s="90"/>
      <c r="E731" s="90"/>
      <c r="F731" s="90"/>
      <c r="G731" s="90"/>
      <c r="H731" s="363"/>
      <c r="I731" s="363"/>
      <c r="J731" s="363"/>
      <c r="K731" s="363"/>
      <c r="L731" s="363"/>
      <c r="M731" s="363"/>
      <c r="N731" s="363"/>
      <c r="O731" s="363"/>
      <c r="P731" s="363"/>
      <c r="Q731" s="363"/>
      <c r="R731" s="363"/>
      <c r="S731" s="363"/>
      <c r="T731" s="363"/>
      <c r="U731" s="363"/>
      <c r="V731" s="363"/>
      <c r="W731" s="363"/>
      <c r="X731" s="363"/>
      <c r="Y731" s="363"/>
      <c r="Z731" s="363"/>
    </row>
    <row r="732" spans="1:26" ht="9.75" customHeight="1">
      <c r="A732" s="90"/>
      <c r="B732" s="90"/>
      <c r="C732" s="90"/>
      <c r="D732" s="90"/>
      <c r="E732" s="90"/>
      <c r="F732" s="90"/>
      <c r="G732" s="90"/>
      <c r="H732" s="363"/>
      <c r="I732" s="363"/>
      <c r="J732" s="363"/>
      <c r="K732" s="363"/>
      <c r="L732" s="363"/>
      <c r="M732" s="363"/>
      <c r="N732" s="363"/>
      <c r="O732" s="363"/>
      <c r="P732" s="363"/>
      <c r="Q732" s="363"/>
      <c r="R732" s="363"/>
      <c r="S732" s="363"/>
      <c r="T732" s="363"/>
      <c r="U732" s="363"/>
      <c r="V732" s="363"/>
      <c r="W732" s="363"/>
      <c r="X732" s="363"/>
      <c r="Y732" s="363"/>
      <c r="Z732" s="363"/>
    </row>
    <row r="733" spans="1:26" ht="9.75" customHeight="1">
      <c r="A733" s="90"/>
      <c r="B733" s="90"/>
      <c r="C733" s="90"/>
      <c r="D733" s="90"/>
      <c r="E733" s="90"/>
      <c r="F733" s="90"/>
      <c r="G733" s="90"/>
      <c r="H733" s="363"/>
      <c r="I733" s="363"/>
      <c r="J733" s="363"/>
      <c r="K733" s="363"/>
      <c r="L733" s="363"/>
      <c r="M733" s="363"/>
      <c r="N733" s="363"/>
      <c r="O733" s="363"/>
      <c r="P733" s="363"/>
      <c r="Q733" s="363"/>
      <c r="R733" s="363"/>
      <c r="S733" s="363"/>
      <c r="T733" s="363"/>
      <c r="U733" s="363"/>
      <c r="V733" s="363"/>
      <c r="W733" s="363"/>
      <c r="X733" s="363"/>
      <c r="Y733" s="363"/>
      <c r="Z733" s="363"/>
    </row>
    <row r="734" spans="1:26" ht="9.75" customHeight="1">
      <c r="A734" s="90"/>
      <c r="B734" s="90"/>
      <c r="C734" s="90"/>
      <c r="D734" s="90"/>
      <c r="E734" s="90"/>
      <c r="F734" s="90"/>
      <c r="G734" s="90"/>
      <c r="H734" s="363"/>
      <c r="I734" s="363"/>
      <c r="J734" s="363"/>
      <c r="K734" s="363"/>
      <c r="L734" s="363"/>
      <c r="M734" s="363"/>
      <c r="N734" s="363"/>
      <c r="O734" s="363"/>
      <c r="P734" s="363"/>
      <c r="Q734" s="363"/>
      <c r="R734" s="363"/>
      <c r="S734" s="363"/>
      <c r="T734" s="363"/>
      <c r="U734" s="363"/>
      <c r="V734" s="363"/>
      <c r="W734" s="363"/>
      <c r="X734" s="363"/>
      <c r="Y734" s="363"/>
      <c r="Z734" s="363"/>
    </row>
    <row r="735" spans="1:26" ht="9.75" customHeight="1">
      <c r="A735" s="90"/>
      <c r="B735" s="90"/>
      <c r="C735" s="90"/>
      <c r="D735" s="90"/>
      <c r="E735" s="90"/>
      <c r="F735" s="90"/>
      <c r="G735" s="90"/>
      <c r="H735" s="363"/>
      <c r="I735" s="363"/>
      <c r="J735" s="363"/>
      <c r="K735" s="363"/>
      <c r="L735" s="363"/>
      <c r="M735" s="363"/>
      <c r="N735" s="363"/>
      <c r="O735" s="363"/>
      <c r="P735" s="363"/>
      <c r="Q735" s="363"/>
      <c r="R735" s="363"/>
      <c r="S735" s="363"/>
      <c r="T735" s="363"/>
      <c r="U735" s="363"/>
      <c r="V735" s="363"/>
      <c r="W735" s="363"/>
      <c r="X735" s="363"/>
      <c r="Y735" s="363"/>
      <c r="Z735" s="363"/>
    </row>
    <row r="736" spans="1:26" ht="9.75" customHeight="1">
      <c r="A736" s="90"/>
      <c r="B736" s="90"/>
      <c r="C736" s="90"/>
      <c r="D736" s="90"/>
      <c r="E736" s="90"/>
      <c r="F736" s="90"/>
      <c r="G736" s="90"/>
      <c r="H736" s="363"/>
      <c r="I736" s="363"/>
      <c r="J736" s="363"/>
      <c r="K736" s="363"/>
      <c r="L736" s="363"/>
      <c r="M736" s="363"/>
      <c r="N736" s="363"/>
      <c r="O736" s="363"/>
      <c r="P736" s="363"/>
      <c r="Q736" s="363"/>
      <c r="R736" s="363"/>
      <c r="S736" s="363"/>
      <c r="T736" s="363"/>
      <c r="U736" s="363"/>
      <c r="V736" s="363"/>
      <c r="W736" s="363"/>
      <c r="X736" s="363"/>
      <c r="Y736" s="363"/>
      <c r="Z736" s="363"/>
    </row>
    <row r="737" spans="1:26" ht="9.75" customHeight="1">
      <c r="A737" s="90"/>
      <c r="B737" s="90"/>
      <c r="C737" s="90"/>
      <c r="D737" s="90"/>
      <c r="E737" s="90"/>
      <c r="F737" s="90"/>
      <c r="G737" s="90"/>
      <c r="H737" s="363"/>
      <c r="I737" s="363"/>
      <c r="J737" s="363"/>
      <c r="K737" s="363"/>
      <c r="L737" s="363"/>
      <c r="M737" s="363"/>
      <c r="N737" s="363"/>
      <c r="O737" s="363"/>
      <c r="P737" s="363"/>
      <c r="Q737" s="363"/>
      <c r="R737" s="363"/>
      <c r="S737" s="363"/>
      <c r="T737" s="363"/>
      <c r="U737" s="363"/>
      <c r="V737" s="363"/>
      <c r="W737" s="363"/>
      <c r="X737" s="363"/>
      <c r="Y737" s="363"/>
      <c r="Z737" s="363"/>
    </row>
    <row r="738" spans="1:26" ht="9.75" customHeight="1">
      <c r="A738" s="90"/>
      <c r="B738" s="90"/>
      <c r="C738" s="90"/>
      <c r="D738" s="90"/>
      <c r="E738" s="90"/>
      <c r="F738" s="90"/>
      <c r="G738" s="90"/>
      <c r="H738" s="363"/>
      <c r="I738" s="363"/>
      <c r="J738" s="363"/>
      <c r="K738" s="363"/>
      <c r="L738" s="363"/>
      <c r="M738" s="363"/>
      <c r="N738" s="363"/>
      <c r="O738" s="363"/>
      <c r="P738" s="363"/>
      <c r="Q738" s="363"/>
      <c r="R738" s="363"/>
      <c r="S738" s="363"/>
      <c r="T738" s="363"/>
      <c r="U738" s="363"/>
      <c r="V738" s="363"/>
      <c r="W738" s="363"/>
      <c r="X738" s="363"/>
      <c r="Y738" s="363"/>
      <c r="Z738" s="363"/>
    </row>
    <row r="739" spans="1:26" ht="9.75" customHeight="1">
      <c r="A739" s="90"/>
      <c r="B739" s="90"/>
      <c r="C739" s="90"/>
      <c r="D739" s="90"/>
      <c r="E739" s="90"/>
      <c r="F739" s="90"/>
      <c r="G739" s="90"/>
      <c r="H739" s="363"/>
      <c r="I739" s="363"/>
      <c r="J739" s="363"/>
      <c r="K739" s="363"/>
      <c r="L739" s="363"/>
      <c r="M739" s="363"/>
      <c r="N739" s="363"/>
      <c r="O739" s="363"/>
      <c r="P739" s="363"/>
      <c r="Q739" s="363"/>
      <c r="R739" s="363"/>
      <c r="S739" s="363"/>
      <c r="T739" s="363"/>
      <c r="U739" s="363"/>
      <c r="V739" s="363"/>
      <c r="W739" s="363"/>
      <c r="X739" s="363"/>
      <c r="Y739" s="363"/>
      <c r="Z739" s="363"/>
    </row>
    <row r="740" spans="1:26" ht="9.75" customHeight="1">
      <c r="A740" s="90"/>
      <c r="B740" s="90"/>
      <c r="C740" s="90"/>
      <c r="D740" s="90"/>
      <c r="E740" s="90"/>
      <c r="F740" s="90"/>
      <c r="G740" s="90"/>
      <c r="H740" s="363"/>
      <c r="I740" s="363"/>
      <c r="J740" s="363"/>
      <c r="K740" s="363"/>
      <c r="L740" s="363"/>
      <c r="M740" s="363"/>
      <c r="N740" s="363"/>
      <c r="O740" s="363"/>
      <c r="P740" s="363"/>
      <c r="Q740" s="363"/>
      <c r="R740" s="363"/>
      <c r="S740" s="363"/>
      <c r="T740" s="363"/>
      <c r="U740" s="363"/>
      <c r="V740" s="363"/>
      <c r="W740" s="363"/>
      <c r="X740" s="363"/>
      <c r="Y740" s="363"/>
      <c r="Z740" s="363"/>
    </row>
    <row r="741" spans="1:26" ht="9.75" customHeight="1">
      <c r="A741" s="90"/>
      <c r="B741" s="90"/>
      <c r="C741" s="90"/>
      <c r="D741" s="90"/>
      <c r="E741" s="90"/>
      <c r="F741" s="90"/>
      <c r="G741" s="90"/>
      <c r="H741" s="363"/>
      <c r="I741" s="363"/>
      <c r="J741" s="363"/>
      <c r="K741" s="363"/>
      <c r="L741" s="363"/>
      <c r="M741" s="363"/>
      <c r="N741" s="363"/>
      <c r="O741" s="363"/>
      <c r="P741" s="363"/>
      <c r="Q741" s="363"/>
      <c r="R741" s="363"/>
      <c r="S741" s="363"/>
      <c r="T741" s="363"/>
      <c r="U741" s="363"/>
      <c r="V741" s="363"/>
      <c r="W741" s="363"/>
      <c r="X741" s="363"/>
      <c r="Y741" s="363"/>
      <c r="Z741" s="363"/>
    </row>
    <row r="742" spans="1:26" ht="9.75" customHeight="1">
      <c r="A742" s="90"/>
      <c r="B742" s="90"/>
      <c r="C742" s="90"/>
      <c r="D742" s="90"/>
      <c r="E742" s="90"/>
      <c r="F742" s="90"/>
      <c r="G742" s="90"/>
      <c r="H742" s="363"/>
      <c r="I742" s="363"/>
      <c r="J742" s="363"/>
      <c r="K742" s="363"/>
      <c r="L742" s="363"/>
      <c r="M742" s="363"/>
      <c r="N742" s="363"/>
      <c r="O742" s="363"/>
      <c r="P742" s="363"/>
      <c r="Q742" s="363"/>
      <c r="R742" s="363"/>
      <c r="S742" s="363"/>
      <c r="T742" s="363"/>
      <c r="U742" s="363"/>
      <c r="V742" s="363"/>
      <c r="W742" s="363"/>
      <c r="X742" s="363"/>
      <c r="Y742" s="363"/>
      <c r="Z742" s="363"/>
    </row>
    <row r="743" spans="1:26" ht="9.75" customHeight="1">
      <c r="A743" s="90"/>
      <c r="B743" s="90"/>
      <c r="C743" s="90"/>
      <c r="D743" s="90"/>
      <c r="E743" s="90"/>
      <c r="F743" s="90"/>
      <c r="G743" s="90"/>
      <c r="H743" s="363"/>
      <c r="I743" s="363"/>
      <c r="J743" s="363"/>
      <c r="K743" s="363"/>
      <c r="L743" s="363"/>
      <c r="M743" s="363"/>
      <c r="N743" s="363"/>
      <c r="O743" s="363"/>
      <c r="P743" s="363"/>
      <c r="Q743" s="363"/>
      <c r="R743" s="363"/>
      <c r="S743" s="363"/>
      <c r="T743" s="363"/>
      <c r="U743" s="363"/>
      <c r="V743" s="363"/>
      <c r="W743" s="363"/>
      <c r="X743" s="363"/>
      <c r="Y743" s="363"/>
      <c r="Z743" s="363"/>
    </row>
    <row r="744" spans="1:26" ht="9.75" customHeight="1">
      <c r="A744" s="90"/>
      <c r="B744" s="90"/>
      <c r="C744" s="90"/>
      <c r="D744" s="90"/>
      <c r="E744" s="90"/>
      <c r="F744" s="90"/>
      <c r="G744" s="90"/>
      <c r="H744" s="363"/>
      <c r="I744" s="363"/>
      <c r="J744" s="363"/>
      <c r="K744" s="363"/>
      <c r="L744" s="363"/>
      <c r="M744" s="363"/>
      <c r="N744" s="363"/>
      <c r="O744" s="363"/>
      <c r="P744" s="363"/>
      <c r="Q744" s="363"/>
      <c r="R744" s="363"/>
      <c r="S744" s="363"/>
      <c r="T744" s="363"/>
      <c r="U744" s="363"/>
      <c r="V744" s="363"/>
      <c r="W744" s="363"/>
      <c r="X744" s="363"/>
      <c r="Y744" s="363"/>
      <c r="Z744" s="363"/>
    </row>
    <row r="745" spans="1:26" ht="9.75" customHeight="1">
      <c r="A745" s="90"/>
      <c r="B745" s="90"/>
      <c r="C745" s="90"/>
      <c r="D745" s="90"/>
      <c r="E745" s="90"/>
      <c r="F745" s="90"/>
      <c r="G745" s="90"/>
      <c r="H745" s="363"/>
      <c r="I745" s="363"/>
      <c r="J745" s="363"/>
      <c r="K745" s="363"/>
      <c r="L745" s="363"/>
      <c r="M745" s="363"/>
      <c r="N745" s="363"/>
      <c r="O745" s="363"/>
      <c r="P745" s="363"/>
      <c r="Q745" s="363"/>
      <c r="R745" s="363"/>
      <c r="S745" s="363"/>
      <c r="T745" s="363"/>
      <c r="U745" s="363"/>
      <c r="V745" s="363"/>
      <c r="W745" s="363"/>
      <c r="X745" s="363"/>
      <c r="Y745" s="363"/>
      <c r="Z745" s="363"/>
    </row>
    <row r="746" spans="1:26" ht="9.75" customHeight="1">
      <c r="A746" s="90"/>
      <c r="B746" s="90"/>
      <c r="C746" s="90"/>
      <c r="D746" s="90"/>
      <c r="E746" s="90"/>
      <c r="F746" s="90"/>
      <c r="G746" s="90"/>
      <c r="H746" s="363"/>
      <c r="I746" s="363"/>
      <c r="J746" s="363"/>
      <c r="K746" s="363"/>
      <c r="L746" s="363"/>
      <c r="M746" s="363"/>
      <c r="N746" s="363"/>
      <c r="O746" s="363"/>
      <c r="P746" s="363"/>
      <c r="Q746" s="363"/>
      <c r="R746" s="363"/>
      <c r="S746" s="363"/>
      <c r="T746" s="363"/>
      <c r="U746" s="363"/>
      <c r="V746" s="363"/>
      <c r="W746" s="363"/>
      <c r="X746" s="363"/>
      <c r="Y746" s="363"/>
      <c r="Z746" s="363"/>
    </row>
    <row r="747" spans="1:26" ht="9.75" customHeight="1">
      <c r="A747" s="90"/>
      <c r="B747" s="90"/>
      <c r="C747" s="90"/>
      <c r="D747" s="90"/>
      <c r="E747" s="90"/>
      <c r="F747" s="90"/>
      <c r="G747" s="90"/>
      <c r="H747" s="363"/>
      <c r="I747" s="363"/>
      <c r="J747" s="363"/>
      <c r="K747" s="363"/>
      <c r="L747" s="363"/>
      <c r="M747" s="363"/>
      <c r="N747" s="363"/>
      <c r="O747" s="363"/>
      <c r="P747" s="363"/>
      <c r="Q747" s="363"/>
      <c r="R747" s="363"/>
      <c r="S747" s="363"/>
      <c r="T747" s="363"/>
      <c r="U747" s="363"/>
      <c r="V747" s="363"/>
      <c r="W747" s="363"/>
      <c r="X747" s="363"/>
      <c r="Y747" s="363"/>
      <c r="Z747" s="363"/>
    </row>
    <row r="748" spans="1:26" ht="9.75" customHeight="1">
      <c r="A748" s="90"/>
      <c r="B748" s="90"/>
      <c r="C748" s="90"/>
      <c r="D748" s="90"/>
      <c r="E748" s="90"/>
      <c r="F748" s="90"/>
      <c r="G748" s="90"/>
      <c r="H748" s="363"/>
      <c r="I748" s="363"/>
      <c r="J748" s="363"/>
      <c r="K748" s="363"/>
      <c r="L748" s="363"/>
      <c r="M748" s="363"/>
      <c r="N748" s="363"/>
      <c r="O748" s="363"/>
      <c r="P748" s="363"/>
      <c r="Q748" s="363"/>
      <c r="R748" s="363"/>
      <c r="S748" s="363"/>
      <c r="T748" s="363"/>
      <c r="U748" s="363"/>
      <c r="V748" s="363"/>
      <c r="W748" s="363"/>
      <c r="X748" s="363"/>
      <c r="Y748" s="363"/>
      <c r="Z748" s="363"/>
    </row>
    <row r="749" spans="1:26" ht="9.75" customHeight="1">
      <c r="A749" s="90"/>
      <c r="B749" s="90"/>
      <c r="C749" s="90"/>
      <c r="D749" s="90"/>
      <c r="E749" s="90"/>
      <c r="F749" s="90"/>
      <c r="G749" s="90"/>
      <c r="H749" s="363"/>
      <c r="I749" s="363"/>
      <c r="J749" s="363"/>
      <c r="K749" s="363"/>
      <c r="L749" s="363"/>
      <c r="M749" s="363"/>
      <c r="N749" s="363"/>
      <c r="O749" s="363"/>
      <c r="P749" s="363"/>
      <c r="Q749" s="363"/>
      <c r="R749" s="363"/>
      <c r="S749" s="363"/>
      <c r="T749" s="363"/>
      <c r="U749" s="363"/>
      <c r="V749" s="363"/>
      <c r="W749" s="363"/>
      <c r="X749" s="363"/>
      <c r="Y749" s="363"/>
      <c r="Z749" s="363"/>
    </row>
    <row r="750" spans="1:26" ht="9.75" customHeight="1">
      <c r="A750" s="90"/>
      <c r="B750" s="90"/>
      <c r="C750" s="90"/>
      <c r="D750" s="90"/>
      <c r="E750" s="90"/>
      <c r="F750" s="90"/>
      <c r="G750" s="90"/>
      <c r="H750" s="363"/>
      <c r="I750" s="363"/>
      <c r="J750" s="363"/>
      <c r="K750" s="363"/>
      <c r="L750" s="363"/>
      <c r="M750" s="363"/>
      <c r="N750" s="363"/>
      <c r="O750" s="363"/>
      <c r="P750" s="363"/>
      <c r="Q750" s="363"/>
      <c r="R750" s="363"/>
      <c r="S750" s="363"/>
      <c r="T750" s="363"/>
      <c r="U750" s="363"/>
      <c r="V750" s="363"/>
      <c r="W750" s="363"/>
      <c r="X750" s="363"/>
      <c r="Y750" s="363"/>
      <c r="Z750" s="363"/>
    </row>
    <row r="751" spans="1:26" ht="9.75" customHeight="1">
      <c r="A751" s="90"/>
      <c r="B751" s="90"/>
      <c r="C751" s="90"/>
      <c r="D751" s="90"/>
      <c r="E751" s="90"/>
      <c r="F751" s="90"/>
      <c r="G751" s="90"/>
      <c r="H751" s="363"/>
      <c r="I751" s="363"/>
      <c r="J751" s="363"/>
      <c r="K751" s="363"/>
      <c r="L751" s="363"/>
      <c r="M751" s="363"/>
      <c r="N751" s="363"/>
      <c r="O751" s="363"/>
      <c r="P751" s="363"/>
      <c r="Q751" s="363"/>
      <c r="R751" s="363"/>
      <c r="S751" s="363"/>
      <c r="T751" s="363"/>
      <c r="U751" s="363"/>
      <c r="V751" s="363"/>
      <c r="W751" s="363"/>
      <c r="X751" s="363"/>
      <c r="Y751" s="363"/>
      <c r="Z751" s="363"/>
    </row>
    <row r="752" spans="1:26" ht="9.75" customHeight="1">
      <c r="A752" s="90"/>
      <c r="B752" s="90"/>
      <c r="C752" s="90"/>
      <c r="D752" s="90"/>
      <c r="E752" s="90"/>
      <c r="F752" s="90"/>
      <c r="G752" s="90"/>
      <c r="H752" s="363"/>
      <c r="I752" s="363"/>
      <c r="J752" s="363"/>
      <c r="K752" s="363"/>
      <c r="L752" s="363"/>
      <c r="M752" s="363"/>
      <c r="N752" s="363"/>
      <c r="O752" s="363"/>
      <c r="P752" s="363"/>
      <c r="Q752" s="363"/>
      <c r="R752" s="363"/>
      <c r="S752" s="363"/>
      <c r="T752" s="363"/>
      <c r="U752" s="363"/>
      <c r="V752" s="363"/>
      <c r="W752" s="363"/>
      <c r="X752" s="363"/>
      <c r="Y752" s="363"/>
      <c r="Z752" s="363"/>
    </row>
    <row r="753" spans="1:26" ht="9.75" customHeight="1">
      <c r="A753" s="90"/>
      <c r="B753" s="90"/>
      <c r="C753" s="90"/>
      <c r="D753" s="90"/>
      <c r="E753" s="90"/>
      <c r="F753" s="90"/>
      <c r="G753" s="90"/>
      <c r="H753" s="363"/>
      <c r="I753" s="363"/>
      <c r="J753" s="363"/>
      <c r="K753" s="363"/>
      <c r="L753" s="363"/>
      <c r="M753" s="363"/>
      <c r="N753" s="363"/>
      <c r="O753" s="363"/>
      <c r="P753" s="363"/>
      <c r="Q753" s="363"/>
      <c r="R753" s="363"/>
      <c r="S753" s="363"/>
      <c r="T753" s="363"/>
      <c r="U753" s="363"/>
      <c r="V753" s="363"/>
      <c r="W753" s="363"/>
      <c r="X753" s="363"/>
      <c r="Y753" s="363"/>
      <c r="Z753" s="363"/>
    </row>
    <row r="754" spans="1:26" ht="9.75" customHeight="1">
      <c r="A754" s="90"/>
      <c r="B754" s="90"/>
      <c r="C754" s="90"/>
      <c r="D754" s="90"/>
      <c r="E754" s="90"/>
      <c r="F754" s="90"/>
      <c r="G754" s="90"/>
      <c r="H754" s="363"/>
      <c r="I754" s="363"/>
      <c r="J754" s="363"/>
      <c r="K754" s="363"/>
      <c r="L754" s="363"/>
      <c r="M754" s="363"/>
      <c r="N754" s="363"/>
      <c r="O754" s="363"/>
      <c r="P754" s="363"/>
      <c r="Q754" s="363"/>
      <c r="R754" s="363"/>
      <c r="S754" s="363"/>
      <c r="T754" s="363"/>
      <c r="U754" s="363"/>
      <c r="V754" s="363"/>
      <c r="W754" s="363"/>
      <c r="X754" s="363"/>
      <c r="Y754" s="363"/>
      <c r="Z754" s="363"/>
    </row>
    <row r="755" spans="1:26" ht="9.75" customHeight="1">
      <c r="A755" s="90"/>
      <c r="B755" s="90"/>
      <c r="C755" s="90"/>
      <c r="D755" s="90"/>
      <c r="E755" s="90"/>
      <c r="F755" s="90"/>
      <c r="G755" s="90"/>
      <c r="H755" s="363"/>
      <c r="I755" s="363"/>
      <c r="J755" s="363"/>
      <c r="K755" s="363"/>
      <c r="L755" s="363"/>
      <c r="M755" s="363"/>
      <c r="N755" s="363"/>
      <c r="O755" s="363"/>
      <c r="P755" s="363"/>
      <c r="Q755" s="363"/>
      <c r="R755" s="363"/>
      <c r="S755" s="363"/>
      <c r="T755" s="363"/>
      <c r="U755" s="363"/>
      <c r="V755" s="363"/>
      <c r="W755" s="363"/>
      <c r="X755" s="363"/>
      <c r="Y755" s="363"/>
      <c r="Z755" s="363"/>
    </row>
    <row r="756" spans="1:26" ht="9.75" customHeight="1">
      <c r="A756" s="90"/>
      <c r="B756" s="90"/>
      <c r="C756" s="90"/>
      <c r="D756" s="90"/>
      <c r="E756" s="90"/>
      <c r="F756" s="90"/>
      <c r="G756" s="90"/>
      <c r="H756" s="363"/>
      <c r="I756" s="363"/>
      <c r="J756" s="363"/>
      <c r="K756" s="363"/>
      <c r="L756" s="363"/>
      <c r="M756" s="363"/>
      <c r="N756" s="363"/>
      <c r="O756" s="363"/>
      <c r="P756" s="363"/>
      <c r="Q756" s="363"/>
      <c r="R756" s="363"/>
      <c r="S756" s="363"/>
      <c r="T756" s="363"/>
      <c r="U756" s="363"/>
      <c r="V756" s="363"/>
      <c r="W756" s="363"/>
      <c r="X756" s="363"/>
      <c r="Y756" s="363"/>
      <c r="Z756" s="363"/>
    </row>
    <row r="757" spans="1:26" ht="9.75" customHeight="1">
      <c r="A757" s="90"/>
      <c r="B757" s="90"/>
      <c r="C757" s="90"/>
      <c r="D757" s="90"/>
      <c r="E757" s="90"/>
      <c r="F757" s="90"/>
      <c r="G757" s="90"/>
      <c r="H757" s="363"/>
      <c r="I757" s="363"/>
      <c r="J757" s="363"/>
      <c r="K757" s="363"/>
      <c r="L757" s="363"/>
      <c r="M757" s="363"/>
      <c r="N757" s="363"/>
      <c r="O757" s="363"/>
      <c r="P757" s="363"/>
      <c r="Q757" s="363"/>
      <c r="R757" s="363"/>
      <c r="S757" s="363"/>
      <c r="T757" s="363"/>
      <c r="U757" s="363"/>
      <c r="V757" s="363"/>
      <c r="W757" s="363"/>
      <c r="X757" s="363"/>
      <c r="Y757" s="363"/>
      <c r="Z757" s="363"/>
    </row>
    <row r="758" spans="1:26" ht="9.75" customHeight="1">
      <c r="A758" s="90"/>
      <c r="B758" s="90"/>
      <c r="C758" s="90"/>
      <c r="D758" s="90"/>
      <c r="E758" s="90"/>
      <c r="F758" s="90"/>
      <c r="G758" s="90"/>
      <c r="H758" s="363"/>
      <c r="I758" s="363"/>
      <c r="J758" s="363"/>
      <c r="K758" s="363"/>
      <c r="L758" s="363"/>
      <c r="M758" s="363"/>
      <c r="N758" s="363"/>
      <c r="O758" s="363"/>
      <c r="P758" s="363"/>
      <c r="Q758" s="363"/>
      <c r="R758" s="363"/>
      <c r="S758" s="363"/>
      <c r="T758" s="363"/>
      <c r="U758" s="363"/>
      <c r="V758" s="363"/>
      <c r="W758" s="363"/>
      <c r="X758" s="363"/>
      <c r="Y758" s="363"/>
      <c r="Z758" s="363"/>
    </row>
    <row r="759" spans="1:26" ht="9.75" customHeight="1">
      <c r="A759" s="90"/>
      <c r="B759" s="90"/>
      <c r="C759" s="90"/>
      <c r="D759" s="90"/>
      <c r="E759" s="90"/>
      <c r="F759" s="90"/>
      <c r="G759" s="90"/>
      <c r="H759" s="363"/>
      <c r="I759" s="363"/>
      <c r="J759" s="363"/>
      <c r="K759" s="363"/>
      <c r="L759" s="363"/>
      <c r="M759" s="363"/>
      <c r="N759" s="363"/>
      <c r="O759" s="363"/>
      <c r="P759" s="363"/>
      <c r="Q759" s="363"/>
      <c r="R759" s="363"/>
      <c r="S759" s="363"/>
      <c r="T759" s="363"/>
      <c r="U759" s="363"/>
      <c r="V759" s="363"/>
      <c r="W759" s="363"/>
      <c r="X759" s="363"/>
      <c r="Y759" s="363"/>
      <c r="Z759" s="363"/>
    </row>
    <row r="760" spans="1:26" ht="9.75" customHeight="1">
      <c r="A760" s="90"/>
      <c r="B760" s="90"/>
      <c r="C760" s="90"/>
      <c r="D760" s="90"/>
      <c r="E760" s="90"/>
      <c r="F760" s="90"/>
      <c r="G760" s="90"/>
      <c r="H760" s="363"/>
      <c r="I760" s="363"/>
      <c r="J760" s="363"/>
      <c r="K760" s="363"/>
      <c r="L760" s="363"/>
      <c r="M760" s="363"/>
      <c r="N760" s="363"/>
      <c r="O760" s="363"/>
      <c r="P760" s="363"/>
      <c r="Q760" s="363"/>
      <c r="R760" s="363"/>
      <c r="S760" s="363"/>
      <c r="T760" s="363"/>
      <c r="U760" s="363"/>
      <c r="V760" s="363"/>
      <c r="W760" s="363"/>
      <c r="X760" s="363"/>
      <c r="Y760" s="363"/>
      <c r="Z760" s="363"/>
    </row>
    <row r="761" spans="1:26" ht="9.75" customHeight="1">
      <c r="A761" s="90"/>
      <c r="B761" s="90"/>
      <c r="C761" s="90"/>
      <c r="D761" s="90"/>
      <c r="E761" s="90"/>
      <c r="F761" s="90"/>
      <c r="G761" s="90"/>
      <c r="H761" s="363"/>
      <c r="I761" s="363"/>
      <c r="J761" s="363"/>
      <c r="K761" s="363"/>
      <c r="L761" s="363"/>
      <c r="M761" s="363"/>
      <c r="N761" s="363"/>
      <c r="O761" s="363"/>
      <c r="P761" s="363"/>
      <c r="Q761" s="363"/>
      <c r="R761" s="363"/>
      <c r="S761" s="363"/>
      <c r="T761" s="363"/>
      <c r="U761" s="363"/>
      <c r="V761" s="363"/>
      <c r="W761" s="363"/>
      <c r="X761" s="363"/>
      <c r="Y761" s="363"/>
      <c r="Z761" s="363"/>
    </row>
    <row r="762" spans="1:26" ht="9.75" customHeight="1">
      <c r="A762" s="90"/>
      <c r="B762" s="90"/>
      <c r="C762" s="90"/>
      <c r="D762" s="90"/>
      <c r="E762" s="90"/>
      <c r="F762" s="90"/>
      <c r="G762" s="90"/>
      <c r="H762" s="363"/>
      <c r="I762" s="363"/>
      <c r="J762" s="363"/>
      <c r="K762" s="363"/>
      <c r="L762" s="363"/>
      <c r="M762" s="363"/>
      <c r="N762" s="363"/>
      <c r="O762" s="363"/>
      <c r="P762" s="363"/>
      <c r="Q762" s="363"/>
      <c r="R762" s="363"/>
      <c r="S762" s="363"/>
      <c r="T762" s="363"/>
      <c r="U762" s="363"/>
      <c r="V762" s="363"/>
      <c r="W762" s="363"/>
      <c r="X762" s="363"/>
      <c r="Y762" s="363"/>
      <c r="Z762" s="363"/>
    </row>
    <row r="763" spans="1:26" ht="9.75" customHeight="1">
      <c r="A763" s="90"/>
      <c r="B763" s="90"/>
      <c r="C763" s="90"/>
      <c r="D763" s="90"/>
      <c r="E763" s="90"/>
      <c r="F763" s="90"/>
      <c r="G763" s="90"/>
      <c r="H763" s="363"/>
      <c r="I763" s="363"/>
      <c r="J763" s="363"/>
      <c r="K763" s="363"/>
      <c r="L763" s="363"/>
      <c r="M763" s="363"/>
      <c r="N763" s="363"/>
      <c r="O763" s="363"/>
      <c r="P763" s="363"/>
      <c r="Q763" s="363"/>
      <c r="R763" s="363"/>
      <c r="S763" s="363"/>
      <c r="T763" s="363"/>
      <c r="U763" s="363"/>
      <c r="V763" s="363"/>
      <c r="W763" s="363"/>
      <c r="X763" s="363"/>
      <c r="Y763" s="363"/>
      <c r="Z763" s="363"/>
    </row>
    <row r="764" spans="1:26" ht="9.75" customHeight="1">
      <c r="A764" s="90"/>
      <c r="B764" s="90"/>
      <c r="C764" s="90"/>
      <c r="D764" s="90"/>
      <c r="E764" s="90"/>
      <c r="F764" s="90"/>
      <c r="G764" s="90"/>
      <c r="H764" s="363"/>
      <c r="I764" s="363"/>
      <c r="J764" s="363"/>
      <c r="K764" s="363"/>
      <c r="L764" s="363"/>
      <c r="M764" s="363"/>
      <c r="N764" s="363"/>
      <c r="O764" s="363"/>
      <c r="P764" s="363"/>
      <c r="Q764" s="363"/>
      <c r="R764" s="363"/>
      <c r="S764" s="363"/>
      <c r="T764" s="363"/>
      <c r="U764" s="363"/>
      <c r="V764" s="363"/>
      <c r="W764" s="363"/>
      <c r="X764" s="363"/>
      <c r="Y764" s="363"/>
      <c r="Z764" s="363"/>
    </row>
    <row r="765" spans="1:26" ht="9.75" customHeight="1">
      <c r="A765" s="90"/>
      <c r="B765" s="90"/>
      <c r="C765" s="90"/>
      <c r="D765" s="90"/>
      <c r="E765" s="90"/>
      <c r="F765" s="90"/>
      <c r="G765" s="90"/>
      <c r="H765" s="363"/>
      <c r="I765" s="363"/>
      <c r="J765" s="363"/>
      <c r="K765" s="363"/>
      <c r="L765" s="363"/>
      <c r="M765" s="363"/>
      <c r="N765" s="363"/>
      <c r="O765" s="363"/>
      <c r="P765" s="363"/>
      <c r="Q765" s="363"/>
      <c r="R765" s="363"/>
      <c r="S765" s="363"/>
      <c r="T765" s="363"/>
      <c r="U765" s="363"/>
      <c r="V765" s="363"/>
      <c r="W765" s="363"/>
      <c r="X765" s="363"/>
      <c r="Y765" s="363"/>
      <c r="Z765" s="363"/>
    </row>
    <row r="766" spans="1:26" ht="9.75" customHeight="1">
      <c r="A766" s="90"/>
      <c r="B766" s="90"/>
      <c r="C766" s="90"/>
      <c r="D766" s="90"/>
      <c r="E766" s="90"/>
      <c r="F766" s="90"/>
      <c r="G766" s="90"/>
      <c r="H766" s="363"/>
      <c r="I766" s="363"/>
      <c r="J766" s="363"/>
      <c r="K766" s="363"/>
      <c r="L766" s="363"/>
      <c r="M766" s="363"/>
      <c r="N766" s="363"/>
      <c r="O766" s="363"/>
      <c r="P766" s="363"/>
      <c r="Q766" s="363"/>
      <c r="R766" s="363"/>
      <c r="S766" s="363"/>
      <c r="T766" s="363"/>
      <c r="U766" s="363"/>
      <c r="V766" s="363"/>
      <c r="W766" s="363"/>
      <c r="X766" s="363"/>
      <c r="Y766" s="363"/>
      <c r="Z766" s="363"/>
    </row>
    <row r="767" spans="1:26" ht="9.75" customHeight="1">
      <c r="A767" s="90"/>
      <c r="B767" s="90"/>
      <c r="C767" s="90"/>
      <c r="D767" s="90"/>
      <c r="E767" s="90"/>
      <c r="F767" s="90"/>
      <c r="G767" s="90"/>
      <c r="H767" s="363"/>
      <c r="I767" s="363"/>
      <c r="J767" s="363"/>
      <c r="K767" s="363"/>
      <c r="L767" s="363"/>
      <c r="M767" s="363"/>
      <c r="N767" s="363"/>
      <c r="O767" s="363"/>
      <c r="P767" s="363"/>
      <c r="Q767" s="363"/>
      <c r="R767" s="363"/>
      <c r="S767" s="363"/>
      <c r="T767" s="363"/>
      <c r="U767" s="363"/>
      <c r="V767" s="363"/>
      <c r="W767" s="363"/>
      <c r="X767" s="363"/>
      <c r="Y767" s="363"/>
      <c r="Z767" s="363"/>
    </row>
    <row r="768" spans="1:26" ht="9.75" customHeight="1">
      <c r="A768" s="90"/>
      <c r="B768" s="90"/>
      <c r="C768" s="90"/>
      <c r="D768" s="90"/>
      <c r="E768" s="90"/>
      <c r="F768" s="90"/>
      <c r="G768" s="90"/>
      <c r="H768" s="363"/>
      <c r="I768" s="363"/>
      <c r="J768" s="363"/>
      <c r="K768" s="363"/>
      <c r="L768" s="363"/>
      <c r="M768" s="363"/>
      <c r="N768" s="363"/>
      <c r="O768" s="363"/>
      <c r="P768" s="363"/>
      <c r="Q768" s="363"/>
      <c r="R768" s="363"/>
      <c r="S768" s="363"/>
      <c r="T768" s="363"/>
      <c r="U768" s="363"/>
      <c r="V768" s="363"/>
      <c r="W768" s="363"/>
      <c r="X768" s="363"/>
      <c r="Y768" s="363"/>
      <c r="Z768" s="363"/>
    </row>
    <row r="769" spans="1:26" ht="9.75" customHeight="1">
      <c r="A769" s="90"/>
      <c r="B769" s="90"/>
      <c r="C769" s="90"/>
      <c r="D769" s="90"/>
      <c r="E769" s="90"/>
      <c r="F769" s="90"/>
      <c r="G769" s="90"/>
      <c r="H769" s="363"/>
      <c r="I769" s="363"/>
      <c r="J769" s="363"/>
      <c r="K769" s="363"/>
      <c r="L769" s="363"/>
      <c r="M769" s="363"/>
      <c r="N769" s="363"/>
      <c r="O769" s="363"/>
      <c r="P769" s="363"/>
      <c r="Q769" s="363"/>
      <c r="R769" s="363"/>
      <c r="S769" s="363"/>
      <c r="T769" s="363"/>
      <c r="U769" s="363"/>
      <c r="V769" s="363"/>
      <c r="W769" s="363"/>
      <c r="X769" s="363"/>
      <c r="Y769" s="363"/>
      <c r="Z769" s="363"/>
    </row>
    <row r="770" spans="1:26" ht="9.75" customHeight="1">
      <c r="A770" s="90"/>
      <c r="B770" s="90"/>
      <c r="C770" s="90"/>
      <c r="D770" s="90"/>
      <c r="E770" s="90"/>
      <c r="F770" s="90"/>
      <c r="G770" s="90"/>
      <c r="H770" s="363"/>
      <c r="I770" s="363"/>
      <c r="J770" s="363"/>
      <c r="K770" s="363"/>
      <c r="L770" s="363"/>
      <c r="M770" s="363"/>
      <c r="N770" s="363"/>
      <c r="O770" s="363"/>
      <c r="P770" s="363"/>
      <c r="Q770" s="363"/>
      <c r="R770" s="363"/>
      <c r="S770" s="363"/>
      <c r="T770" s="363"/>
      <c r="U770" s="363"/>
      <c r="V770" s="363"/>
      <c r="W770" s="363"/>
      <c r="X770" s="363"/>
      <c r="Y770" s="363"/>
      <c r="Z770" s="363"/>
    </row>
    <row r="771" spans="1:26" ht="9.75" customHeight="1">
      <c r="A771" s="90"/>
      <c r="B771" s="90"/>
      <c r="C771" s="90"/>
      <c r="D771" s="90"/>
      <c r="E771" s="90"/>
      <c r="F771" s="90"/>
      <c r="G771" s="90"/>
      <c r="H771" s="363"/>
      <c r="I771" s="363"/>
      <c r="J771" s="363"/>
      <c r="K771" s="363"/>
      <c r="L771" s="363"/>
      <c r="M771" s="363"/>
      <c r="N771" s="363"/>
      <c r="O771" s="363"/>
      <c r="P771" s="363"/>
      <c r="Q771" s="363"/>
      <c r="R771" s="363"/>
      <c r="S771" s="363"/>
      <c r="T771" s="363"/>
      <c r="U771" s="363"/>
      <c r="V771" s="363"/>
      <c r="W771" s="363"/>
      <c r="X771" s="363"/>
      <c r="Y771" s="363"/>
      <c r="Z771" s="363"/>
    </row>
    <row r="772" spans="1:26" ht="9.75" customHeight="1">
      <c r="A772" s="90"/>
      <c r="B772" s="90"/>
      <c r="C772" s="90"/>
      <c r="D772" s="90"/>
      <c r="E772" s="90"/>
      <c r="F772" s="90"/>
      <c r="G772" s="90"/>
      <c r="H772" s="363"/>
      <c r="I772" s="363"/>
      <c r="J772" s="363"/>
      <c r="K772" s="363"/>
      <c r="L772" s="363"/>
      <c r="M772" s="363"/>
      <c r="N772" s="363"/>
      <c r="O772" s="363"/>
      <c r="P772" s="363"/>
      <c r="Q772" s="363"/>
      <c r="R772" s="363"/>
      <c r="S772" s="363"/>
      <c r="T772" s="363"/>
      <c r="U772" s="363"/>
      <c r="V772" s="363"/>
      <c r="W772" s="363"/>
      <c r="X772" s="363"/>
      <c r="Y772" s="363"/>
      <c r="Z772" s="363"/>
    </row>
    <row r="773" spans="1:26" ht="9.75" customHeight="1">
      <c r="A773" s="90"/>
      <c r="B773" s="90"/>
      <c r="C773" s="90"/>
      <c r="D773" s="90"/>
      <c r="E773" s="90"/>
      <c r="F773" s="90"/>
      <c r="G773" s="90"/>
      <c r="H773" s="363"/>
      <c r="I773" s="363"/>
      <c r="J773" s="363"/>
      <c r="K773" s="363"/>
      <c r="L773" s="363"/>
      <c r="M773" s="363"/>
      <c r="N773" s="363"/>
      <c r="O773" s="363"/>
      <c r="P773" s="363"/>
      <c r="Q773" s="363"/>
      <c r="R773" s="363"/>
      <c r="S773" s="363"/>
      <c r="T773" s="363"/>
      <c r="U773" s="363"/>
      <c r="V773" s="363"/>
      <c r="W773" s="363"/>
      <c r="X773" s="363"/>
      <c r="Y773" s="363"/>
      <c r="Z773" s="363"/>
    </row>
    <row r="774" spans="1:26" ht="9.75" customHeight="1">
      <c r="A774" s="90"/>
      <c r="B774" s="90"/>
      <c r="C774" s="90"/>
      <c r="D774" s="90"/>
      <c r="E774" s="90"/>
      <c r="F774" s="90"/>
      <c r="G774" s="90"/>
      <c r="H774" s="363"/>
      <c r="I774" s="363"/>
      <c r="J774" s="363"/>
      <c r="K774" s="363"/>
      <c r="L774" s="363"/>
      <c r="M774" s="363"/>
      <c r="N774" s="363"/>
      <c r="O774" s="363"/>
      <c r="P774" s="363"/>
      <c r="Q774" s="363"/>
      <c r="R774" s="363"/>
      <c r="S774" s="363"/>
      <c r="T774" s="363"/>
      <c r="U774" s="363"/>
      <c r="V774" s="363"/>
      <c r="W774" s="363"/>
      <c r="X774" s="363"/>
      <c r="Y774" s="363"/>
      <c r="Z774" s="363"/>
    </row>
    <row r="775" spans="1:26" ht="9.75" customHeight="1">
      <c r="A775" s="90"/>
      <c r="B775" s="90"/>
      <c r="C775" s="90"/>
      <c r="D775" s="90"/>
      <c r="E775" s="90"/>
      <c r="F775" s="90"/>
      <c r="G775" s="90"/>
      <c r="H775" s="363"/>
      <c r="I775" s="363"/>
      <c r="J775" s="363"/>
      <c r="K775" s="363"/>
      <c r="L775" s="363"/>
      <c r="M775" s="363"/>
      <c r="N775" s="363"/>
      <c r="O775" s="363"/>
      <c r="P775" s="363"/>
      <c r="Q775" s="363"/>
      <c r="R775" s="363"/>
      <c r="S775" s="363"/>
      <c r="T775" s="363"/>
      <c r="U775" s="363"/>
      <c r="V775" s="363"/>
      <c r="W775" s="363"/>
      <c r="X775" s="363"/>
      <c r="Y775" s="363"/>
      <c r="Z775" s="363"/>
    </row>
    <row r="776" spans="1:26" ht="9.75" customHeight="1">
      <c r="A776" s="90"/>
      <c r="B776" s="90"/>
      <c r="C776" s="90"/>
      <c r="D776" s="90"/>
      <c r="E776" s="90"/>
      <c r="F776" s="90"/>
      <c r="G776" s="90"/>
      <c r="H776" s="363"/>
      <c r="I776" s="363"/>
      <c r="J776" s="363"/>
      <c r="K776" s="363"/>
      <c r="L776" s="363"/>
      <c r="M776" s="363"/>
      <c r="N776" s="363"/>
      <c r="O776" s="363"/>
      <c r="P776" s="363"/>
      <c r="Q776" s="363"/>
      <c r="R776" s="363"/>
      <c r="S776" s="363"/>
      <c r="T776" s="363"/>
      <c r="U776" s="363"/>
      <c r="V776" s="363"/>
      <c r="W776" s="363"/>
      <c r="X776" s="363"/>
      <c r="Y776" s="363"/>
      <c r="Z776" s="363"/>
    </row>
    <row r="777" spans="1:26" ht="9.75" customHeight="1">
      <c r="A777" s="90"/>
      <c r="B777" s="90"/>
      <c r="C777" s="90"/>
      <c r="D777" s="90"/>
      <c r="E777" s="90"/>
      <c r="F777" s="90"/>
      <c r="G777" s="90"/>
      <c r="H777" s="363"/>
      <c r="I777" s="363"/>
      <c r="J777" s="363"/>
      <c r="K777" s="363"/>
      <c r="L777" s="363"/>
      <c r="M777" s="363"/>
      <c r="N777" s="363"/>
      <c r="O777" s="363"/>
      <c r="P777" s="363"/>
      <c r="Q777" s="363"/>
      <c r="R777" s="363"/>
      <c r="S777" s="363"/>
      <c r="T777" s="363"/>
      <c r="U777" s="363"/>
      <c r="V777" s="363"/>
      <c r="W777" s="363"/>
      <c r="X777" s="363"/>
      <c r="Y777" s="363"/>
      <c r="Z777" s="363"/>
    </row>
    <row r="778" spans="1:26" ht="9.75" customHeight="1">
      <c r="A778" s="90"/>
      <c r="B778" s="90"/>
      <c r="C778" s="90"/>
      <c r="D778" s="90"/>
      <c r="E778" s="90"/>
      <c r="F778" s="90"/>
      <c r="G778" s="90"/>
      <c r="H778" s="363"/>
      <c r="I778" s="363"/>
      <c r="J778" s="363"/>
      <c r="K778" s="363"/>
      <c r="L778" s="363"/>
      <c r="M778" s="363"/>
      <c r="N778" s="363"/>
      <c r="O778" s="363"/>
      <c r="P778" s="363"/>
      <c r="Q778" s="363"/>
      <c r="R778" s="363"/>
      <c r="S778" s="363"/>
      <c r="T778" s="363"/>
      <c r="U778" s="363"/>
      <c r="V778" s="363"/>
      <c r="W778" s="363"/>
      <c r="X778" s="363"/>
      <c r="Y778" s="363"/>
      <c r="Z778" s="363"/>
    </row>
    <row r="779" spans="1:26" ht="9.75" customHeight="1">
      <c r="A779" s="90"/>
      <c r="B779" s="90"/>
      <c r="C779" s="90"/>
      <c r="D779" s="90"/>
      <c r="E779" s="90"/>
      <c r="F779" s="90"/>
      <c r="G779" s="90"/>
      <c r="H779" s="363"/>
      <c r="I779" s="363"/>
      <c r="J779" s="363"/>
      <c r="K779" s="363"/>
      <c r="L779" s="363"/>
      <c r="M779" s="363"/>
      <c r="N779" s="363"/>
      <c r="O779" s="363"/>
      <c r="P779" s="363"/>
      <c r="Q779" s="363"/>
      <c r="R779" s="363"/>
      <c r="S779" s="363"/>
      <c r="T779" s="363"/>
      <c r="U779" s="363"/>
      <c r="V779" s="363"/>
      <c r="W779" s="363"/>
      <c r="X779" s="363"/>
      <c r="Y779" s="363"/>
      <c r="Z779" s="363"/>
    </row>
    <row r="780" spans="1:26" ht="9.75" customHeight="1">
      <c r="A780" s="90"/>
      <c r="B780" s="90"/>
      <c r="C780" s="90"/>
      <c r="D780" s="90"/>
      <c r="E780" s="90"/>
      <c r="F780" s="90"/>
      <c r="G780" s="90"/>
      <c r="H780" s="363"/>
      <c r="I780" s="363"/>
      <c r="J780" s="363"/>
      <c r="K780" s="363"/>
      <c r="L780" s="363"/>
      <c r="M780" s="363"/>
      <c r="N780" s="363"/>
      <c r="O780" s="363"/>
      <c r="P780" s="363"/>
      <c r="Q780" s="363"/>
      <c r="R780" s="363"/>
      <c r="S780" s="363"/>
      <c r="T780" s="363"/>
      <c r="U780" s="363"/>
      <c r="V780" s="363"/>
      <c r="W780" s="363"/>
      <c r="X780" s="363"/>
      <c r="Y780" s="363"/>
      <c r="Z780" s="363"/>
    </row>
    <row r="781" spans="1:26" ht="9.75" customHeight="1">
      <c r="A781" s="90"/>
      <c r="B781" s="90"/>
      <c r="C781" s="90"/>
      <c r="D781" s="90"/>
      <c r="E781" s="90"/>
      <c r="F781" s="90"/>
      <c r="G781" s="90"/>
      <c r="H781" s="363"/>
      <c r="I781" s="363"/>
      <c r="J781" s="363"/>
      <c r="K781" s="363"/>
      <c r="L781" s="363"/>
      <c r="M781" s="363"/>
      <c r="N781" s="363"/>
      <c r="O781" s="363"/>
      <c r="P781" s="363"/>
      <c r="Q781" s="363"/>
      <c r="R781" s="363"/>
      <c r="S781" s="363"/>
      <c r="T781" s="363"/>
      <c r="U781" s="363"/>
      <c r="V781" s="363"/>
      <c r="W781" s="363"/>
      <c r="X781" s="363"/>
      <c r="Y781" s="363"/>
      <c r="Z781" s="363"/>
    </row>
    <row r="782" spans="1:26" ht="9.75" customHeight="1">
      <c r="A782" s="90"/>
      <c r="B782" s="90"/>
      <c r="C782" s="90"/>
      <c r="D782" s="90"/>
      <c r="E782" s="90"/>
      <c r="F782" s="90"/>
      <c r="G782" s="90"/>
      <c r="H782" s="363"/>
      <c r="I782" s="363"/>
      <c r="J782" s="363"/>
      <c r="K782" s="363"/>
      <c r="L782" s="363"/>
      <c r="M782" s="363"/>
      <c r="N782" s="363"/>
      <c r="O782" s="363"/>
      <c r="P782" s="363"/>
      <c r="Q782" s="363"/>
      <c r="R782" s="363"/>
      <c r="S782" s="363"/>
      <c r="T782" s="363"/>
      <c r="U782" s="363"/>
      <c r="V782" s="363"/>
      <c r="W782" s="363"/>
      <c r="X782" s="363"/>
      <c r="Y782" s="363"/>
      <c r="Z782" s="363"/>
    </row>
    <row r="783" spans="1:26" ht="9.75" customHeight="1">
      <c r="A783" s="90"/>
      <c r="B783" s="90"/>
      <c r="C783" s="90"/>
      <c r="D783" s="90"/>
      <c r="E783" s="90"/>
      <c r="F783" s="90"/>
      <c r="G783" s="90"/>
      <c r="H783" s="363"/>
      <c r="I783" s="363"/>
      <c r="J783" s="363"/>
      <c r="K783" s="363"/>
      <c r="L783" s="363"/>
      <c r="M783" s="363"/>
      <c r="N783" s="363"/>
      <c r="O783" s="363"/>
      <c r="P783" s="363"/>
      <c r="Q783" s="363"/>
      <c r="R783" s="363"/>
      <c r="S783" s="363"/>
      <c r="T783" s="363"/>
      <c r="U783" s="363"/>
      <c r="V783" s="363"/>
      <c r="W783" s="363"/>
      <c r="X783" s="363"/>
      <c r="Y783" s="363"/>
      <c r="Z783" s="363"/>
    </row>
    <row r="784" spans="1:26" ht="9.75" customHeight="1">
      <c r="A784" s="90"/>
      <c r="B784" s="90"/>
      <c r="C784" s="90"/>
      <c r="D784" s="90"/>
      <c r="E784" s="90"/>
      <c r="F784" s="90"/>
      <c r="G784" s="90"/>
      <c r="H784" s="363"/>
      <c r="I784" s="363"/>
      <c r="J784" s="363"/>
      <c r="K784" s="363"/>
      <c r="L784" s="363"/>
      <c r="M784" s="363"/>
      <c r="N784" s="363"/>
      <c r="O784" s="363"/>
      <c r="P784" s="363"/>
      <c r="Q784" s="363"/>
      <c r="R784" s="363"/>
      <c r="S784" s="363"/>
      <c r="T784" s="363"/>
      <c r="U784" s="363"/>
      <c r="V784" s="363"/>
      <c r="W784" s="363"/>
      <c r="X784" s="363"/>
      <c r="Y784" s="363"/>
      <c r="Z784" s="363"/>
    </row>
    <row r="785" spans="1:26" ht="9.75" customHeight="1">
      <c r="A785" s="90"/>
      <c r="B785" s="90"/>
      <c r="C785" s="90"/>
      <c r="D785" s="90"/>
      <c r="E785" s="90"/>
      <c r="F785" s="90"/>
      <c r="G785" s="90"/>
      <c r="H785" s="363"/>
      <c r="I785" s="363"/>
      <c r="J785" s="363"/>
      <c r="K785" s="363"/>
      <c r="L785" s="363"/>
      <c r="M785" s="363"/>
      <c r="N785" s="363"/>
      <c r="O785" s="363"/>
      <c r="P785" s="363"/>
      <c r="Q785" s="363"/>
      <c r="R785" s="363"/>
      <c r="S785" s="363"/>
      <c r="T785" s="363"/>
      <c r="U785" s="363"/>
      <c r="V785" s="363"/>
      <c r="W785" s="363"/>
      <c r="X785" s="363"/>
      <c r="Y785" s="363"/>
      <c r="Z785" s="363"/>
    </row>
    <row r="786" spans="1:26" ht="9.75" customHeight="1">
      <c r="A786" s="90"/>
      <c r="B786" s="90"/>
      <c r="C786" s="90"/>
      <c r="D786" s="90"/>
      <c r="E786" s="90"/>
      <c r="F786" s="90"/>
      <c r="G786" s="90"/>
      <c r="H786" s="363"/>
      <c r="I786" s="363"/>
      <c r="J786" s="363"/>
      <c r="K786" s="363"/>
      <c r="L786" s="363"/>
      <c r="M786" s="363"/>
      <c r="N786" s="363"/>
      <c r="O786" s="363"/>
      <c r="P786" s="363"/>
      <c r="Q786" s="363"/>
      <c r="R786" s="363"/>
      <c r="S786" s="363"/>
      <c r="T786" s="363"/>
      <c r="U786" s="363"/>
      <c r="V786" s="363"/>
      <c r="W786" s="363"/>
      <c r="X786" s="363"/>
      <c r="Y786" s="363"/>
      <c r="Z786" s="363"/>
    </row>
    <row r="787" spans="1:26" ht="9.75" customHeight="1">
      <c r="A787" s="90"/>
      <c r="B787" s="90"/>
      <c r="C787" s="90"/>
      <c r="D787" s="90"/>
      <c r="E787" s="90"/>
      <c r="F787" s="90"/>
      <c r="G787" s="90"/>
      <c r="H787" s="363"/>
      <c r="I787" s="363"/>
      <c r="J787" s="363"/>
      <c r="K787" s="363"/>
      <c r="L787" s="363"/>
      <c r="M787" s="363"/>
      <c r="N787" s="363"/>
      <c r="O787" s="363"/>
      <c r="P787" s="363"/>
      <c r="Q787" s="363"/>
      <c r="R787" s="363"/>
      <c r="S787" s="363"/>
      <c r="T787" s="363"/>
      <c r="U787" s="363"/>
      <c r="V787" s="363"/>
      <c r="W787" s="363"/>
      <c r="X787" s="363"/>
      <c r="Y787" s="363"/>
      <c r="Z787" s="363"/>
    </row>
    <row r="788" spans="1:26" ht="9.75" customHeight="1">
      <c r="A788" s="90"/>
      <c r="B788" s="90"/>
      <c r="C788" s="90"/>
      <c r="D788" s="90"/>
      <c r="E788" s="90"/>
      <c r="F788" s="90"/>
      <c r="G788" s="90"/>
      <c r="H788" s="363"/>
      <c r="I788" s="363"/>
      <c r="J788" s="363"/>
      <c r="K788" s="363"/>
      <c r="L788" s="363"/>
      <c r="M788" s="363"/>
      <c r="N788" s="363"/>
      <c r="O788" s="363"/>
      <c r="P788" s="363"/>
      <c r="Q788" s="363"/>
      <c r="R788" s="363"/>
      <c r="S788" s="363"/>
      <c r="T788" s="363"/>
      <c r="U788" s="363"/>
      <c r="V788" s="363"/>
      <c r="W788" s="363"/>
      <c r="X788" s="363"/>
      <c r="Y788" s="363"/>
      <c r="Z788" s="363"/>
    </row>
    <row r="789" spans="1:26" ht="9.75" customHeight="1">
      <c r="A789" s="90"/>
      <c r="B789" s="90"/>
      <c r="C789" s="90"/>
      <c r="D789" s="90"/>
      <c r="E789" s="90"/>
      <c r="F789" s="90"/>
      <c r="G789" s="90"/>
      <c r="H789" s="363"/>
      <c r="I789" s="363"/>
      <c r="J789" s="363"/>
      <c r="K789" s="363"/>
      <c r="L789" s="363"/>
      <c r="M789" s="363"/>
      <c r="N789" s="363"/>
      <c r="O789" s="363"/>
      <c r="P789" s="363"/>
      <c r="Q789" s="363"/>
      <c r="R789" s="363"/>
      <c r="S789" s="363"/>
      <c r="T789" s="363"/>
      <c r="U789" s="363"/>
      <c r="V789" s="363"/>
      <c r="W789" s="363"/>
      <c r="X789" s="363"/>
      <c r="Y789" s="363"/>
      <c r="Z789" s="363"/>
    </row>
    <row r="790" spans="1:26" ht="9.75" customHeight="1">
      <c r="A790" s="90"/>
      <c r="B790" s="90"/>
      <c r="C790" s="90"/>
      <c r="D790" s="90"/>
      <c r="E790" s="90"/>
      <c r="F790" s="90"/>
      <c r="G790" s="90"/>
      <c r="H790" s="363"/>
      <c r="I790" s="363"/>
      <c r="J790" s="363"/>
      <c r="K790" s="363"/>
      <c r="L790" s="363"/>
      <c r="M790" s="363"/>
      <c r="N790" s="363"/>
      <c r="O790" s="363"/>
      <c r="P790" s="363"/>
      <c r="Q790" s="363"/>
      <c r="R790" s="363"/>
      <c r="S790" s="363"/>
      <c r="T790" s="363"/>
      <c r="U790" s="363"/>
      <c r="V790" s="363"/>
      <c r="W790" s="363"/>
      <c r="X790" s="363"/>
      <c r="Y790" s="363"/>
      <c r="Z790" s="363"/>
    </row>
    <row r="791" spans="1:26" ht="9.75" customHeight="1">
      <c r="A791" s="90"/>
      <c r="B791" s="90"/>
      <c r="C791" s="90"/>
      <c r="D791" s="90"/>
      <c r="E791" s="90"/>
      <c r="F791" s="90"/>
      <c r="G791" s="90"/>
      <c r="H791" s="363"/>
      <c r="I791" s="363"/>
      <c r="J791" s="363"/>
      <c r="K791" s="363"/>
      <c r="L791" s="363"/>
      <c r="M791" s="363"/>
      <c r="N791" s="363"/>
      <c r="O791" s="363"/>
      <c r="P791" s="363"/>
      <c r="Q791" s="363"/>
      <c r="R791" s="363"/>
      <c r="S791" s="363"/>
      <c r="T791" s="363"/>
      <c r="U791" s="363"/>
      <c r="V791" s="363"/>
      <c r="W791" s="363"/>
      <c r="X791" s="363"/>
      <c r="Y791" s="363"/>
      <c r="Z791" s="363"/>
    </row>
    <row r="792" spans="1:26" ht="9.75" customHeight="1">
      <c r="A792" s="90"/>
      <c r="B792" s="90"/>
      <c r="C792" s="90"/>
      <c r="D792" s="90"/>
      <c r="E792" s="90"/>
      <c r="F792" s="90"/>
      <c r="G792" s="90"/>
      <c r="H792" s="363"/>
      <c r="I792" s="363"/>
      <c r="J792" s="363"/>
      <c r="K792" s="363"/>
      <c r="L792" s="363"/>
      <c r="M792" s="363"/>
      <c r="N792" s="363"/>
      <c r="O792" s="363"/>
      <c r="P792" s="363"/>
      <c r="Q792" s="363"/>
      <c r="R792" s="363"/>
      <c r="S792" s="363"/>
      <c r="T792" s="363"/>
      <c r="U792" s="363"/>
      <c r="V792" s="363"/>
      <c r="W792" s="363"/>
      <c r="X792" s="363"/>
      <c r="Y792" s="363"/>
      <c r="Z792" s="363"/>
    </row>
    <row r="793" spans="1:26" ht="9.75" customHeight="1">
      <c r="A793" s="90"/>
      <c r="B793" s="90"/>
      <c r="C793" s="90"/>
      <c r="D793" s="90"/>
      <c r="E793" s="90"/>
      <c r="F793" s="90"/>
      <c r="G793" s="90"/>
      <c r="H793" s="363"/>
      <c r="I793" s="363"/>
      <c r="J793" s="363"/>
      <c r="K793" s="363"/>
      <c r="L793" s="363"/>
      <c r="M793" s="363"/>
      <c r="N793" s="363"/>
      <c r="O793" s="363"/>
      <c r="P793" s="363"/>
      <c r="Q793" s="363"/>
      <c r="R793" s="363"/>
      <c r="S793" s="363"/>
      <c r="T793" s="363"/>
      <c r="U793" s="363"/>
      <c r="V793" s="363"/>
      <c r="W793" s="363"/>
      <c r="X793" s="363"/>
      <c r="Y793" s="363"/>
      <c r="Z793" s="363"/>
    </row>
    <row r="794" spans="1:26" ht="9.75" customHeight="1">
      <c r="A794" s="90"/>
      <c r="B794" s="90"/>
      <c r="C794" s="90"/>
      <c r="D794" s="90"/>
      <c r="E794" s="90"/>
      <c r="F794" s="90"/>
      <c r="G794" s="90"/>
      <c r="H794" s="363"/>
      <c r="I794" s="363"/>
      <c r="J794" s="363"/>
      <c r="K794" s="363"/>
      <c r="L794" s="363"/>
      <c r="M794" s="363"/>
      <c r="N794" s="363"/>
      <c r="O794" s="363"/>
      <c r="P794" s="363"/>
      <c r="Q794" s="363"/>
      <c r="R794" s="363"/>
      <c r="S794" s="363"/>
      <c r="T794" s="363"/>
      <c r="U794" s="363"/>
      <c r="V794" s="363"/>
      <c r="W794" s="363"/>
      <c r="X794" s="363"/>
      <c r="Y794" s="363"/>
      <c r="Z794" s="363"/>
    </row>
    <row r="795" spans="1:26" ht="9.75" customHeight="1">
      <c r="A795" s="90"/>
      <c r="B795" s="90"/>
      <c r="C795" s="90"/>
      <c r="D795" s="90"/>
      <c r="E795" s="90"/>
      <c r="F795" s="90"/>
      <c r="G795" s="90"/>
      <c r="H795" s="363"/>
      <c r="I795" s="363"/>
      <c r="J795" s="363"/>
      <c r="K795" s="363"/>
      <c r="L795" s="363"/>
      <c r="M795" s="363"/>
      <c r="N795" s="363"/>
      <c r="O795" s="363"/>
      <c r="P795" s="363"/>
      <c r="Q795" s="363"/>
      <c r="R795" s="363"/>
      <c r="S795" s="363"/>
      <c r="T795" s="363"/>
      <c r="U795" s="363"/>
      <c r="V795" s="363"/>
      <c r="W795" s="363"/>
      <c r="X795" s="363"/>
      <c r="Y795" s="363"/>
      <c r="Z795" s="363"/>
    </row>
    <row r="796" spans="1:26" ht="9.75" customHeight="1">
      <c r="A796" s="90"/>
      <c r="B796" s="90"/>
      <c r="C796" s="90"/>
      <c r="D796" s="90"/>
      <c r="E796" s="90"/>
      <c r="F796" s="90"/>
      <c r="G796" s="90"/>
      <c r="H796" s="363"/>
      <c r="I796" s="363"/>
      <c r="J796" s="363"/>
      <c r="K796" s="363"/>
      <c r="L796" s="363"/>
      <c r="M796" s="363"/>
      <c r="N796" s="363"/>
      <c r="O796" s="363"/>
      <c r="P796" s="363"/>
      <c r="Q796" s="363"/>
      <c r="R796" s="363"/>
      <c r="S796" s="363"/>
      <c r="T796" s="363"/>
      <c r="U796" s="363"/>
      <c r="V796" s="363"/>
      <c r="W796" s="363"/>
      <c r="X796" s="363"/>
      <c r="Y796" s="363"/>
      <c r="Z796" s="363"/>
    </row>
    <row r="797" spans="1:26" ht="9.75" customHeight="1">
      <c r="A797" s="90"/>
      <c r="B797" s="90"/>
      <c r="C797" s="90"/>
      <c r="D797" s="90"/>
      <c r="E797" s="90"/>
      <c r="F797" s="90"/>
      <c r="G797" s="90"/>
      <c r="H797" s="363"/>
      <c r="I797" s="363"/>
      <c r="J797" s="363"/>
      <c r="K797" s="363"/>
      <c r="L797" s="363"/>
      <c r="M797" s="363"/>
      <c r="N797" s="363"/>
      <c r="O797" s="363"/>
      <c r="P797" s="363"/>
      <c r="Q797" s="363"/>
      <c r="R797" s="363"/>
      <c r="S797" s="363"/>
      <c r="T797" s="363"/>
      <c r="U797" s="363"/>
      <c r="V797" s="363"/>
      <c r="W797" s="363"/>
      <c r="X797" s="363"/>
      <c r="Y797" s="363"/>
      <c r="Z797" s="363"/>
    </row>
    <row r="798" spans="1:26" ht="9.75" customHeight="1">
      <c r="A798" s="90"/>
      <c r="B798" s="90"/>
      <c r="C798" s="90"/>
      <c r="D798" s="90"/>
      <c r="E798" s="90"/>
      <c r="F798" s="90"/>
      <c r="G798" s="90"/>
      <c r="H798" s="363"/>
      <c r="I798" s="363"/>
      <c r="J798" s="363"/>
      <c r="K798" s="363"/>
      <c r="L798" s="363"/>
      <c r="M798" s="363"/>
      <c r="N798" s="363"/>
      <c r="O798" s="363"/>
      <c r="P798" s="363"/>
      <c r="Q798" s="363"/>
      <c r="R798" s="363"/>
      <c r="S798" s="363"/>
      <c r="T798" s="363"/>
      <c r="U798" s="363"/>
      <c r="V798" s="363"/>
      <c r="W798" s="363"/>
      <c r="X798" s="363"/>
      <c r="Y798" s="363"/>
      <c r="Z798" s="363"/>
    </row>
    <row r="799" spans="1:26" ht="9.75" customHeight="1">
      <c r="A799" s="90"/>
      <c r="B799" s="90"/>
      <c r="C799" s="90"/>
      <c r="D799" s="90"/>
      <c r="E799" s="90"/>
      <c r="F799" s="90"/>
      <c r="G799" s="90"/>
      <c r="H799" s="363"/>
      <c r="I799" s="363"/>
      <c r="J799" s="363"/>
      <c r="K799" s="363"/>
      <c r="L799" s="363"/>
      <c r="M799" s="363"/>
      <c r="N799" s="363"/>
      <c r="O799" s="363"/>
      <c r="P799" s="363"/>
      <c r="Q799" s="363"/>
      <c r="R799" s="363"/>
      <c r="S799" s="363"/>
      <c r="T799" s="363"/>
      <c r="U799" s="363"/>
      <c r="V799" s="363"/>
      <c r="W799" s="363"/>
      <c r="X799" s="363"/>
      <c r="Y799" s="363"/>
      <c r="Z799" s="363"/>
    </row>
    <row r="800" spans="1:26" ht="9.75" customHeight="1">
      <c r="A800" s="90"/>
      <c r="B800" s="90"/>
      <c r="C800" s="90"/>
      <c r="D800" s="90"/>
      <c r="E800" s="90"/>
      <c r="F800" s="90"/>
      <c r="G800" s="90"/>
      <c r="H800" s="363"/>
      <c r="I800" s="363"/>
      <c r="J800" s="363"/>
      <c r="K800" s="363"/>
      <c r="L800" s="363"/>
      <c r="M800" s="363"/>
      <c r="N800" s="363"/>
      <c r="O800" s="363"/>
      <c r="P800" s="363"/>
      <c r="Q800" s="363"/>
      <c r="R800" s="363"/>
      <c r="S800" s="363"/>
      <c r="T800" s="363"/>
      <c r="U800" s="363"/>
      <c r="V800" s="363"/>
      <c r="W800" s="363"/>
      <c r="X800" s="363"/>
      <c r="Y800" s="363"/>
      <c r="Z800" s="363"/>
    </row>
    <row r="801" spans="1:26" ht="9.75" customHeight="1">
      <c r="A801" s="90"/>
      <c r="B801" s="90"/>
      <c r="C801" s="90"/>
      <c r="D801" s="90"/>
      <c r="E801" s="90"/>
      <c r="F801" s="90"/>
      <c r="G801" s="90"/>
      <c r="H801" s="363"/>
      <c r="I801" s="363"/>
      <c r="J801" s="363"/>
      <c r="K801" s="363"/>
      <c r="L801" s="363"/>
      <c r="M801" s="363"/>
      <c r="N801" s="363"/>
      <c r="O801" s="363"/>
      <c r="P801" s="363"/>
      <c r="Q801" s="363"/>
      <c r="R801" s="363"/>
      <c r="S801" s="363"/>
      <c r="T801" s="363"/>
      <c r="U801" s="363"/>
      <c r="V801" s="363"/>
      <c r="W801" s="363"/>
      <c r="X801" s="363"/>
      <c r="Y801" s="363"/>
      <c r="Z801" s="363"/>
    </row>
    <row r="802" spans="1:26" ht="9.75" customHeight="1">
      <c r="A802" s="90"/>
      <c r="B802" s="90"/>
      <c r="C802" s="90"/>
      <c r="D802" s="90"/>
      <c r="E802" s="90"/>
      <c r="F802" s="90"/>
      <c r="G802" s="90"/>
      <c r="H802" s="363"/>
      <c r="I802" s="363"/>
      <c r="J802" s="363"/>
      <c r="K802" s="363"/>
      <c r="L802" s="363"/>
      <c r="M802" s="363"/>
      <c r="N802" s="363"/>
      <c r="O802" s="363"/>
      <c r="P802" s="363"/>
      <c r="Q802" s="363"/>
      <c r="R802" s="363"/>
      <c r="S802" s="363"/>
      <c r="T802" s="363"/>
      <c r="U802" s="363"/>
      <c r="V802" s="363"/>
      <c r="W802" s="363"/>
      <c r="X802" s="363"/>
      <c r="Y802" s="363"/>
      <c r="Z802" s="363"/>
    </row>
    <row r="803" spans="1:26" ht="9.75" customHeight="1">
      <c r="A803" s="90"/>
      <c r="B803" s="90"/>
      <c r="C803" s="90"/>
      <c r="D803" s="90"/>
      <c r="E803" s="90"/>
      <c r="F803" s="90"/>
      <c r="G803" s="90"/>
      <c r="H803" s="363"/>
      <c r="I803" s="363"/>
      <c r="J803" s="363"/>
      <c r="K803" s="363"/>
      <c r="L803" s="363"/>
      <c r="M803" s="363"/>
      <c r="N803" s="363"/>
      <c r="O803" s="363"/>
      <c r="P803" s="363"/>
      <c r="Q803" s="363"/>
      <c r="R803" s="363"/>
      <c r="S803" s="363"/>
      <c r="T803" s="363"/>
      <c r="U803" s="363"/>
      <c r="V803" s="363"/>
      <c r="W803" s="363"/>
      <c r="X803" s="363"/>
      <c r="Y803" s="363"/>
      <c r="Z803" s="363"/>
    </row>
    <row r="804" spans="1:26" ht="9.75" customHeight="1">
      <c r="A804" s="90"/>
      <c r="B804" s="90"/>
      <c r="C804" s="90"/>
      <c r="D804" s="90"/>
      <c r="E804" s="90"/>
      <c r="F804" s="90"/>
      <c r="G804" s="90"/>
      <c r="H804" s="363"/>
      <c r="I804" s="363"/>
      <c r="J804" s="363"/>
      <c r="K804" s="363"/>
      <c r="L804" s="363"/>
      <c r="M804" s="363"/>
      <c r="N804" s="363"/>
      <c r="O804" s="363"/>
      <c r="P804" s="363"/>
      <c r="Q804" s="363"/>
      <c r="R804" s="363"/>
      <c r="S804" s="363"/>
      <c r="T804" s="363"/>
      <c r="U804" s="363"/>
      <c r="V804" s="363"/>
      <c r="W804" s="363"/>
      <c r="X804" s="363"/>
      <c r="Y804" s="363"/>
      <c r="Z804" s="363"/>
    </row>
    <row r="805" spans="1:26" ht="9.75" customHeight="1">
      <c r="A805" s="90"/>
      <c r="B805" s="90"/>
      <c r="C805" s="90"/>
      <c r="D805" s="90"/>
      <c r="E805" s="90"/>
      <c r="F805" s="90"/>
      <c r="G805" s="90"/>
      <c r="H805" s="363"/>
      <c r="I805" s="363"/>
      <c r="J805" s="363"/>
      <c r="K805" s="363"/>
      <c r="L805" s="363"/>
      <c r="M805" s="363"/>
      <c r="N805" s="363"/>
      <c r="O805" s="363"/>
      <c r="P805" s="363"/>
      <c r="Q805" s="363"/>
      <c r="R805" s="363"/>
      <c r="S805" s="363"/>
      <c r="T805" s="363"/>
      <c r="U805" s="363"/>
      <c r="V805" s="363"/>
      <c r="W805" s="363"/>
      <c r="X805" s="363"/>
      <c r="Y805" s="363"/>
      <c r="Z805" s="363"/>
    </row>
    <row r="806" spans="1:26" ht="9.75" customHeight="1">
      <c r="A806" s="90"/>
      <c r="B806" s="90"/>
      <c r="C806" s="90"/>
      <c r="D806" s="90"/>
      <c r="E806" s="90"/>
      <c r="F806" s="90"/>
      <c r="G806" s="90"/>
      <c r="H806" s="363"/>
      <c r="I806" s="363"/>
      <c r="J806" s="363"/>
      <c r="K806" s="363"/>
      <c r="L806" s="363"/>
      <c r="M806" s="363"/>
      <c r="N806" s="363"/>
      <c r="O806" s="363"/>
      <c r="P806" s="363"/>
      <c r="Q806" s="363"/>
      <c r="R806" s="363"/>
      <c r="S806" s="363"/>
      <c r="T806" s="363"/>
      <c r="U806" s="363"/>
      <c r="V806" s="363"/>
      <c r="W806" s="363"/>
      <c r="X806" s="363"/>
      <c r="Y806" s="363"/>
      <c r="Z806" s="363"/>
    </row>
    <row r="807" spans="1:26" ht="9.75" customHeight="1">
      <c r="A807" s="90"/>
      <c r="B807" s="90"/>
      <c r="C807" s="90"/>
      <c r="D807" s="90"/>
      <c r="E807" s="90"/>
      <c r="F807" s="90"/>
      <c r="G807" s="90"/>
      <c r="H807" s="363"/>
      <c r="I807" s="363"/>
      <c r="J807" s="363"/>
      <c r="K807" s="363"/>
      <c r="L807" s="363"/>
      <c r="M807" s="363"/>
      <c r="N807" s="363"/>
      <c r="O807" s="363"/>
      <c r="P807" s="363"/>
      <c r="Q807" s="363"/>
      <c r="R807" s="363"/>
      <c r="S807" s="363"/>
      <c r="T807" s="363"/>
      <c r="U807" s="363"/>
      <c r="V807" s="363"/>
      <c r="W807" s="363"/>
      <c r="X807" s="363"/>
      <c r="Y807" s="363"/>
      <c r="Z807" s="363"/>
    </row>
    <row r="808" spans="1:26" ht="9.75" customHeight="1">
      <c r="A808" s="90"/>
      <c r="B808" s="90"/>
      <c r="C808" s="90"/>
      <c r="D808" s="90"/>
      <c r="E808" s="90"/>
      <c r="F808" s="90"/>
      <c r="G808" s="90"/>
      <c r="H808" s="363"/>
      <c r="I808" s="363"/>
      <c r="J808" s="363"/>
      <c r="K808" s="363"/>
      <c r="L808" s="363"/>
      <c r="M808" s="363"/>
      <c r="N808" s="363"/>
      <c r="O808" s="363"/>
      <c r="P808" s="363"/>
      <c r="Q808" s="363"/>
      <c r="R808" s="363"/>
      <c r="S808" s="363"/>
      <c r="T808" s="363"/>
      <c r="U808" s="363"/>
      <c r="V808" s="363"/>
      <c r="W808" s="363"/>
      <c r="X808" s="363"/>
      <c r="Y808" s="363"/>
      <c r="Z808" s="363"/>
    </row>
    <row r="809" spans="1:26" ht="9.75" customHeight="1">
      <c r="A809" s="90"/>
      <c r="B809" s="90"/>
      <c r="C809" s="90"/>
      <c r="D809" s="90"/>
      <c r="E809" s="90"/>
      <c r="F809" s="90"/>
      <c r="G809" s="90"/>
      <c r="H809" s="363"/>
      <c r="I809" s="363"/>
      <c r="J809" s="363"/>
      <c r="K809" s="363"/>
      <c r="L809" s="363"/>
      <c r="M809" s="363"/>
      <c r="N809" s="363"/>
      <c r="O809" s="363"/>
      <c r="P809" s="363"/>
      <c r="Q809" s="363"/>
      <c r="R809" s="363"/>
      <c r="S809" s="363"/>
      <c r="T809" s="363"/>
      <c r="U809" s="363"/>
      <c r="V809" s="363"/>
      <c r="W809" s="363"/>
      <c r="X809" s="363"/>
      <c r="Y809" s="363"/>
      <c r="Z809" s="363"/>
    </row>
    <row r="810" spans="1:26" ht="9.75" customHeight="1">
      <c r="A810" s="90"/>
      <c r="B810" s="90"/>
      <c r="C810" s="90"/>
      <c r="D810" s="90"/>
      <c r="E810" s="90"/>
      <c r="F810" s="90"/>
      <c r="G810" s="90"/>
      <c r="H810" s="363"/>
      <c r="I810" s="363"/>
      <c r="J810" s="363"/>
      <c r="K810" s="363"/>
      <c r="L810" s="363"/>
      <c r="M810" s="363"/>
      <c r="N810" s="363"/>
      <c r="O810" s="363"/>
      <c r="P810" s="363"/>
      <c r="Q810" s="363"/>
      <c r="R810" s="363"/>
      <c r="S810" s="363"/>
      <c r="T810" s="363"/>
      <c r="U810" s="363"/>
      <c r="V810" s="363"/>
      <c r="W810" s="363"/>
      <c r="X810" s="363"/>
      <c r="Y810" s="363"/>
      <c r="Z810" s="363"/>
    </row>
    <row r="811" spans="1:26" ht="9.75" customHeight="1">
      <c r="A811" s="90"/>
      <c r="B811" s="90"/>
      <c r="C811" s="90"/>
      <c r="D811" s="90"/>
      <c r="E811" s="90"/>
      <c r="F811" s="90"/>
      <c r="G811" s="90"/>
      <c r="H811" s="363"/>
      <c r="I811" s="363"/>
      <c r="J811" s="363"/>
      <c r="K811" s="363"/>
      <c r="L811" s="363"/>
      <c r="M811" s="363"/>
      <c r="N811" s="363"/>
      <c r="O811" s="363"/>
      <c r="P811" s="363"/>
      <c r="Q811" s="363"/>
      <c r="R811" s="363"/>
      <c r="S811" s="363"/>
      <c r="T811" s="363"/>
      <c r="U811" s="363"/>
      <c r="V811" s="363"/>
      <c r="W811" s="363"/>
      <c r="X811" s="363"/>
      <c r="Y811" s="363"/>
      <c r="Z811" s="363"/>
    </row>
    <row r="812" spans="1:26" ht="9.75" customHeight="1">
      <c r="A812" s="90"/>
      <c r="B812" s="90"/>
      <c r="C812" s="90"/>
      <c r="D812" s="90"/>
      <c r="E812" s="90"/>
      <c r="F812" s="90"/>
      <c r="G812" s="90"/>
      <c r="H812" s="363"/>
      <c r="I812" s="363"/>
      <c r="J812" s="363"/>
      <c r="K812" s="363"/>
      <c r="L812" s="363"/>
      <c r="M812" s="363"/>
      <c r="N812" s="363"/>
      <c r="O812" s="363"/>
      <c r="P812" s="363"/>
      <c r="Q812" s="363"/>
      <c r="R812" s="363"/>
      <c r="S812" s="363"/>
      <c r="T812" s="363"/>
      <c r="U812" s="363"/>
      <c r="V812" s="363"/>
      <c r="W812" s="363"/>
      <c r="X812" s="363"/>
      <c r="Y812" s="363"/>
      <c r="Z812" s="363"/>
    </row>
    <row r="813" spans="1:26" ht="9.75" customHeight="1">
      <c r="A813" s="90"/>
      <c r="B813" s="90"/>
      <c r="C813" s="90"/>
      <c r="D813" s="90"/>
      <c r="E813" s="90"/>
      <c r="F813" s="90"/>
      <c r="G813" s="90"/>
      <c r="H813" s="363"/>
      <c r="I813" s="363"/>
      <c r="J813" s="363"/>
      <c r="K813" s="363"/>
      <c r="L813" s="363"/>
      <c r="M813" s="363"/>
      <c r="N813" s="363"/>
      <c r="O813" s="363"/>
      <c r="P813" s="363"/>
      <c r="Q813" s="363"/>
      <c r="R813" s="363"/>
      <c r="S813" s="363"/>
      <c r="T813" s="363"/>
      <c r="U813" s="363"/>
      <c r="V813" s="363"/>
      <c r="W813" s="363"/>
      <c r="X813" s="363"/>
      <c r="Y813" s="363"/>
      <c r="Z813" s="363"/>
    </row>
    <row r="814" spans="1:26" ht="9.75" customHeight="1">
      <c r="A814" s="90"/>
      <c r="B814" s="90"/>
      <c r="C814" s="90"/>
      <c r="D814" s="90"/>
      <c r="E814" s="90"/>
      <c r="F814" s="90"/>
      <c r="G814" s="90"/>
      <c r="H814" s="363"/>
      <c r="I814" s="363"/>
      <c r="J814" s="363"/>
      <c r="K814" s="363"/>
      <c r="L814" s="363"/>
      <c r="M814" s="363"/>
      <c r="N814" s="363"/>
      <c r="O814" s="363"/>
      <c r="P814" s="363"/>
      <c r="Q814" s="363"/>
      <c r="R814" s="363"/>
      <c r="S814" s="363"/>
      <c r="T814" s="363"/>
      <c r="U814" s="363"/>
      <c r="V814" s="363"/>
      <c r="W814" s="363"/>
      <c r="X814" s="363"/>
      <c r="Y814" s="363"/>
      <c r="Z814" s="363"/>
    </row>
    <row r="815" spans="1:26" ht="9.75" customHeight="1">
      <c r="A815" s="90"/>
      <c r="B815" s="90"/>
      <c r="C815" s="90"/>
      <c r="D815" s="90"/>
      <c r="E815" s="90"/>
      <c r="F815" s="90"/>
      <c r="G815" s="90"/>
      <c r="H815" s="363"/>
      <c r="I815" s="363"/>
      <c r="J815" s="363"/>
      <c r="K815" s="363"/>
      <c r="L815" s="363"/>
      <c r="M815" s="363"/>
      <c r="N815" s="363"/>
      <c r="O815" s="363"/>
      <c r="P815" s="363"/>
      <c r="Q815" s="363"/>
      <c r="R815" s="363"/>
      <c r="S815" s="363"/>
      <c r="T815" s="363"/>
      <c r="U815" s="363"/>
      <c r="V815" s="363"/>
      <c r="W815" s="363"/>
      <c r="X815" s="363"/>
      <c r="Y815" s="363"/>
      <c r="Z815" s="363"/>
    </row>
    <row r="816" spans="1:26" ht="9.75" customHeight="1">
      <c r="A816" s="90"/>
      <c r="B816" s="90"/>
      <c r="C816" s="90"/>
      <c r="D816" s="90"/>
      <c r="E816" s="90"/>
      <c r="F816" s="90"/>
      <c r="G816" s="90"/>
      <c r="H816" s="363"/>
      <c r="I816" s="363"/>
      <c r="J816" s="363"/>
      <c r="K816" s="363"/>
      <c r="L816" s="363"/>
      <c r="M816" s="363"/>
      <c r="N816" s="363"/>
      <c r="O816" s="363"/>
      <c r="P816" s="363"/>
      <c r="Q816" s="363"/>
      <c r="R816" s="363"/>
      <c r="S816" s="363"/>
      <c r="T816" s="363"/>
      <c r="U816" s="363"/>
      <c r="V816" s="363"/>
      <c r="W816" s="363"/>
      <c r="X816" s="363"/>
      <c r="Y816" s="363"/>
      <c r="Z816" s="363"/>
    </row>
    <row r="817" spans="1:26" ht="9.75" customHeight="1">
      <c r="A817" s="90"/>
      <c r="B817" s="90"/>
      <c r="C817" s="90"/>
      <c r="D817" s="90"/>
      <c r="E817" s="90"/>
      <c r="F817" s="90"/>
      <c r="G817" s="90"/>
      <c r="H817" s="363"/>
      <c r="I817" s="363"/>
      <c r="J817" s="363"/>
      <c r="K817" s="363"/>
      <c r="L817" s="363"/>
      <c r="M817" s="363"/>
      <c r="N817" s="363"/>
      <c r="O817" s="363"/>
      <c r="P817" s="363"/>
      <c r="Q817" s="363"/>
      <c r="R817" s="363"/>
      <c r="S817" s="363"/>
      <c r="T817" s="363"/>
      <c r="U817" s="363"/>
      <c r="V817" s="363"/>
      <c r="W817" s="363"/>
      <c r="X817" s="363"/>
      <c r="Y817" s="363"/>
      <c r="Z817" s="363"/>
    </row>
    <row r="818" spans="1:26" ht="9.75" customHeight="1">
      <c r="A818" s="90"/>
      <c r="B818" s="90"/>
      <c r="C818" s="90"/>
      <c r="D818" s="90"/>
      <c r="E818" s="90"/>
      <c r="F818" s="90"/>
      <c r="G818" s="90"/>
      <c r="H818" s="363"/>
      <c r="I818" s="363"/>
      <c r="J818" s="363"/>
      <c r="K818" s="363"/>
      <c r="L818" s="363"/>
      <c r="M818" s="363"/>
      <c r="N818" s="363"/>
      <c r="O818" s="363"/>
      <c r="P818" s="363"/>
      <c r="Q818" s="363"/>
      <c r="R818" s="363"/>
      <c r="S818" s="363"/>
      <c r="T818" s="363"/>
      <c r="U818" s="363"/>
      <c r="V818" s="363"/>
      <c r="W818" s="363"/>
      <c r="X818" s="363"/>
      <c r="Y818" s="363"/>
      <c r="Z818" s="363"/>
    </row>
    <row r="819" spans="1:26" ht="9.75" customHeight="1">
      <c r="A819" s="90"/>
      <c r="B819" s="90"/>
      <c r="C819" s="90"/>
      <c r="D819" s="90"/>
      <c r="E819" s="90"/>
      <c r="F819" s="90"/>
      <c r="G819" s="90"/>
      <c r="H819" s="363"/>
      <c r="I819" s="363"/>
      <c r="J819" s="363"/>
      <c r="K819" s="363"/>
      <c r="L819" s="363"/>
      <c r="M819" s="363"/>
      <c r="N819" s="363"/>
      <c r="O819" s="363"/>
      <c r="P819" s="363"/>
      <c r="Q819" s="363"/>
      <c r="R819" s="363"/>
      <c r="S819" s="363"/>
      <c r="T819" s="363"/>
      <c r="U819" s="363"/>
      <c r="V819" s="363"/>
      <c r="W819" s="363"/>
      <c r="X819" s="363"/>
      <c r="Y819" s="363"/>
      <c r="Z819" s="363"/>
    </row>
    <row r="820" spans="1:26" ht="9.75" customHeight="1">
      <c r="A820" s="90"/>
      <c r="B820" s="90"/>
      <c r="C820" s="90"/>
      <c r="D820" s="90"/>
      <c r="E820" s="90"/>
      <c r="F820" s="90"/>
      <c r="G820" s="90"/>
      <c r="H820" s="363"/>
      <c r="I820" s="363"/>
      <c r="J820" s="363"/>
      <c r="K820" s="363"/>
      <c r="L820" s="363"/>
      <c r="M820" s="363"/>
      <c r="N820" s="363"/>
      <c r="O820" s="363"/>
      <c r="P820" s="363"/>
      <c r="Q820" s="363"/>
      <c r="R820" s="363"/>
      <c r="S820" s="363"/>
      <c r="T820" s="363"/>
      <c r="U820" s="363"/>
      <c r="V820" s="363"/>
      <c r="W820" s="363"/>
      <c r="X820" s="363"/>
      <c r="Y820" s="363"/>
      <c r="Z820" s="363"/>
    </row>
    <row r="821" spans="1:26" ht="9.75" customHeight="1">
      <c r="A821" s="90"/>
      <c r="B821" s="90"/>
      <c r="C821" s="90"/>
      <c r="D821" s="90"/>
      <c r="E821" s="90"/>
      <c r="F821" s="90"/>
      <c r="G821" s="90"/>
      <c r="H821" s="363"/>
      <c r="I821" s="363"/>
      <c r="J821" s="363"/>
      <c r="K821" s="363"/>
      <c r="L821" s="363"/>
      <c r="M821" s="363"/>
      <c r="N821" s="363"/>
      <c r="O821" s="363"/>
      <c r="P821" s="363"/>
      <c r="Q821" s="363"/>
      <c r="R821" s="363"/>
      <c r="S821" s="363"/>
      <c r="T821" s="363"/>
      <c r="U821" s="363"/>
      <c r="V821" s="363"/>
      <c r="W821" s="363"/>
      <c r="X821" s="363"/>
      <c r="Y821" s="363"/>
      <c r="Z821" s="363"/>
    </row>
    <row r="822" spans="1:26" ht="9.75" customHeight="1">
      <c r="A822" s="90"/>
      <c r="B822" s="90"/>
      <c r="C822" s="90"/>
      <c r="D822" s="90"/>
      <c r="E822" s="90"/>
      <c r="F822" s="90"/>
      <c r="G822" s="90"/>
      <c r="H822" s="363"/>
      <c r="I822" s="363"/>
      <c r="J822" s="363"/>
      <c r="K822" s="363"/>
      <c r="L822" s="363"/>
      <c r="M822" s="363"/>
      <c r="N822" s="363"/>
      <c r="O822" s="363"/>
      <c r="P822" s="363"/>
      <c r="Q822" s="363"/>
      <c r="R822" s="363"/>
      <c r="S822" s="363"/>
      <c r="T822" s="363"/>
      <c r="U822" s="363"/>
      <c r="V822" s="363"/>
      <c r="W822" s="363"/>
      <c r="X822" s="363"/>
      <c r="Y822" s="363"/>
      <c r="Z822" s="363"/>
    </row>
    <row r="823" spans="1:26" ht="9.75" customHeight="1">
      <c r="A823" s="90"/>
      <c r="B823" s="90"/>
      <c r="C823" s="90"/>
      <c r="D823" s="90"/>
      <c r="E823" s="90"/>
      <c r="F823" s="90"/>
      <c r="G823" s="90"/>
      <c r="H823" s="363"/>
      <c r="I823" s="363"/>
      <c r="J823" s="363"/>
      <c r="K823" s="363"/>
      <c r="L823" s="363"/>
      <c r="M823" s="363"/>
      <c r="N823" s="363"/>
      <c r="O823" s="363"/>
      <c r="P823" s="363"/>
      <c r="Q823" s="363"/>
      <c r="R823" s="363"/>
      <c r="S823" s="363"/>
      <c r="T823" s="363"/>
      <c r="U823" s="363"/>
      <c r="V823" s="363"/>
      <c r="W823" s="363"/>
      <c r="X823" s="363"/>
      <c r="Y823" s="363"/>
      <c r="Z823" s="363"/>
    </row>
    <row r="824" spans="1:26" ht="9.75" customHeight="1">
      <c r="A824" s="90"/>
      <c r="B824" s="90"/>
      <c r="C824" s="90"/>
      <c r="D824" s="90"/>
      <c r="E824" s="90"/>
      <c r="F824" s="90"/>
      <c r="G824" s="90"/>
      <c r="H824" s="363"/>
      <c r="I824" s="363"/>
      <c r="J824" s="363"/>
      <c r="K824" s="363"/>
      <c r="L824" s="363"/>
      <c r="M824" s="363"/>
      <c r="N824" s="363"/>
      <c r="O824" s="363"/>
      <c r="P824" s="363"/>
      <c r="Q824" s="363"/>
      <c r="R824" s="363"/>
      <c r="S824" s="363"/>
      <c r="T824" s="363"/>
      <c r="U824" s="363"/>
      <c r="V824" s="363"/>
      <c r="W824" s="363"/>
      <c r="X824" s="363"/>
      <c r="Y824" s="363"/>
      <c r="Z824" s="363"/>
    </row>
    <row r="825" spans="1:26" ht="9.75" customHeight="1">
      <c r="A825" s="90"/>
      <c r="B825" s="90"/>
      <c r="C825" s="90"/>
      <c r="D825" s="90"/>
      <c r="E825" s="90"/>
      <c r="F825" s="90"/>
      <c r="G825" s="90"/>
      <c r="H825" s="363"/>
      <c r="I825" s="363"/>
      <c r="J825" s="363"/>
      <c r="K825" s="363"/>
      <c r="L825" s="363"/>
      <c r="M825" s="363"/>
      <c r="N825" s="363"/>
      <c r="O825" s="363"/>
      <c r="P825" s="363"/>
      <c r="Q825" s="363"/>
      <c r="R825" s="363"/>
      <c r="S825" s="363"/>
      <c r="T825" s="363"/>
      <c r="U825" s="363"/>
      <c r="V825" s="363"/>
      <c r="W825" s="363"/>
      <c r="X825" s="363"/>
      <c r="Y825" s="363"/>
      <c r="Z825" s="363"/>
    </row>
    <row r="826" spans="1:26" ht="9.75" customHeight="1">
      <c r="A826" s="90"/>
      <c r="B826" s="90"/>
      <c r="C826" s="90"/>
      <c r="D826" s="90"/>
      <c r="E826" s="90"/>
      <c r="F826" s="90"/>
      <c r="G826" s="90"/>
      <c r="H826" s="363"/>
      <c r="I826" s="363"/>
      <c r="J826" s="363"/>
      <c r="K826" s="363"/>
      <c r="L826" s="363"/>
      <c r="M826" s="363"/>
      <c r="N826" s="363"/>
      <c r="O826" s="363"/>
      <c r="P826" s="363"/>
      <c r="Q826" s="363"/>
      <c r="R826" s="363"/>
      <c r="S826" s="363"/>
      <c r="T826" s="363"/>
      <c r="U826" s="363"/>
      <c r="V826" s="363"/>
      <c r="W826" s="363"/>
      <c r="X826" s="363"/>
      <c r="Y826" s="363"/>
      <c r="Z826" s="363"/>
    </row>
    <row r="827" spans="1:26" ht="9.75" customHeight="1">
      <c r="A827" s="90"/>
      <c r="B827" s="90"/>
      <c r="C827" s="90"/>
      <c r="D827" s="90"/>
      <c r="E827" s="90"/>
      <c r="F827" s="90"/>
      <c r="G827" s="90"/>
      <c r="H827" s="363"/>
      <c r="I827" s="363"/>
      <c r="J827" s="363"/>
      <c r="K827" s="363"/>
      <c r="L827" s="363"/>
      <c r="M827" s="363"/>
      <c r="N827" s="363"/>
      <c r="O827" s="363"/>
      <c r="P827" s="363"/>
      <c r="Q827" s="363"/>
      <c r="R827" s="363"/>
      <c r="S827" s="363"/>
      <c r="T827" s="363"/>
      <c r="U827" s="363"/>
      <c r="V827" s="363"/>
      <c r="W827" s="363"/>
      <c r="X827" s="363"/>
      <c r="Y827" s="363"/>
      <c r="Z827" s="363"/>
    </row>
    <row r="828" spans="1:26" ht="9.75" customHeight="1">
      <c r="A828" s="90"/>
      <c r="B828" s="90"/>
      <c r="C828" s="90"/>
      <c r="D828" s="90"/>
      <c r="E828" s="90"/>
      <c r="F828" s="90"/>
      <c r="G828" s="90"/>
      <c r="H828" s="363"/>
      <c r="I828" s="363"/>
      <c r="J828" s="363"/>
      <c r="K828" s="363"/>
      <c r="L828" s="363"/>
      <c r="M828" s="363"/>
      <c r="N828" s="363"/>
      <c r="O828" s="363"/>
      <c r="P828" s="363"/>
      <c r="Q828" s="363"/>
      <c r="R828" s="363"/>
      <c r="S828" s="363"/>
      <c r="T828" s="363"/>
      <c r="U828" s="363"/>
      <c r="V828" s="363"/>
      <c r="W828" s="363"/>
      <c r="X828" s="363"/>
      <c r="Y828" s="363"/>
      <c r="Z828" s="363"/>
    </row>
    <row r="829" spans="1:26" ht="9.75" customHeight="1">
      <c r="A829" s="90"/>
      <c r="B829" s="90"/>
      <c r="C829" s="90"/>
      <c r="D829" s="90"/>
      <c r="E829" s="90"/>
      <c r="F829" s="90"/>
      <c r="G829" s="90"/>
      <c r="H829" s="363"/>
      <c r="I829" s="363"/>
      <c r="J829" s="363"/>
      <c r="K829" s="363"/>
      <c r="L829" s="363"/>
      <c r="M829" s="363"/>
      <c r="N829" s="363"/>
      <c r="O829" s="363"/>
      <c r="P829" s="363"/>
      <c r="Q829" s="363"/>
      <c r="R829" s="363"/>
      <c r="S829" s="363"/>
      <c r="T829" s="363"/>
      <c r="U829" s="363"/>
      <c r="V829" s="363"/>
      <c r="W829" s="363"/>
      <c r="X829" s="363"/>
      <c r="Y829" s="363"/>
      <c r="Z829" s="363"/>
    </row>
    <row r="830" spans="1:26" ht="9.75" customHeight="1">
      <c r="A830" s="90"/>
      <c r="B830" s="90"/>
      <c r="C830" s="90"/>
      <c r="D830" s="90"/>
      <c r="E830" s="90"/>
      <c r="F830" s="90"/>
      <c r="G830" s="90"/>
      <c r="H830" s="363"/>
      <c r="I830" s="363"/>
      <c r="J830" s="363"/>
      <c r="K830" s="363"/>
      <c r="L830" s="363"/>
      <c r="M830" s="363"/>
      <c r="N830" s="363"/>
      <c r="O830" s="363"/>
      <c r="P830" s="363"/>
      <c r="Q830" s="363"/>
      <c r="R830" s="363"/>
      <c r="S830" s="363"/>
      <c r="T830" s="363"/>
      <c r="U830" s="363"/>
      <c r="V830" s="363"/>
      <c r="W830" s="363"/>
      <c r="X830" s="363"/>
      <c r="Y830" s="363"/>
      <c r="Z830" s="363"/>
    </row>
    <row r="831" spans="1:26" ht="9.75" customHeight="1">
      <c r="A831" s="90"/>
      <c r="B831" s="90"/>
      <c r="C831" s="90"/>
      <c r="D831" s="90"/>
      <c r="E831" s="90"/>
      <c r="F831" s="90"/>
      <c r="G831" s="90"/>
      <c r="H831" s="363"/>
      <c r="I831" s="363"/>
      <c r="J831" s="363"/>
      <c r="K831" s="363"/>
      <c r="L831" s="363"/>
      <c r="M831" s="363"/>
      <c r="N831" s="363"/>
      <c r="O831" s="363"/>
      <c r="P831" s="363"/>
      <c r="Q831" s="363"/>
      <c r="R831" s="363"/>
      <c r="S831" s="363"/>
      <c r="T831" s="363"/>
      <c r="U831" s="363"/>
      <c r="V831" s="363"/>
      <c r="W831" s="363"/>
      <c r="X831" s="363"/>
      <c r="Y831" s="363"/>
      <c r="Z831" s="363"/>
    </row>
    <row r="832" spans="1:26" ht="9.75" customHeight="1">
      <c r="A832" s="90"/>
      <c r="B832" s="90"/>
      <c r="C832" s="90"/>
      <c r="D832" s="90"/>
      <c r="E832" s="90"/>
      <c r="F832" s="90"/>
      <c r="G832" s="90"/>
      <c r="H832" s="363"/>
      <c r="I832" s="363"/>
      <c r="J832" s="363"/>
      <c r="K832" s="363"/>
      <c r="L832" s="363"/>
      <c r="M832" s="363"/>
      <c r="N832" s="363"/>
      <c r="O832" s="363"/>
      <c r="P832" s="363"/>
      <c r="Q832" s="363"/>
      <c r="R832" s="363"/>
      <c r="S832" s="363"/>
      <c r="T832" s="363"/>
      <c r="U832" s="363"/>
      <c r="V832" s="363"/>
      <c r="W832" s="363"/>
      <c r="X832" s="363"/>
      <c r="Y832" s="363"/>
      <c r="Z832" s="363"/>
    </row>
    <row r="833" spans="1:26" ht="9.75" customHeight="1">
      <c r="A833" s="90"/>
      <c r="B833" s="90"/>
      <c r="C833" s="90"/>
      <c r="D833" s="90"/>
      <c r="E833" s="90"/>
      <c r="F833" s="90"/>
      <c r="G833" s="90"/>
      <c r="H833" s="363"/>
      <c r="I833" s="363"/>
      <c r="J833" s="363"/>
      <c r="K833" s="363"/>
      <c r="L833" s="363"/>
      <c r="M833" s="363"/>
      <c r="N833" s="363"/>
      <c r="O833" s="363"/>
      <c r="P833" s="363"/>
      <c r="Q833" s="363"/>
      <c r="R833" s="363"/>
      <c r="S833" s="363"/>
      <c r="T833" s="363"/>
      <c r="U833" s="363"/>
      <c r="V833" s="363"/>
      <c r="W833" s="363"/>
      <c r="X833" s="363"/>
      <c r="Y833" s="363"/>
      <c r="Z833" s="363"/>
    </row>
    <row r="834" spans="1:26" ht="9.75" customHeight="1">
      <c r="A834" s="90"/>
      <c r="B834" s="90"/>
      <c r="C834" s="90"/>
      <c r="D834" s="90"/>
      <c r="E834" s="90"/>
      <c r="F834" s="90"/>
      <c r="G834" s="90"/>
      <c r="H834" s="363"/>
      <c r="I834" s="363"/>
      <c r="J834" s="363"/>
      <c r="K834" s="363"/>
      <c r="L834" s="363"/>
      <c r="M834" s="363"/>
      <c r="N834" s="363"/>
      <c r="O834" s="363"/>
      <c r="P834" s="363"/>
      <c r="Q834" s="363"/>
      <c r="R834" s="363"/>
      <c r="S834" s="363"/>
      <c r="T834" s="363"/>
      <c r="U834" s="363"/>
      <c r="V834" s="363"/>
      <c r="W834" s="363"/>
      <c r="X834" s="363"/>
      <c r="Y834" s="363"/>
      <c r="Z834" s="363"/>
    </row>
    <row r="835" spans="1:26" ht="9.75" customHeight="1">
      <c r="A835" s="90"/>
      <c r="B835" s="90"/>
      <c r="C835" s="90"/>
      <c r="D835" s="90"/>
      <c r="E835" s="90"/>
      <c r="F835" s="90"/>
      <c r="G835" s="90"/>
      <c r="H835" s="363"/>
      <c r="I835" s="363"/>
      <c r="J835" s="363"/>
      <c r="K835" s="363"/>
      <c r="L835" s="363"/>
      <c r="M835" s="363"/>
      <c r="N835" s="363"/>
      <c r="O835" s="363"/>
      <c r="P835" s="363"/>
      <c r="Q835" s="363"/>
      <c r="R835" s="363"/>
      <c r="S835" s="363"/>
      <c r="T835" s="363"/>
      <c r="U835" s="363"/>
      <c r="V835" s="363"/>
      <c r="W835" s="363"/>
      <c r="X835" s="363"/>
      <c r="Y835" s="363"/>
      <c r="Z835" s="363"/>
    </row>
    <row r="836" spans="1:26" ht="9.75" customHeight="1">
      <c r="A836" s="90"/>
      <c r="B836" s="90"/>
      <c r="C836" s="90"/>
      <c r="D836" s="90"/>
      <c r="E836" s="90"/>
      <c r="F836" s="90"/>
      <c r="G836" s="90"/>
      <c r="H836" s="363"/>
      <c r="I836" s="363"/>
      <c r="J836" s="363"/>
      <c r="K836" s="363"/>
      <c r="L836" s="363"/>
      <c r="M836" s="363"/>
      <c r="N836" s="363"/>
      <c r="O836" s="363"/>
      <c r="P836" s="363"/>
      <c r="Q836" s="363"/>
      <c r="R836" s="363"/>
      <c r="S836" s="363"/>
      <c r="T836" s="363"/>
      <c r="U836" s="363"/>
      <c r="V836" s="363"/>
      <c r="W836" s="363"/>
      <c r="X836" s="363"/>
      <c r="Y836" s="363"/>
      <c r="Z836" s="363"/>
    </row>
    <row r="837" spans="1:26" ht="9.75" customHeight="1">
      <c r="A837" s="90"/>
      <c r="B837" s="90"/>
      <c r="C837" s="90"/>
      <c r="D837" s="90"/>
      <c r="E837" s="90"/>
      <c r="F837" s="90"/>
      <c r="G837" s="90"/>
      <c r="H837" s="363"/>
      <c r="I837" s="363"/>
      <c r="J837" s="363"/>
      <c r="K837" s="363"/>
      <c r="L837" s="363"/>
      <c r="M837" s="363"/>
      <c r="N837" s="363"/>
      <c r="O837" s="363"/>
      <c r="P837" s="363"/>
      <c r="Q837" s="363"/>
      <c r="R837" s="363"/>
      <c r="S837" s="363"/>
      <c r="T837" s="363"/>
      <c r="U837" s="363"/>
      <c r="V837" s="363"/>
      <c r="W837" s="363"/>
      <c r="X837" s="363"/>
      <c r="Y837" s="363"/>
      <c r="Z837" s="363"/>
    </row>
    <row r="838" spans="1:26" ht="9.75" customHeight="1">
      <c r="A838" s="90"/>
      <c r="B838" s="90"/>
      <c r="C838" s="90"/>
      <c r="D838" s="90"/>
      <c r="E838" s="90"/>
      <c r="F838" s="90"/>
      <c r="G838" s="90"/>
      <c r="H838" s="363"/>
      <c r="I838" s="363"/>
      <c r="J838" s="363"/>
      <c r="K838" s="363"/>
      <c r="L838" s="363"/>
      <c r="M838" s="363"/>
      <c r="N838" s="363"/>
      <c r="O838" s="363"/>
      <c r="P838" s="363"/>
      <c r="Q838" s="363"/>
      <c r="R838" s="363"/>
      <c r="S838" s="363"/>
      <c r="T838" s="363"/>
      <c r="U838" s="363"/>
      <c r="V838" s="363"/>
      <c r="W838" s="363"/>
      <c r="X838" s="363"/>
      <c r="Y838" s="363"/>
      <c r="Z838" s="363"/>
    </row>
    <row r="839" spans="1:26" ht="9.75" customHeight="1">
      <c r="A839" s="90"/>
      <c r="B839" s="90"/>
      <c r="C839" s="90"/>
      <c r="D839" s="90"/>
      <c r="E839" s="90"/>
      <c r="F839" s="90"/>
      <c r="G839" s="90"/>
      <c r="H839" s="363"/>
      <c r="I839" s="363"/>
      <c r="J839" s="363"/>
      <c r="K839" s="363"/>
      <c r="L839" s="363"/>
      <c r="M839" s="363"/>
      <c r="N839" s="363"/>
      <c r="O839" s="363"/>
      <c r="P839" s="363"/>
      <c r="Q839" s="363"/>
      <c r="R839" s="363"/>
      <c r="S839" s="363"/>
      <c r="T839" s="363"/>
      <c r="U839" s="363"/>
      <c r="V839" s="363"/>
      <c r="W839" s="363"/>
      <c r="X839" s="363"/>
      <c r="Y839" s="363"/>
      <c r="Z839" s="363"/>
    </row>
    <row r="840" spans="1:26" ht="9.75" customHeight="1">
      <c r="A840" s="90"/>
      <c r="B840" s="90"/>
      <c r="C840" s="90"/>
      <c r="D840" s="90"/>
      <c r="E840" s="90"/>
      <c r="F840" s="90"/>
      <c r="G840" s="90"/>
      <c r="H840" s="363"/>
      <c r="I840" s="363"/>
      <c r="J840" s="363"/>
      <c r="K840" s="363"/>
      <c r="L840" s="363"/>
      <c r="M840" s="363"/>
      <c r="N840" s="363"/>
      <c r="O840" s="363"/>
      <c r="P840" s="363"/>
      <c r="Q840" s="363"/>
      <c r="R840" s="363"/>
      <c r="S840" s="363"/>
      <c r="T840" s="363"/>
      <c r="U840" s="363"/>
      <c r="V840" s="363"/>
      <c r="W840" s="363"/>
      <c r="X840" s="363"/>
      <c r="Y840" s="363"/>
      <c r="Z840" s="363"/>
    </row>
    <row r="841" spans="1:26" ht="9.75" customHeight="1">
      <c r="A841" s="90"/>
      <c r="B841" s="90"/>
      <c r="C841" s="90"/>
      <c r="D841" s="90"/>
      <c r="E841" s="90"/>
      <c r="F841" s="90"/>
      <c r="G841" s="90"/>
      <c r="H841" s="363"/>
      <c r="I841" s="363"/>
      <c r="J841" s="363"/>
      <c r="K841" s="363"/>
      <c r="L841" s="363"/>
      <c r="M841" s="363"/>
      <c r="N841" s="363"/>
      <c r="O841" s="363"/>
      <c r="P841" s="363"/>
      <c r="Q841" s="363"/>
      <c r="R841" s="363"/>
      <c r="S841" s="363"/>
      <c r="T841" s="363"/>
      <c r="U841" s="363"/>
      <c r="V841" s="363"/>
      <c r="W841" s="363"/>
      <c r="X841" s="363"/>
      <c r="Y841" s="363"/>
      <c r="Z841" s="363"/>
    </row>
    <row r="842" spans="1:26" ht="9.75" customHeight="1">
      <c r="A842" s="90"/>
      <c r="B842" s="90"/>
      <c r="C842" s="90"/>
      <c r="D842" s="90"/>
      <c r="E842" s="90"/>
      <c r="F842" s="90"/>
      <c r="G842" s="90"/>
      <c r="H842" s="363"/>
      <c r="I842" s="363"/>
      <c r="J842" s="363"/>
      <c r="K842" s="363"/>
      <c r="L842" s="363"/>
      <c r="M842" s="363"/>
      <c r="N842" s="363"/>
      <c r="O842" s="363"/>
      <c r="P842" s="363"/>
      <c r="Q842" s="363"/>
      <c r="R842" s="363"/>
      <c r="S842" s="363"/>
      <c r="T842" s="363"/>
      <c r="U842" s="363"/>
      <c r="V842" s="363"/>
      <c r="W842" s="363"/>
      <c r="X842" s="363"/>
      <c r="Y842" s="363"/>
      <c r="Z842" s="363"/>
    </row>
    <row r="843" spans="1:26" ht="9.75" customHeight="1">
      <c r="A843" s="90"/>
      <c r="B843" s="90"/>
      <c r="C843" s="90"/>
      <c r="D843" s="90"/>
      <c r="E843" s="90"/>
      <c r="F843" s="90"/>
      <c r="G843" s="90"/>
      <c r="H843" s="363"/>
      <c r="I843" s="363"/>
      <c r="J843" s="363"/>
      <c r="K843" s="363"/>
      <c r="L843" s="363"/>
      <c r="M843" s="363"/>
      <c r="N843" s="363"/>
      <c r="O843" s="363"/>
      <c r="P843" s="363"/>
      <c r="Q843" s="363"/>
      <c r="R843" s="363"/>
      <c r="S843" s="363"/>
      <c r="T843" s="363"/>
      <c r="U843" s="363"/>
      <c r="V843" s="363"/>
      <c r="W843" s="363"/>
      <c r="X843" s="363"/>
      <c r="Y843" s="363"/>
      <c r="Z843" s="363"/>
    </row>
    <row r="844" spans="1:26" ht="9.75" customHeight="1">
      <c r="A844" s="90"/>
      <c r="B844" s="90"/>
      <c r="C844" s="90"/>
      <c r="D844" s="90"/>
      <c r="E844" s="90"/>
      <c r="F844" s="90"/>
      <c r="G844" s="90"/>
      <c r="H844" s="363"/>
      <c r="I844" s="363"/>
      <c r="J844" s="363"/>
      <c r="K844" s="363"/>
      <c r="L844" s="363"/>
      <c r="M844" s="363"/>
      <c r="N844" s="363"/>
      <c r="O844" s="363"/>
      <c r="P844" s="363"/>
      <c r="Q844" s="363"/>
      <c r="R844" s="363"/>
      <c r="S844" s="363"/>
      <c r="T844" s="363"/>
      <c r="U844" s="363"/>
      <c r="V844" s="363"/>
      <c r="W844" s="363"/>
      <c r="X844" s="363"/>
      <c r="Y844" s="363"/>
      <c r="Z844" s="363"/>
    </row>
    <row r="845" spans="1:26" ht="9.75" customHeight="1">
      <c r="A845" s="90"/>
      <c r="B845" s="90"/>
      <c r="C845" s="90"/>
      <c r="D845" s="90"/>
      <c r="E845" s="90"/>
      <c r="F845" s="90"/>
      <c r="G845" s="90"/>
      <c r="H845" s="363"/>
      <c r="I845" s="363"/>
      <c r="J845" s="363"/>
      <c r="K845" s="363"/>
      <c r="L845" s="363"/>
      <c r="M845" s="363"/>
      <c r="N845" s="363"/>
      <c r="O845" s="363"/>
      <c r="P845" s="363"/>
      <c r="Q845" s="363"/>
      <c r="R845" s="363"/>
      <c r="S845" s="363"/>
      <c r="T845" s="363"/>
      <c r="U845" s="363"/>
      <c r="V845" s="363"/>
      <c r="W845" s="363"/>
      <c r="X845" s="363"/>
      <c r="Y845" s="363"/>
      <c r="Z845" s="363"/>
    </row>
    <row r="846" spans="1:26" ht="9.75" customHeight="1">
      <c r="A846" s="90"/>
      <c r="B846" s="90"/>
      <c r="C846" s="90"/>
      <c r="D846" s="90"/>
      <c r="E846" s="90"/>
      <c r="F846" s="90"/>
      <c r="G846" s="90"/>
      <c r="H846" s="363"/>
      <c r="I846" s="363"/>
      <c r="J846" s="363"/>
      <c r="K846" s="363"/>
      <c r="L846" s="363"/>
      <c r="M846" s="363"/>
      <c r="N846" s="363"/>
      <c r="O846" s="363"/>
      <c r="P846" s="363"/>
      <c r="Q846" s="363"/>
      <c r="R846" s="363"/>
      <c r="S846" s="363"/>
      <c r="T846" s="363"/>
      <c r="U846" s="363"/>
      <c r="V846" s="363"/>
      <c r="W846" s="363"/>
      <c r="X846" s="363"/>
      <c r="Y846" s="363"/>
      <c r="Z846" s="363"/>
    </row>
    <row r="847" spans="1:26" ht="9.75" customHeight="1">
      <c r="A847" s="90"/>
      <c r="B847" s="90"/>
      <c r="C847" s="90"/>
      <c r="D847" s="90"/>
      <c r="E847" s="90"/>
      <c r="F847" s="90"/>
      <c r="G847" s="90"/>
      <c r="H847" s="363"/>
      <c r="I847" s="363"/>
      <c r="J847" s="363"/>
      <c r="K847" s="363"/>
      <c r="L847" s="363"/>
      <c r="M847" s="363"/>
      <c r="N847" s="363"/>
      <c r="O847" s="363"/>
      <c r="P847" s="363"/>
      <c r="Q847" s="363"/>
      <c r="R847" s="363"/>
      <c r="S847" s="363"/>
      <c r="T847" s="363"/>
      <c r="U847" s="363"/>
      <c r="V847" s="363"/>
      <c r="W847" s="363"/>
      <c r="X847" s="363"/>
      <c r="Y847" s="363"/>
      <c r="Z847" s="363"/>
    </row>
    <row r="848" spans="1:26" ht="9.75" customHeight="1">
      <c r="A848" s="90"/>
      <c r="B848" s="90"/>
      <c r="C848" s="90"/>
      <c r="D848" s="90"/>
      <c r="E848" s="90"/>
      <c r="F848" s="90"/>
      <c r="G848" s="90"/>
      <c r="H848" s="363"/>
      <c r="I848" s="363"/>
      <c r="J848" s="363"/>
      <c r="K848" s="363"/>
      <c r="L848" s="363"/>
      <c r="M848" s="363"/>
      <c r="N848" s="363"/>
      <c r="O848" s="363"/>
      <c r="P848" s="363"/>
      <c r="Q848" s="363"/>
      <c r="R848" s="363"/>
      <c r="S848" s="363"/>
      <c r="T848" s="363"/>
      <c r="U848" s="363"/>
      <c r="V848" s="363"/>
      <c r="W848" s="363"/>
      <c r="X848" s="363"/>
      <c r="Y848" s="363"/>
      <c r="Z848" s="363"/>
    </row>
    <row r="849" spans="1:26" ht="9.75" customHeight="1">
      <c r="A849" s="90"/>
      <c r="B849" s="90"/>
      <c r="C849" s="90"/>
      <c r="D849" s="90"/>
      <c r="E849" s="90"/>
      <c r="F849" s="90"/>
      <c r="G849" s="90"/>
      <c r="H849" s="363"/>
      <c r="I849" s="363"/>
      <c r="J849" s="363"/>
      <c r="K849" s="363"/>
      <c r="L849" s="363"/>
      <c r="M849" s="363"/>
      <c r="N849" s="363"/>
      <c r="O849" s="363"/>
      <c r="P849" s="363"/>
      <c r="Q849" s="363"/>
      <c r="R849" s="363"/>
      <c r="S849" s="363"/>
      <c r="T849" s="363"/>
      <c r="U849" s="363"/>
      <c r="V849" s="363"/>
      <c r="W849" s="363"/>
      <c r="X849" s="363"/>
      <c r="Y849" s="363"/>
      <c r="Z849" s="363"/>
    </row>
    <row r="850" spans="1:26" ht="9.75" customHeight="1">
      <c r="A850" s="90"/>
      <c r="B850" s="90"/>
      <c r="C850" s="90"/>
      <c r="D850" s="90"/>
      <c r="E850" s="90"/>
      <c r="F850" s="90"/>
      <c r="G850" s="90"/>
      <c r="H850" s="363"/>
      <c r="I850" s="363"/>
      <c r="J850" s="363"/>
      <c r="K850" s="363"/>
      <c r="L850" s="363"/>
      <c r="M850" s="363"/>
      <c r="N850" s="363"/>
      <c r="O850" s="363"/>
      <c r="P850" s="363"/>
      <c r="Q850" s="363"/>
      <c r="R850" s="363"/>
      <c r="S850" s="363"/>
      <c r="T850" s="363"/>
      <c r="U850" s="363"/>
      <c r="V850" s="363"/>
      <c r="W850" s="363"/>
      <c r="X850" s="363"/>
      <c r="Y850" s="363"/>
      <c r="Z850" s="363"/>
    </row>
    <row r="851" spans="1:26" ht="9.75" customHeight="1">
      <c r="A851" s="90"/>
      <c r="B851" s="90"/>
      <c r="C851" s="90"/>
      <c r="D851" s="90"/>
      <c r="E851" s="90"/>
      <c r="F851" s="90"/>
      <c r="G851" s="90"/>
      <c r="H851" s="363"/>
      <c r="I851" s="363"/>
      <c r="J851" s="363"/>
      <c r="K851" s="363"/>
      <c r="L851" s="363"/>
      <c r="M851" s="363"/>
      <c r="N851" s="363"/>
      <c r="O851" s="363"/>
      <c r="P851" s="363"/>
      <c r="Q851" s="363"/>
      <c r="R851" s="363"/>
      <c r="S851" s="363"/>
      <c r="T851" s="363"/>
      <c r="U851" s="363"/>
      <c r="V851" s="363"/>
      <c r="W851" s="363"/>
      <c r="X851" s="363"/>
      <c r="Y851" s="363"/>
      <c r="Z851" s="363"/>
    </row>
    <row r="852" spans="1:26" ht="9.75" customHeight="1">
      <c r="A852" s="90"/>
      <c r="B852" s="90"/>
      <c r="C852" s="90"/>
      <c r="D852" s="90"/>
      <c r="E852" s="90"/>
      <c r="F852" s="90"/>
      <c r="G852" s="90"/>
      <c r="H852" s="363"/>
      <c r="I852" s="363"/>
      <c r="J852" s="363"/>
      <c r="K852" s="363"/>
      <c r="L852" s="363"/>
      <c r="M852" s="363"/>
      <c r="N852" s="363"/>
      <c r="O852" s="363"/>
      <c r="P852" s="363"/>
      <c r="Q852" s="363"/>
      <c r="R852" s="363"/>
      <c r="S852" s="363"/>
      <c r="T852" s="363"/>
      <c r="U852" s="363"/>
      <c r="V852" s="363"/>
      <c r="W852" s="363"/>
      <c r="X852" s="363"/>
      <c r="Y852" s="363"/>
      <c r="Z852" s="363"/>
    </row>
    <row r="853" spans="1:26" ht="9.75" customHeight="1">
      <c r="A853" s="90"/>
      <c r="B853" s="90"/>
      <c r="C853" s="90"/>
      <c r="D853" s="90"/>
      <c r="E853" s="90"/>
      <c r="F853" s="90"/>
      <c r="G853" s="90"/>
      <c r="H853" s="363"/>
      <c r="I853" s="363"/>
      <c r="J853" s="363"/>
      <c r="K853" s="363"/>
      <c r="L853" s="363"/>
      <c r="M853" s="363"/>
      <c r="N853" s="363"/>
      <c r="O853" s="363"/>
      <c r="P853" s="363"/>
      <c r="Q853" s="363"/>
      <c r="R853" s="363"/>
      <c r="S853" s="363"/>
      <c r="T853" s="363"/>
      <c r="U853" s="363"/>
      <c r="V853" s="363"/>
      <c r="W853" s="363"/>
      <c r="X853" s="363"/>
      <c r="Y853" s="363"/>
      <c r="Z853" s="363"/>
    </row>
    <row r="854" spans="1:26" ht="9.75" customHeight="1">
      <c r="A854" s="90"/>
      <c r="B854" s="90"/>
      <c r="C854" s="90"/>
      <c r="D854" s="90"/>
      <c r="E854" s="90"/>
      <c r="F854" s="90"/>
      <c r="G854" s="90"/>
      <c r="H854" s="363"/>
      <c r="I854" s="363"/>
      <c r="J854" s="363"/>
      <c r="K854" s="363"/>
      <c r="L854" s="363"/>
      <c r="M854" s="363"/>
      <c r="N854" s="363"/>
      <c r="O854" s="363"/>
      <c r="P854" s="363"/>
      <c r="Q854" s="363"/>
      <c r="R854" s="363"/>
      <c r="S854" s="363"/>
      <c r="T854" s="363"/>
      <c r="U854" s="363"/>
      <c r="V854" s="363"/>
      <c r="W854" s="363"/>
      <c r="X854" s="363"/>
      <c r="Y854" s="363"/>
      <c r="Z854" s="363"/>
    </row>
    <row r="855" spans="1:26" ht="9.75" customHeight="1">
      <c r="A855" s="90"/>
      <c r="B855" s="90"/>
      <c r="C855" s="90"/>
      <c r="D855" s="90"/>
      <c r="E855" s="90"/>
      <c r="F855" s="90"/>
      <c r="G855" s="90"/>
      <c r="H855" s="363"/>
      <c r="I855" s="363"/>
      <c r="J855" s="363"/>
      <c r="K855" s="363"/>
      <c r="L855" s="363"/>
      <c r="M855" s="363"/>
      <c r="N855" s="363"/>
      <c r="O855" s="363"/>
      <c r="P855" s="363"/>
      <c r="Q855" s="363"/>
      <c r="R855" s="363"/>
      <c r="S855" s="363"/>
      <c r="T855" s="363"/>
      <c r="U855" s="363"/>
      <c r="V855" s="363"/>
      <c r="W855" s="363"/>
      <c r="X855" s="363"/>
      <c r="Y855" s="363"/>
      <c r="Z855" s="363"/>
    </row>
    <row r="856" spans="1:26" ht="9.75" customHeight="1">
      <c r="A856" s="90"/>
      <c r="B856" s="90"/>
      <c r="C856" s="90"/>
      <c r="D856" s="90"/>
      <c r="E856" s="90"/>
      <c r="F856" s="90"/>
      <c r="G856" s="90"/>
      <c r="H856" s="363"/>
      <c r="I856" s="363"/>
      <c r="J856" s="363"/>
      <c r="K856" s="363"/>
      <c r="L856" s="363"/>
      <c r="M856" s="363"/>
      <c r="N856" s="363"/>
      <c r="O856" s="363"/>
      <c r="P856" s="363"/>
      <c r="Q856" s="363"/>
      <c r="R856" s="363"/>
      <c r="S856" s="363"/>
      <c r="T856" s="363"/>
      <c r="U856" s="363"/>
      <c r="V856" s="363"/>
      <c r="W856" s="363"/>
      <c r="X856" s="363"/>
      <c r="Y856" s="363"/>
      <c r="Z856" s="363"/>
    </row>
    <row r="857" spans="1:26" ht="9.75" customHeight="1">
      <c r="A857" s="90"/>
      <c r="B857" s="90"/>
      <c r="C857" s="90"/>
      <c r="D857" s="90"/>
      <c r="E857" s="90"/>
      <c r="F857" s="90"/>
      <c r="G857" s="90"/>
      <c r="H857" s="363"/>
      <c r="I857" s="363"/>
      <c r="J857" s="363"/>
      <c r="K857" s="363"/>
      <c r="L857" s="363"/>
      <c r="M857" s="363"/>
      <c r="N857" s="363"/>
      <c r="O857" s="363"/>
      <c r="P857" s="363"/>
      <c r="Q857" s="363"/>
      <c r="R857" s="363"/>
      <c r="S857" s="363"/>
      <c r="T857" s="363"/>
      <c r="U857" s="363"/>
      <c r="V857" s="363"/>
      <c r="W857" s="363"/>
      <c r="X857" s="363"/>
      <c r="Y857" s="363"/>
      <c r="Z857" s="363"/>
    </row>
    <row r="858" spans="1:26" ht="9.75" customHeight="1">
      <c r="A858" s="90"/>
      <c r="B858" s="90"/>
      <c r="C858" s="90"/>
      <c r="D858" s="90"/>
      <c r="E858" s="90"/>
      <c r="F858" s="90"/>
      <c r="G858" s="90"/>
      <c r="H858" s="363"/>
      <c r="I858" s="363"/>
      <c r="J858" s="363"/>
      <c r="K858" s="363"/>
      <c r="L858" s="363"/>
      <c r="M858" s="363"/>
      <c r="N858" s="363"/>
      <c r="O858" s="363"/>
      <c r="P858" s="363"/>
      <c r="Q858" s="363"/>
      <c r="R858" s="363"/>
      <c r="S858" s="363"/>
      <c r="T858" s="363"/>
      <c r="U858" s="363"/>
      <c r="V858" s="363"/>
      <c r="W858" s="363"/>
      <c r="X858" s="363"/>
      <c r="Y858" s="363"/>
      <c r="Z858" s="363"/>
    </row>
    <row r="859" spans="1:26" ht="9.75" customHeight="1">
      <c r="A859" s="90"/>
      <c r="B859" s="90"/>
      <c r="C859" s="90"/>
      <c r="D859" s="90"/>
      <c r="E859" s="90"/>
      <c r="F859" s="90"/>
      <c r="G859" s="90"/>
      <c r="H859" s="363"/>
      <c r="I859" s="363"/>
      <c r="J859" s="363"/>
      <c r="K859" s="363"/>
      <c r="L859" s="363"/>
      <c r="M859" s="363"/>
      <c r="N859" s="363"/>
      <c r="O859" s="363"/>
      <c r="P859" s="363"/>
      <c r="Q859" s="363"/>
      <c r="R859" s="363"/>
      <c r="S859" s="363"/>
      <c r="T859" s="363"/>
      <c r="U859" s="363"/>
      <c r="V859" s="363"/>
      <c r="W859" s="363"/>
      <c r="X859" s="363"/>
      <c r="Y859" s="363"/>
      <c r="Z859" s="363"/>
    </row>
    <row r="860" spans="1:26" ht="9.75" customHeight="1">
      <c r="A860" s="90"/>
      <c r="B860" s="90"/>
      <c r="C860" s="90"/>
      <c r="D860" s="90"/>
      <c r="E860" s="90"/>
      <c r="F860" s="90"/>
      <c r="G860" s="90"/>
      <c r="H860" s="363"/>
      <c r="I860" s="363"/>
      <c r="J860" s="363"/>
      <c r="K860" s="363"/>
      <c r="L860" s="363"/>
      <c r="M860" s="363"/>
      <c r="N860" s="363"/>
      <c r="O860" s="363"/>
      <c r="P860" s="363"/>
      <c r="Q860" s="363"/>
      <c r="R860" s="363"/>
      <c r="S860" s="363"/>
      <c r="T860" s="363"/>
      <c r="U860" s="363"/>
      <c r="V860" s="363"/>
      <c r="W860" s="363"/>
      <c r="X860" s="363"/>
      <c r="Y860" s="363"/>
      <c r="Z860" s="363"/>
    </row>
    <row r="861" spans="1:26" ht="9.75" customHeight="1">
      <c r="A861" s="90"/>
      <c r="B861" s="90"/>
      <c r="C861" s="90"/>
      <c r="D861" s="90"/>
      <c r="E861" s="90"/>
      <c r="F861" s="90"/>
      <c r="G861" s="90"/>
      <c r="H861" s="363"/>
      <c r="I861" s="363"/>
      <c r="J861" s="363"/>
      <c r="K861" s="363"/>
      <c r="L861" s="363"/>
      <c r="M861" s="363"/>
      <c r="N861" s="363"/>
      <c r="O861" s="363"/>
      <c r="P861" s="363"/>
      <c r="Q861" s="363"/>
      <c r="R861" s="363"/>
      <c r="S861" s="363"/>
      <c r="T861" s="363"/>
      <c r="U861" s="363"/>
      <c r="V861" s="363"/>
      <c r="W861" s="363"/>
      <c r="X861" s="363"/>
      <c r="Y861" s="363"/>
      <c r="Z861" s="363"/>
    </row>
    <row r="862" spans="1:26" ht="9.75" customHeight="1">
      <c r="A862" s="90"/>
      <c r="B862" s="90"/>
      <c r="C862" s="90"/>
      <c r="D862" s="90"/>
      <c r="E862" s="90"/>
      <c r="F862" s="90"/>
      <c r="G862" s="90"/>
      <c r="H862" s="363"/>
      <c r="I862" s="363"/>
      <c r="J862" s="363"/>
      <c r="K862" s="363"/>
      <c r="L862" s="363"/>
      <c r="M862" s="363"/>
      <c r="N862" s="363"/>
      <c r="O862" s="363"/>
      <c r="P862" s="363"/>
      <c r="Q862" s="363"/>
      <c r="R862" s="363"/>
      <c r="S862" s="363"/>
      <c r="T862" s="363"/>
      <c r="U862" s="363"/>
      <c r="V862" s="363"/>
      <c r="W862" s="363"/>
      <c r="X862" s="363"/>
      <c r="Y862" s="363"/>
      <c r="Z862" s="363"/>
    </row>
    <row r="863" spans="1:26" ht="9.75" customHeight="1">
      <c r="A863" s="90"/>
      <c r="B863" s="90"/>
      <c r="C863" s="90"/>
      <c r="D863" s="90"/>
      <c r="E863" s="90"/>
      <c r="F863" s="90"/>
      <c r="G863" s="90"/>
      <c r="H863" s="363"/>
      <c r="I863" s="363"/>
      <c r="J863" s="363"/>
      <c r="K863" s="363"/>
      <c r="L863" s="363"/>
      <c r="M863" s="363"/>
      <c r="N863" s="363"/>
      <c r="O863" s="363"/>
      <c r="P863" s="363"/>
      <c r="Q863" s="363"/>
      <c r="R863" s="363"/>
      <c r="S863" s="363"/>
      <c r="T863" s="363"/>
      <c r="U863" s="363"/>
      <c r="V863" s="363"/>
      <c r="W863" s="363"/>
      <c r="X863" s="363"/>
      <c r="Y863" s="363"/>
      <c r="Z863" s="363"/>
    </row>
    <row r="864" spans="1:26" ht="9.75" customHeight="1">
      <c r="A864" s="90"/>
      <c r="B864" s="90"/>
      <c r="C864" s="90"/>
      <c r="D864" s="90"/>
      <c r="E864" s="90"/>
      <c r="F864" s="90"/>
      <c r="G864" s="90"/>
      <c r="H864" s="363"/>
      <c r="I864" s="363"/>
      <c r="J864" s="363"/>
      <c r="K864" s="363"/>
      <c r="L864" s="363"/>
      <c r="M864" s="363"/>
      <c r="N864" s="363"/>
      <c r="O864" s="363"/>
      <c r="P864" s="363"/>
      <c r="Q864" s="363"/>
      <c r="R864" s="363"/>
      <c r="S864" s="363"/>
      <c r="T864" s="363"/>
      <c r="U864" s="363"/>
      <c r="V864" s="363"/>
      <c r="W864" s="363"/>
      <c r="X864" s="363"/>
      <c r="Y864" s="363"/>
      <c r="Z864" s="363"/>
    </row>
    <row r="865" spans="1:26" ht="9.75" customHeight="1">
      <c r="A865" s="90"/>
      <c r="B865" s="90"/>
      <c r="C865" s="90"/>
      <c r="D865" s="90"/>
      <c r="E865" s="90"/>
      <c r="F865" s="90"/>
      <c r="G865" s="90"/>
      <c r="H865" s="363"/>
      <c r="I865" s="363"/>
      <c r="J865" s="363"/>
      <c r="K865" s="363"/>
      <c r="L865" s="363"/>
      <c r="M865" s="363"/>
      <c r="N865" s="363"/>
      <c r="O865" s="363"/>
      <c r="P865" s="363"/>
      <c r="Q865" s="363"/>
      <c r="R865" s="363"/>
      <c r="S865" s="363"/>
      <c r="T865" s="363"/>
      <c r="U865" s="363"/>
      <c r="V865" s="363"/>
      <c r="W865" s="363"/>
      <c r="X865" s="363"/>
      <c r="Y865" s="363"/>
      <c r="Z865" s="363"/>
    </row>
    <row r="866" spans="1:26" ht="9.75" customHeight="1">
      <c r="A866" s="90"/>
      <c r="B866" s="90"/>
      <c r="C866" s="90"/>
      <c r="D866" s="90"/>
      <c r="E866" s="90"/>
      <c r="F866" s="90"/>
      <c r="G866" s="90"/>
      <c r="H866" s="363"/>
      <c r="I866" s="363"/>
      <c r="J866" s="363"/>
      <c r="K866" s="363"/>
      <c r="L866" s="363"/>
      <c r="M866" s="363"/>
      <c r="N866" s="363"/>
      <c r="O866" s="363"/>
      <c r="P866" s="363"/>
      <c r="Q866" s="363"/>
      <c r="R866" s="363"/>
      <c r="S866" s="363"/>
      <c r="T866" s="363"/>
      <c r="U866" s="363"/>
      <c r="V866" s="363"/>
      <c r="W866" s="363"/>
      <c r="X866" s="363"/>
      <c r="Y866" s="363"/>
      <c r="Z866" s="363"/>
    </row>
    <row r="867" spans="1:26" ht="9.75" customHeight="1">
      <c r="A867" s="90"/>
      <c r="B867" s="90"/>
      <c r="C867" s="90"/>
      <c r="D867" s="90"/>
      <c r="E867" s="90"/>
      <c r="F867" s="90"/>
      <c r="G867" s="90"/>
      <c r="H867" s="363"/>
      <c r="I867" s="363"/>
      <c r="J867" s="363"/>
      <c r="K867" s="363"/>
      <c r="L867" s="363"/>
      <c r="M867" s="363"/>
      <c r="N867" s="363"/>
      <c r="O867" s="363"/>
      <c r="P867" s="363"/>
      <c r="Q867" s="363"/>
      <c r="R867" s="363"/>
      <c r="S867" s="363"/>
      <c r="T867" s="363"/>
      <c r="U867" s="363"/>
      <c r="V867" s="363"/>
      <c r="W867" s="363"/>
      <c r="X867" s="363"/>
      <c r="Y867" s="363"/>
      <c r="Z867" s="363"/>
    </row>
    <row r="868" spans="1:26" ht="9.75" customHeight="1">
      <c r="A868" s="90"/>
      <c r="B868" s="90"/>
      <c r="C868" s="90"/>
      <c r="D868" s="90"/>
      <c r="E868" s="90"/>
      <c r="F868" s="90"/>
      <c r="G868" s="90"/>
      <c r="H868" s="363"/>
      <c r="I868" s="363"/>
      <c r="J868" s="363"/>
      <c r="K868" s="363"/>
      <c r="L868" s="363"/>
      <c r="M868" s="363"/>
      <c r="N868" s="363"/>
      <c r="O868" s="363"/>
      <c r="P868" s="363"/>
      <c r="Q868" s="363"/>
      <c r="R868" s="363"/>
      <c r="S868" s="363"/>
      <c r="T868" s="363"/>
      <c r="U868" s="363"/>
      <c r="V868" s="363"/>
      <c r="W868" s="363"/>
      <c r="X868" s="363"/>
      <c r="Y868" s="363"/>
      <c r="Z868" s="363"/>
    </row>
    <row r="869" spans="1:26" ht="9.75" customHeight="1">
      <c r="A869" s="90"/>
      <c r="B869" s="90"/>
      <c r="C869" s="90"/>
      <c r="D869" s="90"/>
      <c r="E869" s="90"/>
      <c r="F869" s="90"/>
      <c r="G869" s="90"/>
      <c r="H869" s="363"/>
      <c r="I869" s="363"/>
      <c r="J869" s="363"/>
      <c r="K869" s="363"/>
      <c r="L869" s="363"/>
      <c r="M869" s="363"/>
      <c r="N869" s="363"/>
      <c r="O869" s="363"/>
      <c r="P869" s="363"/>
      <c r="Q869" s="363"/>
      <c r="R869" s="363"/>
      <c r="S869" s="363"/>
      <c r="T869" s="363"/>
      <c r="U869" s="363"/>
      <c r="V869" s="363"/>
      <c r="W869" s="363"/>
      <c r="X869" s="363"/>
      <c r="Y869" s="363"/>
      <c r="Z869" s="363"/>
    </row>
    <row r="870" spans="1:26" ht="9.75" customHeight="1">
      <c r="A870" s="90"/>
      <c r="B870" s="90"/>
      <c r="C870" s="90"/>
      <c r="D870" s="90"/>
      <c r="E870" s="90"/>
      <c r="F870" s="90"/>
      <c r="G870" s="90"/>
      <c r="H870" s="363"/>
      <c r="I870" s="363"/>
      <c r="J870" s="363"/>
      <c r="K870" s="363"/>
      <c r="L870" s="363"/>
      <c r="M870" s="363"/>
      <c r="N870" s="363"/>
      <c r="O870" s="363"/>
      <c r="P870" s="363"/>
      <c r="Q870" s="363"/>
      <c r="R870" s="363"/>
      <c r="S870" s="363"/>
      <c r="T870" s="363"/>
      <c r="U870" s="363"/>
      <c r="V870" s="363"/>
      <c r="W870" s="363"/>
      <c r="X870" s="363"/>
      <c r="Y870" s="363"/>
      <c r="Z870" s="363"/>
    </row>
    <row r="871" spans="1:26" ht="9.75" customHeight="1">
      <c r="A871" s="90"/>
      <c r="B871" s="90"/>
      <c r="C871" s="90"/>
      <c r="D871" s="90"/>
      <c r="E871" s="90"/>
      <c r="F871" s="90"/>
      <c r="G871" s="90"/>
      <c r="H871" s="363"/>
      <c r="I871" s="363"/>
      <c r="J871" s="363"/>
      <c r="K871" s="363"/>
      <c r="L871" s="363"/>
      <c r="M871" s="363"/>
      <c r="N871" s="363"/>
      <c r="O871" s="363"/>
      <c r="P871" s="363"/>
      <c r="Q871" s="363"/>
      <c r="R871" s="363"/>
      <c r="S871" s="363"/>
      <c r="T871" s="363"/>
      <c r="U871" s="363"/>
      <c r="V871" s="363"/>
      <c r="W871" s="363"/>
      <c r="X871" s="363"/>
      <c r="Y871" s="363"/>
      <c r="Z871" s="363"/>
    </row>
    <row r="872" spans="1:26" ht="9.75" customHeight="1">
      <c r="A872" s="90"/>
      <c r="B872" s="90"/>
      <c r="C872" s="90"/>
      <c r="D872" s="90"/>
      <c r="E872" s="90"/>
      <c r="F872" s="90"/>
      <c r="G872" s="90"/>
      <c r="H872" s="363"/>
      <c r="I872" s="363"/>
      <c r="J872" s="363"/>
      <c r="K872" s="363"/>
      <c r="L872" s="363"/>
      <c r="M872" s="363"/>
      <c r="N872" s="363"/>
      <c r="O872" s="363"/>
      <c r="P872" s="363"/>
      <c r="Q872" s="363"/>
      <c r="R872" s="363"/>
      <c r="S872" s="363"/>
      <c r="T872" s="363"/>
      <c r="U872" s="363"/>
      <c r="V872" s="363"/>
      <c r="W872" s="363"/>
      <c r="X872" s="363"/>
      <c r="Y872" s="363"/>
      <c r="Z872" s="363"/>
    </row>
    <row r="873" spans="1:26" ht="9.75" customHeight="1">
      <c r="A873" s="90"/>
      <c r="B873" s="90"/>
      <c r="C873" s="90"/>
      <c r="D873" s="90"/>
      <c r="E873" s="90"/>
      <c r="F873" s="90"/>
      <c r="G873" s="90"/>
      <c r="H873" s="363"/>
      <c r="I873" s="363"/>
      <c r="J873" s="363"/>
      <c r="K873" s="363"/>
      <c r="L873" s="363"/>
      <c r="M873" s="363"/>
      <c r="N873" s="363"/>
      <c r="O873" s="363"/>
      <c r="P873" s="363"/>
      <c r="Q873" s="363"/>
      <c r="R873" s="363"/>
      <c r="S873" s="363"/>
      <c r="T873" s="363"/>
      <c r="U873" s="363"/>
      <c r="V873" s="363"/>
      <c r="W873" s="363"/>
      <c r="X873" s="363"/>
      <c r="Y873" s="363"/>
      <c r="Z873" s="363"/>
    </row>
    <row r="874" spans="1:26" ht="9.75" customHeight="1">
      <c r="A874" s="90"/>
      <c r="B874" s="90"/>
      <c r="C874" s="90"/>
      <c r="D874" s="90"/>
      <c r="E874" s="90"/>
      <c r="F874" s="90"/>
      <c r="G874" s="90"/>
      <c r="H874" s="363"/>
      <c r="I874" s="363"/>
      <c r="J874" s="363"/>
      <c r="K874" s="363"/>
      <c r="L874" s="363"/>
      <c r="M874" s="363"/>
      <c r="N874" s="363"/>
      <c r="O874" s="363"/>
      <c r="P874" s="363"/>
      <c r="Q874" s="363"/>
      <c r="R874" s="363"/>
      <c r="S874" s="363"/>
      <c r="T874" s="363"/>
      <c r="U874" s="363"/>
      <c r="V874" s="363"/>
      <c r="W874" s="363"/>
      <c r="X874" s="363"/>
      <c r="Y874" s="363"/>
      <c r="Z874" s="363"/>
    </row>
    <row r="875" spans="1:26" ht="9.75" customHeight="1">
      <c r="A875" s="90"/>
      <c r="B875" s="90"/>
      <c r="C875" s="90"/>
      <c r="D875" s="90"/>
      <c r="E875" s="90"/>
      <c r="F875" s="90"/>
      <c r="G875" s="90"/>
      <c r="H875" s="363"/>
      <c r="I875" s="363"/>
      <c r="J875" s="363"/>
      <c r="K875" s="363"/>
      <c r="L875" s="363"/>
      <c r="M875" s="363"/>
      <c r="N875" s="363"/>
      <c r="O875" s="363"/>
      <c r="P875" s="363"/>
      <c r="Q875" s="363"/>
      <c r="R875" s="363"/>
      <c r="S875" s="363"/>
      <c r="T875" s="363"/>
      <c r="U875" s="363"/>
      <c r="V875" s="363"/>
      <c r="W875" s="363"/>
      <c r="X875" s="363"/>
      <c r="Y875" s="363"/>
      <c r="Z875" s="363"/>
    </row>
    <row r="876" spans="1:26" ht="9.75" customHeight="1">
      <c r="A876" s="90"/>
      <c r="B876" s="90"/>
      <c r="C876" s="90"/>
      <c r="D876" s="90"/>
      <c r="E876" s="90"/>
      <c r="F876" s="90"/>
      <c r="G876" s="90"/>
      <c r="H876" s="363"/>
      <c r="I876" s="363"/>
      <c r="J876" s="363"/>
      <c r="K876" s="363"/>
      <c r="L876" s="363"/>
      <c r="M876" s="363"/>
      <c r="N876" s="363"/>
      <c r="O876" s="363"/>
      <c r="P876" s="363"/>
      <c r="Q876" s="363"/>
      <c r="R876" s="363"/>
      <c r="S876" s="363"/>
      <c r="T876" s="363"/>
      <c r="U876" s="363"/>
      <c r="V876" s="363"/>
      <c r="W876" s="363"/>
      <c r="X876" s="363"/>
      <c r="Y876" s="363"/>
      <c r="Z876" s="363"/>
    </row>
    <row r="877" spans="1:26" ht="9.75" customHeight="1">
      <c r="A877" s="90"/>
      <c r="B877" s="90"/>
      <c r="C877" s="90"/>
      <c r="D877" s="90"/>
      <c r="E877" s="90"/>
      <c r="F877" s="90"/>
      <c r="G877" s="90"/>
      <c r="H877" s="363"/>
      <c r="I877" s="363"/>
      <c r="J877" s="363"/>
      <c r="K877" s="363"/>
      <c r="L877" s="363"/>
      <c r="M877" s="363"/>
      <c r="N877" s="363"/>
      <c r="O877" s="363"/>
      <c r="P877" s="363"/>
      <c r="Q877" s="363"/>
      <c r="R877" s="363"/>
      <c r="S877" s="363"/>
      <c r="T877" s="363"/>
      <c r="U877" s="363"/>
      <c r="V877" s="363"/>
      <c r="W877" s="363"/>
      <c r="X877" s="363"/>
      <c r="Y877" s="363"/>
      <c r="Z877" s="363"/>
    </row>
    <row r="878" spans="1:26" ht="9.75" customHeight="1">
      <c r="A878" s="90"/>
      <c r="B878" s="90"/>
      <c r="C878" s="90"/>
      <c r="D878" s="90"/>
      <c r="E878" s="90"/>
      <c r="F878" s="90"/>
      <c r="G878" s="90"/>
      <c r="H878" s="363"/>
      <c r="I878" s="363"/>
      <c r="J878" s="363"/>
      <c r="K878" s="363"/>
      <c r="L878" s="363"/>
      <c r="M878" s="363"/>
      <c r="N878" s="363"/>
      <c r="O878" s="363"/>
      <c r="P878" s="363"/>
      <c r="Q878" s="363"/>
      <c r="R878" s="363"/>
      <c r="S878" s="363"/>
      <c r="T878" s="363"/>
      <c r="U878" s="363"/>
      <c r="V878" s="363"/>
      <c r="W878" s="363"/>
      <c r="X878" s="363"/>
      <c r="Y878" s="363"/>
      <c r="Z878" s="363"/>
    </row>
    <row r="879" spans="1:26" ht="9.75" customHeight="1">
      <c r="A879" s="90"/>
      <c r="B879" s="90"/>
      <c r="C879" s="90"/>
      <c r="D879" s="90"/>
      <c r="E879" s="90"/>
      <c r="F879" s="90"/>
      <c r="G879" s="90"/>
      <c r="H879" s="363"/>
      <c r="I879" s="363"/>
      <c r="J879" s="363"/>
      <c r="K879" s="363"/>
      <c r="L879" s="363"/>
      <c r="M879" s="363"/>
      <c r="N879" s="363"/>
      <c r="O879" s="363"/>
      <c r="P879" s="363"/>
      <c r="Q879" s="363"/>
      <c r="R879" s="363"/>
      <c r="S879" s="363"/>
      <c r="T879" s="363"/>
      <c r="U879" s="363"/>
      <c r="V879" s="363"/>
      <c r="W879" s="363"/>
      <c r="X879" s="363"/>
      <c r="Y879" s="363"/>
      <c r="Z879" s="363"/>
    </row>
    <row r="880" spans="1:26" ht="9.75" customHeight="1">
      <c r="A880" s="90"/>
      <c r="B880" s="90"/>
      <c r="C880" s="90"/>
      <c r="D880" s="90"/>
      <c r="E880" s="90"/>
      <c r="F880" s="90"/>
      <c r="G880" s="90"/>
      <c r="H880" s="363"/>
      <c r="I880" s="363"/>
      <c r="J880" s="363"/>
      <c r="K880" s="363"/>
      <c r="L880" s="363"/>
      <c r="M880" s="363"/>
      <c r="N880" s="363"/>
      <c r="O880" s="363"/>
      <c r="P880" s="363"/>
      <c r="Q880" s="363"/>
      <c r="R880" s="363"/>
      <c r="S880" s="363"/>
      <c r="T880" s="363"/>
      <c r="U880" s="363"/>
      <c r="V880" s="363"/>
      <c r="W880" s="363"/>
      <c r="X880" s="363"/>
      <c r="Y880" s="363"/>
      <c r="Z880" s="363"/>
    </row>
    <row r="881" spans="1:26" ht="9.75" customHeight="1">
      <c r="A881" s="90"/>
      <c r="B881" s="90"/>
      <c r="C881" s="90"/>
      <c r="D881" s="90"/>
      <c r="E881" s="90"/>
      <c r="F881" s="90"/>
      <c r="G881" s="90"/>
      <c r="H881" s="363"/>
      <c r="I881" s="363"/>
      <c r="J881" s="363"/>
      <c r="K881" s="363"/>
      <c r="L881" s="363"/>
      <c r="M881" s="363"/>
      <c r="N881" s="363"/>
      <c r="O881" s="363"/>
      <c r="P881" s="363"/>
      <c r="Q881" s="363"/>
      <c r="R881" s="363"/>
      <c r="S881" s="363"/>
      <c r="T881" s="363"/>
      <c r="U881" s="363"/>
      <c r="V881" s="363"/>
      <c r="W881" s="363"/>
      <c r="X881" s="363"/>
      <c r="Y881" s="363"/>
      <c r="Z881" s="363"/>
    </row>
    <row r="882" spans="1:26" ht="9.75" customHeight="1">
      <c r="A882" s="90"/>
      <c r="B882" s="90"/>
      <c r="C882" s="90"/>
      <c r="D882" s="90"/>
      <c r="E882" s="90"/>
      <c r="F882" s="90"/>
      <c r="G882" s="90"/>
      <c r="H882" s="363"/>
      <c r="I882" s="363"/>
      <c r="J882" s="363"/>
      <c r="K882" s="363"/>
      <c r="L882" s="363"/>
      <c r="M882" s="363"/>
      <c r="N882" s="363"/>
      <c r="O882" s="363"/>
      <c r="P882" s="363"/>
      <c r="Q882" s="363"/>
      <c r="R882" s="363"/>
      <c r="S882" s="363"/>
      <c r="T882" s="363"/>
      <c r="U882" s="363"/>
      <c r="V882" s="363"/>
      <c r="W882" s="363"/>
      <c r="X882" s="363"/>
      <c r="Y882" s="363"/>
      <c r="Z882" s="363"/>
    </row>
    <row r="883" spans="1:26" ht="9.75" customHeight="1">
      <c r="A883" s="90"/>
      <c r="B883" s="90"/>
      <c r="C883" s="90"/>
      <c r="D883" s="90"/>
      <c r="E883" s="90"/>
      <c r="F883" s="90"/>
      <c r="G883" s="90"/>
      <c r="H883" s="363"/>
      <c r="I883" s="363"/>
      <c r="J883" s="363"/>
      <c r="K883" s="363"/>
      <c r="L883" s="363"/>
      <c r="M883" s="363"/>
      <c r="N883" s="363"/>
      <c r="O883" s="363"/>
      <c r="P883" s="363"/>
      <c r="Q883" s="363"/>
      <c r="R883" s="363"/>
      <c r="S883" s="363"/>
      <c r="T883" s="363"/>
      <c r="U883" s="363"/>
      <c r="V883" s="363"/>
      <c r="W883" s="363"/>
      <c r="X883" s="363"/>
      <c r="Y883" s="363"/>
      <c r="Z883" s="363"/>
    </row>
    <row r="884" spans="1:26" ht="9.75" customHeight="1">
      <c r="A884" s="90"/>
      <c r="B884" s="90"/>
      <c r="C884" s="90"/>
      <c r="D884" s="90"/>
      <c r="E884" s="90"/>
      <c r="F884" s="90"/>
      <c r="G884" s="90"/>
      <c r="H884" s="363"/>
      <c r="I884" s="363"/>
      <c r="J884" s="363"/>
      <c r="K884" s="363"/>
      <c r="L884" s="363"/>
      <c r="M884" s="363"/>
      <c r="N884" s="363"/>
      <c r="O884" s="363"/>
      <c r="P884" s="363"/>
      <c r="Q884" s="363"/>
      <c r="R884" s="363"/>
      <c r="S884" s="363"/>
      <c r="T884" s="363"/>
      <c r="U884" s="363"/>
      <c r="V884" s="363"/>
      <c r="W884" s="363"/>
      <c r="X884" s="363"/>
      <c r="Y884" s="363"/>
      <c r="Z884" s="363"/>
    </row>
    <row r="885" spans="1:26" ht="9.75" customHeight="1">
      <c r="A885" s="90"/>
      <c r="B885" s="90"/>
      <c r="C885" s="90"/>
      <c r="D885" s="90"/>
      <c r="E885" s="90"/>
      <c r="F885" s="90"/>
      <c r="G885" s="90"/>
      <c r="H885" s="363"/>
      <c r="I885" s="363"/>
      <c r="J885" s="363"/>
      <c r="K885" s="363"/>
      <c r="L885" s="363"/>
      <c r="M885" s="363"/>
      <c r="N885" s="363"/>
      <c r="O885" s="363"/>
      <c r="P885" s="363"/>
      <c r="Q885" s="363"/>
      <c r="R885" s="363"/>
      <c r="S885" s="363"/>
      <c r="T885" s="363"/>
      <c r="U885" s="363"/>
      <c r="V885" s="363"/>
      <c r="W885" s="363"/>
      <c r="X885" s="363"/>
      <c r="Y885" s="363"/>
      <c r="Z885" s="363"/>
    </row>
    <row r="886" spans="1:26" ht="9.75" customHeight="1">
      <c r="A886" s="90"/>
      <c r="B886" s="90"/>
      <c r="C886" s="90"/>
      <c r="D886" s="90"/>
      <c r="E886" s="90"/>
      <c r="F886" s="90"/>
      <c r="G886" s="90"/>
      <c r="H886" s="363"/>
      <c r="I886" s="363"/>
      <c r="J886" s="363"/>
      <c r="K886" s="363"/>
      <c r="L886" s="363"/>
      <c r="M886" s="363"/>
      <c r="N886" s="363"/>
      <c r="O886" s="363"/>
      <c r="P886" s="363"/>
      <c r="Q886" s="363"/>
      <c r="R886" s="363"/>
      <c r="S886" s="363"/>
      <c r="T886" s="363"/>
      <c r="U886" s="363"/>
      <c r="V886" s="363"/>
      <c r="W886" s="363"/>
      <c r="X886" s="363"/>
      <c r="Y886" s="363"/>
      <c r="Z886" s="363"/>
    </row>
    <row r="887" spans="1:26" ht="9.75" customHeight="1">
      <c r="A887" s="90"/>
      <c r="B887" s="90"/>
      <c r="C887" s="90"/>
      <c r="D887" s="90"/>
      <c r="E887" s="90"/>
      <c r="F887" s="90"/>
      <c r="G887" s="90"/>
      <c r="H887" s="363"/>
      <c r="I887" s="363"/>
      <c r="J887" s="363"/>
      <c r="K887" s="363"/>
      <c r="L887" s="363"/>
      <c r="M887" s="363"/>
      <c r="N887" s="363"/>
      <c r="O887" s="363"/>
      <c r="P887" s="363"/>
      <c r="Q887" s="363"/>
      <c r="R887" s="363"/>
      <c r="S887" s="363"/>
      <c r="T887" s="363"/>
      <c r="U887" s="363"/>
      <c r="V887" s="363"/>
      <c r="W887" s="363"/>
      <c r="X887" s="363"/>
      <c r="Y887" s="363"/>
      <c r="Z887" s="363"/>
    </row>
    <row r="888" spans="1:26" ht="9.75" customHeight="1">
      <c r="A888" s="90"/>
      <c r="B888" s="90"/>
      <c r="C888" s="90"/>
      <c r="D888" s="90"/>
      <c r="E888" s="90"/>
      <c r="F888" s="90"/>
      <c r="G888" s="90"/>
      <c r="H888" s="363"/>
      <c r="I888" s="363"/>
      <c r="J888" s="363"/>
      <c r="K888" s="363"/>
      <c r="L888" s="363"/>
      <c r="M888" s="363"/>
      <c r="N888" s="363"/>
      <c r="O888" s="363"/>
      <c r="P888" s="363"/>
      <c r="Q888" s="363"/>
      <c r="R888" s="363"/>
      <c r="S888" s="363"/>
      <c r="T888" s="363"/>
      <c r="U888" s="363"/>
      <c r="V888" s="363"/>
      <c r="W888" s="363"/>
      <c r="X888" s="363"/>
      <c r="Y888" s="363"/>
      <c r="Z888" s="363"/>
    </row>
    <row r="889" spans="1:26" ht="9.75" customHeight="1">
      <c r="A889" s="90"/>
      <c r="B889" s="90"/>
      <c r="C889" s="90"/>
      <c r="D889" s="90"/>
      <c r="E889" s="90"/>
      <c r="F889" s="90"/>
      <c r="G889" s="90"/>
      <c r="H889" s="363"/>
      <c r="I889" s="363"/>
      <c r="J889" s="363"/>
      <c r="K889" s="363"/>
      <c r="L889" s="363"/>
      <c r="M889" s="363"/>
      <c r="N889" s="363"/>
      <c r="O889" s="363"/>
      <c r="P889" s="363"/>
      <c r="Q889" s="363"/>
      <c r="R889" s="363"/>
      <c r="S889" s="363"/>
      <c r="T889" s="363"/>
      <c r="U889" s="363"/>
      <c r="V889" s="363"/>
      <c r="W889" s="363"/>
      <c r="X889" s="363"/>
      <c r="Y889" s="363"/>
      <c r="Z889" s="363"/>
    </row>
    <row r="890" spans="1:26" ht="9.75" customHeight="1">
      <c r="A890" s="90"/>
      <c r="B890" s="90"/>
      <c r="C890" s="90"/>
      <c r="D890" s="90"/>
      <c r="E890" s="90"/>
      <c r="F890" s="90"/>
      <c r="G890" s="90"/>
      <c r="H890" s="363"/>
      <c r="I890" s="363"/>
      <c r="J890" s="363"/>
      <c r="K890" s="363"/>
      <c r="L890" s="363"/>
      <c r="M890" s="363"/>
      <c r="N890" s="363"/>
      <c r="O890" s="363"/>
      <c r="P890" s="363"/>
      <c r="Q890" s="363"/>
      <c r="R890" s="363"/>
      <c r="S890" s="363"/>
      <c r="T890" s="363"/>
      <c r="U890" s="363"/>
      <c r="V890" s="363"/>
      <c r="W890" s="363"/>
      <c r="X890" s="363"/>
      <c r="Y890" s="363"/>
      <c r="Z890" s="363"/>
    </row>
    <row r="891" spans="1:26" ht="9.75" customHeight="1">
      <c r="A891" s="90"/>
      <c r="B891" s="90"/>
      <c r="C891" s="90"/>
      <c r="D891" s="90"/>
      <c r="E891" s="90"/>
      <c r="F891" s="90"/>
      <c r="G891" s="90"/>
      <c r="H891" s="363"/>
      <c r="I891" s="363"/>
      <c r="J891" s="363"/>
      <c r="K891" s="363"/>
      <c r="L891" s="363"/>
      <c r="M891" s="363"/>
      <c r="N891" s="363"/>
      <c r="O891" s="363"/>
      <c r="P891" s="363"/>
      <c r="Q891" s="363"/>
      <c r="R891" s="363"/>
      <c r="S891" s="363"/>
      <c r="T891" s="363"/>
      <c r="U891" s="363"/>
      <c r="V891" s="363"/>
      <c r="W891" s="363"/>
      <c r="X891" s="363"/>
      <c r="Y891" s="363"/>
      <c r="Z891" s="363"/>
    </row>
    <row r="892" spans="1:26" ht="9.75" customHeight="1">
      <c r="A892" s="90"/>
      <c r="B892" s="90"/>
      <c r="C892" s="90"/>
      <c r="D892" s="90"/>
      <c r="E892" s="90"/>
      <c r="F892" s="90"/>
      <c r="G892" s="90"/>
      <c r="H892" s="363"/>
      <c r="I892" s="363"/>
      <c r="J892" s="363"/>
      <c r="K892" s="363"/>
      <c r="L892" s="363"/>
      <c r="M892" s="363"/>
      <c r="N892" s="363"/>
      <c r="O892" s="363"/>
      <c r="P892" s="363"/>
      <c r="Q892" s="363"/>
      <c r="R892" s="363"/>
      <c r="S892" s="363"/>
      <c r="T892" s="363"/>
      <c r="U892" s="363"/>
      <c r="V892" s="363"/>
      <c r="W892" s="363"/>
      <c r="X892" s="363"/>
      <c r="Y892" s="363"/>
      <c r="Z892" s="363"/>
    </row>
    <row r="893" spans="1:26" ht="9.75" customHeight="1">
      <c r="A893" s="90"/>
      <c r="B893" s="90"/>
      <c r="C893" s="90"/>
      <c r="D893" s="90"/>
      <c r="E893" s="90"/>
      <c r="F893" s="90"/>
      <c r="G893" s="90"/>
      <c r="H893" s="363"/>
      <c r="I893" s="363"/>
      <c r="J893" s="363"/>
      <c r="K893" s="363"/>
      <c r="L893" s="363"/>
      <c r="M893" s="363"/>
      <c r="N893" s="363"/>
      <c r="O893" s="363"/>
      <c r="P893" s="363"/>
      <c r="Q893" s="363"/>
      <c r="R893" s="363"/>
      <c r="S893" s="363"/>
      <c r="T893" s="363"/>
      <c r="U893" s="363"/>
      <c r="V893" s="363"/>
      <c r="W893" s="363"/>
      <c r="X893" s="363"/>
      <c r="Y893" s="363"/>
      <c r="Z893" s="363"/>
    </row>
    <row r="894" spans="1:26" ht="9.75" customHeight="1">
      <c r="A894" s="90"/>
      <c r="B894" s="90"/>
      <c r="C894" s="90"/>
      <c r="D894" s="90"/>
      <c r="E894" s="90"/>
      <c r="F894" s="90"/>
      <c r="G894" s="90"/>
      <c r="H894" s="363"/>
      <c r="I894" s="363"/>
      <c r="J894" s="363"/>
      <c r="K894" s="363"/>
      <c r="L894" s="363"/>
      <c r="M894" s="363"/>
      <c r="N894" s="363"/>
      <c r="O894" s="363"/>
      <c r="P894" s="363"/>
      <c r="Q894" s="363"/>
      <c r="R894" s="363"/>
      <c r="S894" s="363"/>
      <c r="T894" s="363"/>
      <c r="U894" s="363"/>
      <c r="V894" s="363"/>
      <c r="W894" s="363"/>
      <c r="X894" s="363"/>
      <c r="Y894" s="363"/>
      <c r="Z894" s="363"/>
    </row>
    <row r="895" spans="1:26" ht="9.75" customHeight="1">
      <c r="A895" s="90"/>
      <c r="B895" s="90"/>
      <c r="C895" s="90"/>
      <c r="D895" s="90"/>
      <c r="E895" s="90"/>
      <c r="F895" s="90"/>
      <c r="G895" s="90"/>
      <c r="H895" s="363"/>
      <c r="I895" s="363"/>
      <c r="J895" s="363"/>
      <c r="K895" s="363"/>
      <c r="L895" s="363"/>
      <c r="M895" s="363"/>
      <c r="N895" s="363"/>
      <c r="O895" s="363"/>
      <c r="P895" s="363"/>
      <c r="Q895" s="363"/>
      <c r="R895" s="363"/>
      <c r="S895" s="363"/>
      <c r="T895" s="363"/>
      <c r="U895" s="363"/>
      <c r="V895" s="363"/>
      <c r="W895" s="363"/>
      <c r="X895" s="363"/>
      <c r="Y895" s="363"/>
      <c r="Z895" s="363"/>
    </row>
    <row r="896" spans="1:26" ht="9.75" customHeight="1">
      <c r="A896" s="90"/>
      <c r="B896" s="90"/>
      <c r="C896" s="90"/>
      <c r="D896" s="90"/>
      <c r="E896" s="90"/>
      <c r="F896" s="90"/>
      <c r="G896" s="90"/>
      <c r="H896" s="363"/>
      <c r="I896" s="363"/>
      <c r="J896" s="363"/>
      <c r="K896" s="363"/>
      <c r="L896" s="363"/>
      <c r="M896" s="363"/>
      <c r="N896" s="363"/>
      <c r="O896" s="363"/>
      <c r="P896" s="363"/>
      <c r="Q896" s="363"/>
      <c r="R896" s="363"/>
      <c r="S896" s="363"/>
      <c r="T896" s="363"/>
      <c r="U896" s="363"/>
      <c r="V896" s="363"/>
      <c r="W896" s="363"/>
      <c r="X896" s="363"/>
      <c r="Y896" s="363"/>
      <c r="Z896" s="363"/>
    </row>
    <row r="897" spans="1:26" ht="9.75" customHeight="1">
      <c r="A897" s="90"/>
      <c r="B897" s="90"/>
      <c r="C897" s="90"/>
      <c r="D897" s="90"/>
      <c r="E897" s="90"/>
      <c r="F897" s="90"/>
      <c r="G897" s="90"/>
      <c r="H897" s="363"/>
      <c r="I897" s="363"/>
      <c r="J897" s="363"/>
      <c r="K897" s="363"/>
      <c r="L897" s="363"/>
      <c r="M897" s="363"/>
      <c r="N897" s="363"/>
      <c r="O897" s="363"/>
      <c r="P897" s="363"/>
      <c r="Q897" s="363"/>
      <c r="R897" s="363"/>
      <c r="S897" s="363"/>
      <c r="T897" s="363"/>
      <c r="U897" s="363"/>
      <c r="V897" s="363"/>
      <c r="W897" s="363"/>
      <c r="X897" s="363"/>
      <c r="Y897" s="363"/>
      <c r="Z897" s="363"/>
    </row>
    <row r="898" spans="1:26" ht="9.75" customHeight="1">
      <c r="A898" s="90"/>
      <c r="B898" s="90"/>
      <c r="C898" s="90"/>
      <c r="D898" s="90"/>
      <c r="E898" s="90"/>
      <c r="F898" s="90"/>
      <c r="G898" s="90"/>
      <c r="H898" s="363"/>
      <c r="I898" s="363"/>
      <c r="J898" s="363"/>
      <c r="K898" s="363"/>
      <c r="L898" s="363"/>
      <c r="M898" s="363"/>
      <c r="N898" s="363"/>
      <c r="O898" s="363"/>
      <c r="P898" s="363"/>
      <c r="Q898" s="363"/>
      <c r="R898" s="363"/>
      <c r="S898" s="363"/>
      <c r="T898" s="363"/>
      <c r="U898" s="363"/>
      <c r="V898" s="363"/>
      <c r="W898" s="363"/>
      <c r="X898" s="363"/>
      <c r="Y898" s="363"/>
      <c r="Z898" s="363"/>
    </row>
    <row r="899" spans="1:26" ht="9.75" customHeight="1">
      <c r="A899" s="90"/>
      <c r="B899" s="90"/>
      <c r="C899" s="90"/>
      <c r="D899" s="90"/>
      <c r="E899" s="90"/>
      <c r="F899" s="90"/>
      <c r="G899" s="90"/>
      <c r="H899" s="363"/>
      <c r="I899" s="363"/>
      <c r="J899" s="363"/>
      <c r="K899" s="363"/>
      <c r="L899" s="363"/>
      <c r="M899" s="363"/>
      <c r="N899" s="363"/>
      <c r="O899" s="363"/>
      <c r="P899" s="363"/>
      <c r="Q899" s="363"/>
      <c r="R899" s="363"/>
      <c r="S899" s="363"/>
      <c r="T899" s="363"/>
      <c r="U899" s="363"/>
      <c r="V899" s="363"/>
      <c r="W899" s="363"/>
      <c r="X899" s="363"/>
      <c r="Y899" s="363"/>
      <c r="Z899" s="363"/>
    </row>
    <row r="900" spans="1:26" ht="9.75" customHeight="1">
      <c r="A900" s="90"/>
      <c r="B900" s="90"/>
      <c r="C900" s="90"/>
      <c r="D900" s="90"/>
      <c r="E900" s="90"/>
      <c r="F900" s="90"/>
      <c r="G900" s="90"/>
      <c r="H900" s="363"/>
      <c r="I900" s="363"/>
      <c r="J900" s="363"/>
      <c r="K900" s="363"/>
      <c r="L900" s="363"/>
      <c r="M900" s="363"/>
      <c r="N900" s="363"/>
      <c r="O900" s="363"/>
      <c r="P900" s="363"/>
      <c r="Q900" s="363"/>
      <c r="R900" s="363"/>
      <c r="S900" s="363"/>
      <c r="T900" s="363"/>
      <c r="U900" s="363"/>
      <c r="V900" s="363"/>
      <c r="W900" s="363"/>
      <c r="X900" s="363"/>
      <c r="Y900" s="363"/>
      <c r="Z900" s="363"/>
    </row>
    <row r="901" spans="1:26" ht="9.75" customHeight="1">
      <c r="A901" s="90"/>
      <c r="B901" s="90"/>
      <c r="C901" s="90"/>
      <c r="D901" s="90"/>
      <c r="E901" s="90"/>
      <c r="F901" s="90"/>
      <c r="G901" s="90"/>
      <c r="H901" s="363"/>
      <c r="I901" s="363"/>
      <c r="J901" s="363"/>
      <c r="K901" s="363"/>
      <c r="L901" s="363"/>
      <c r="M901" s="363"/>
      <c r="N901" s="363"/>
      <c r="O901" s="363"/>
      <c r="P901" s="363"/>
      <c r="Q901" s="363"/>
      <c r="R901" s="363"/>
      <c r="S901" s="363"/>
      <c r="T901" s="363"/>
      <c r="U901" s="363"/>
      <c r="V901" s="363"/>
      <c r="W901" s="363"/>
      <c r="X901" s="363"/>
      <c r="Y901" s="363"/>
      <c r="Z901" s="363"/>
    </row>
    <row r="902" spans="1:26" ht="9.75" customHeight="1">
      <c r="A902" s="90"/>
      <c r="B902" s="90"/>
      <c r="C902" s="90"/>
      <c r="D902" s="90"/>
      <c r="E902" s="90"/>
      <c r="F902" s="90"/>
      <c r="G902" s="90"/>
      <c r="H902" s="363"/>
      <c r="I902" s="363"/>
      <c r="J902" s="363"/>
      <c r="K902" s="363"/>
      <c r="L902" s="363"/>
      <c r="M902" s="363"/>
      <c r="N902" s="363"/>
      <c r="O902" s="363"/>
      <c r="P902" s="363"/>
      <c r="Q902" s="363"/>
      <c r="R902" s="363"/>
      <c r="S902" s="363"/>
      <c r="T902" s="363"/>
      <c r="U902" s="363"/>
      <c r="V902" s="363"/>
      <c r="W902" s="363"/>
      <c r="X902" s="363"/>
      <c r="Y902" s="363"/>
      <c r="Z902" s="363"/>
    </row>
    <row r="903" spans="1:26" ht="9.75" customHeight="1">
      <c r="A903" s="90"/>
      <c r="B903" s="90"/>
      <c r="C903" s="90"/>
      <c r="D903" s="90"/>
      <c r="E903" s="90"/>
      <c r="F903" s="90"/>
      <c r="G903" s="90"/>
      <c r="H903" s="363"/>
      <c r="I903" s="363"/>
      <c r="J903" s="363"/>
      <c r="K903" s="363"/>
      <c r="L903" s="363"/>
      <c r="M903" s="363"/>
      <c r="N903" s="363"/>
      <c r="O903" s="363"/>
      <c r="P903" s="363"/>
      <c r="Q903" s="363"/>
      <c r="R903" s="363"/>
      <c r="S903" s="363"/>
      <c r="T903" s="363"/>
      <c r="U903" s="363"/>
      <c r="V903" s="363"/>
      <c r="W903" s="363"/>
      <c r="X903" s="363"/>
      <c r="Y903" s="363"/>
      <c r="Z903" s="363"/>
    </row>
    <row r="904" spans="1:26" ht="9.75" customHeight="1">
      <c r="A904" s="90"/>
      <c r="B904" s="90"/>
      <c r="C904" s="90"/>
      <c r="D904" s="90"/>
      <c r="E904" s="90"/>
      <c r="F904" s="90"/>
      <c r="G904" s="90"/>
      <c r="H904" s="363"/>
      <c r="I904" s="363"/>
      <c r="J904" s="363"/>
      <c r="K904" s="363"/>
      <c r="L904" s="363"/>
      <c r="M904" s="363"/>
      <c r="N904" s="363"/>
      <c r="O904" s="363"/>
      <c r="P904" s="363"/>
      <c r="Q904" s="363"/>
      <c r="R904" s="363"/>
      <c r="S904" s="363"/>
      <c r="T904" s="363"/>
      <c r="U904" s="363"/>
      <c r="V904" s="363"/>
      <c r="W904" s="363"/>
      <c r="X904" s="363"/>
      <c r="Y904" s="363"/>
      <c r="Z904" s="363"/>
    </row>
    <row r="905" spans="1:26" ht="9.75" customHeight="1">
      <c r="A905" s="90"/>
      <c r="B905" s="90"/>
      <c r="C905" s="90"/>
      <c r="D905" s="90"/>
      <c r="E905" s="90"/>
      <c r="F905" s="90"/>
      <c r="G905" s="90"/>
      <c r="H905" s="363"/>
      <c r="I905" s="363"/>
      <c r="J905" s="363"/>
      <c r="K905" s="363"/>
      <c r="L905" s="363"/>
      <c r="M905" s="363"/>
      <c r="N905" s="363"/>
      <c r="O905" s="363"/>
      <c r="P905" s="363"/>
      <c r="Q905" s="363"/>
      <c r="R905" s="363"/>
      <c r="S905" s="363"/>
      <c r="T905" s="363"/>
      <c r="U905" s="363"/>
      <c r="V905" s="363"/>
      <c r="W905" s="363"/>
      <c r="X905" s="363"/>
      <c r="Y905" s="363"/>
      <c r="Z905" s="363"/>
    </row>
    <row r="906" spans="1:26" ht="9.75" customHeight="1">
      <c r="A906" s="90"/>
      <c r="B906" s="90"/>
      <c r="C906" s="90"/>
      <c r="D906" s="90"/>
      <c r="E906" s="90"/>
      <c r="F906" s="90"/>
      <c r="G906" s="90"/>
      <c r="H906" s="363"/>
      <c r="I906" s="363"/>
      <c r="J906" s="363"/>
      <c r="K906" s="363"/>
      <c r="L906" s="363"/>
      <c r="M906" s="363"/>
      <c r="N906" s="363"/>
      <c r="O906" s="363"/>
      <c r="P906" s="363"/>
      <c r="Q906" s="363"/>
      <c r="R906" s="363"/>
      <c r="S906" s="363"/>
      <c r="T906" s="363"/>
      <c r="U906" s="363"/>
      <c r="V906" s="363"/>
      <c r="W906" s="363"/>
      <c r="X906" s="363"/>
      <c r="Y906" s="363"/>
      <c r="Z906" s="363"/>
    </row>
    <row r="907" spans="1:26" ht="9.75" customHeight="1">
      <c r="A907" s="90"/>
      <c r="B907" s="90"/>
      <c r="C907" s="90"/>
      <c r="D907" s="90"/>
      <c r="E907" s="90"/>
      <c r="F907" s="90"/>
      <c r="G907" s="90"/>
      <c r="H907" s="363"/>
      <c r="I907" s="363"/>
      <c r="J907" s="363"/>
      <c r="K907" s="363"/>
      <c r="L907" s="363"/>
      <c r="M907" s="363"/>
      <c r="N907" s="363"/>
      <c r="O907" s="363"/>
      <c r="P907" s="363"/>
      <c r="Q907" s="363"/>
      <c r="R907" s="363"/>
      <c r="S907" s="363"/>
      <c r="T907" s="363"/>
      <c r="U907" s="363"/>
      <c r="V907" s="363"/>
      <c r="W907" s="363"/>
      <c r="X907" s="363"/>
      <c r="Y907" s="363"/>
      <c r="Z907" s="363"/>
    </row>
    <row r="908" spans="1:26" ht="9.75" customHeight="1">
      <c r="A908" s="90"/>
      <c r="B908" s="90"/>
      <c r="C908" s="90"/>
      <c r="D908" s="90"/>
      <c r="E908" s="90"/>
      <c r="F908" s="90"/>
      <c r="G908" s="90"/>
      <c r="H908" s="363"/>
      <c r="I908" s="363"/>
      <c r="J908" s="363"/>
      <c r="K908" s="363"/>
      <c r="L908" s="363"/>
      <c r="M908" s="363"/>
      <c r="N908" s="363"/>
      <c r="O908" s="363"/>
      <c r="P908" s="363"/>
      <c r="Q908" s="363"/>
      <c r="R908" s="363"/>
      <c r="S908" s="363"/>
      <c r="T908" s="363"/>
      <c r="U908" s="363"/>
      <c r="V908" s="363"/>
      <c r="W908" s="363"/>
      <c r="X908" s="363"/>
      <c r="Y908" s="363"/>
      <c r="Z908" s="363"/>
    </row>
    <row r="909" spans="1:26" ht="9.75" customHeight="1">
      <c r="A909" s="90"/>
      <c r="B909" s="90"/>
      <c r="C909" s="90"/>
      <c r="D909" s="90"/>
      <c r="E909" s="90"/>
      <c r="F909" s="90"/>
      <c r="G909" s="90"/>
      <c r="H909" s="363"/>
      <c r="I909" s="363"/>
      <c r="J909" s="363"/>
      <c r="K909" s="363"/>
      <c r="L909" s="363"/>
      <c r="M909" s="363"/>
      <c r="N909" s="363"/>
      <c r="O909" s="363"/>
      <c r="P909" s="363"/>
      <c r="Q909" s="363"/>
      <c r="R909" s="363"/>
      <c r="S909" s="363"/>
      <c r="T909" s="363"/>
      <c r="U909" s="363"/>
      <c r="V909" s="363"/>
      <c r="W909" s="363"/>
      <c r="X909" s="363"/>
      <c r="Y909" s="363"/>
      <c r="Z909" s="363"/>
    </row>
    <row r="910" spans="1:26" ht="9.75" customHeight="1">
      <c r="A910" s="90"/>
      <c r="B910" s="90"/>
      <c r="C910" s="90"/>
      <c r="D910" s="90"/>
      <c r="E910" s="90"/>
      <c r="F910" s="90"/>
      <c r="G910" s="90"/>
      <c r="H910" s="363"/>
      <c r="I910" s="363"/>
      <c r="J910" s="363"/>
      <c r="K910" s="363"/>
      <c r="L910" s="363"/>
      <c r="M910" s="363"/>
      <c r="N910" s="363"/>
      <c r="O910" s="363"/>
      <c r="P910" s="363"/>
      <c r="Q910" s="363"/>
      <c r="R910" s="363"/>
      <c r="S910" s="363"/>
      <c r="T910" s="363"/>
      <c r="U910" s="363"/>
      <c r="V910" s="363"/>
      <c r="W910" s="363"/>
      <c r="X910" s="363"/>
      <c r="Y910" s="363"/>
      <c r="Z910" s="363"/>
    </row>
    <row r="911" spans="1:26" ht="9.75" customHeight="1">
      <c r="A911" s="90"/>
      <c r="B911" s="90"/>
      <c r="C911" s="90"/>
      <c r="D911" s="90"/>
      <c r="E911" s="90"/>
      <c r="F911" s="90"/>
      <c r="G911" s="90"/>
      <c r="H911" s="363"/>
      <c r="I911" s="363"/>
      <c r="J911" s="363"/>
      <c r="K911" s="363"/>
      <c r="L911" s="363"/>
      <c r="M911" s="363"/>
      <c r="N911" s="363"/>
      <c r="O911" s="363"/>
      <c r="P911" s="363"/>
      <c r="Q911" s="363"/>
      <c r="R911" s="363"/>
      <c r="S911" s="363"/>
      <c r="T911" s="363"/>
      <c r="U911" s="363"/>
      <c r="V911" s="363"/>
      <c r="W911" s="363"/>
      <c r="X911" s="363"/>
      <c r="Y911" s="363"/>
      <c r="Z911" s="363"/>
    </row>
    <row r="912" spans="1:26" ht="9.75" customHeight="1">
      <c r="A912" s="90"/>
      <c r="B912" s="90"/>
      <c r="C912" s="90"/>
      <c r="D912" s="90"/>
      <c r="E912" s="90"/>
      <c r="F912" s="90"/>
      <c r="G912" s="90"/>
      <c r="H912" s="363"/>
      <c r="I912" s="363"/>
      <c r="J912" s="363"/>
      <c r="K912" s="363"/>
      <c r="L912" s="363"/>
      <c r="M912" s="363"/>
      <c r="N912" s="363"/>
      <c r="O912" s="363"/>
      <c r="P912" s="363"/>
      <c r="Q912" s="363"/>
      <c r="R912" s="363"/>
      <c r="S912" s="363"/>
      <c r="T912" s="363"/>
      <c r="U912" s="363"/>
      <c r="V912" s="363"/>
      <c r="W912" s="363"/>
      <c r="X912" s="363"/>
      <c r="Y912" s="363"/>
      <c r="Z912" s="363"/>
    </row>
    <row r="913" spans="1:26" ht="9.75" customHeight="1">
      <c r="A913" s="90"/>
      <c r="B913" s="90"/>
      <c r="C913" s="90"/>
      <c r="D913" s="90"/>
      <c r="E913" s="90"/>
      <c r="F913" s="90"/>
      <c r="G913" s="90"/>
      <c r="H913" s="363"/>
      <c r="I913" s="363"/>
      <c r="J913" s="363"/>
      <c r="K913" s="363"/>
      <c r="L913" s="363"/>
      <c r="M913" s="363"/>
      <c r="N913" s="363"/>
      <c r="O913" s="363"/>
      <c r="P913" s="363"/>
      <c r="Q913" s="363"/>
      <c r="R913" s="363"/>
      <c r="S913" s="363"/>
      <c r="T913" s="363"/>
      <c r="U913" s="363"/>
      <c r="V913" s="363"/>
      <c r="W913" s="363"/>
      <c r="X913" s="363"/>
      <c r="Y913" s="363"/>
      <c r="Z913" s="363"/>
    </row>
    <row r="914" spans="1:26" ht="9.75" customHeight="1">
      <c r="A914" s="90"/>
      <c r="B914" s="90"/>
      <c r="C914" s="90"/>
      <c r="D914" s="90"/>
      <c r="E914" s="90"/>
      <c r="F914" s="90"/>
      <c r="G914" s="90"/>
      <c r="H914" s="363"/>
      <c r="I914" s="363"/>
      <c r="J914" s="363"/>
      <c r="K914" s="363"/>
      <c r="L914" s="363"/>
      <c r="M914" s="363"/>
      <c r="N914" s="363"/>
      <c r="O914" s="363"/>
      <c r="P914" s="363"/>
      <c r="Q914" s="363"/>
      <c r="R914" s="363"/>
      <c r="S914" s="363"/>
      <c r="T914" s="363"/>
      <c r="U914" s="363"/>
      <c r="V914" s="363"/>
      <c r="W914" s="363"/>
      <c r="X914" s="363"/>
      <c r="Y914" s="363"/>
      <c r="Z914" s="363"/>
    </row>
    <row r="915" spans="1:26" ht="9.75" customHeight="1">
      <c r="A915" s="90"/>
      <c r="B915" s="90"/>
      <c r="C915" s="90"/>
      <c r="D915" s="90"/>
      <c r="E915" s="90"/>
      <c r="F915" s="90"/>
      <c r="G915" s="90"/>
      <c r="H915" s="363"/>
      <c r="I915" s="363"/>
      <c r="J915" s="363"/>
      <c r="K915" s="363"/>
      <c r="L915" s="363"/>
      <c r="M915" s="363"/>
      <c r="N915" s="363"/>
      <c r="O915" s="363"/>
      <c r="P915" s="363"/>
      <c r="Q915" s="363"/>
      <c r="R915" s="363"/>
      <c r="S915" s="363"/>
      <c r="T915" s="363"/>
      <c r="U915" s="363"/>
      <c r="V915" s="363"/>
      <c r="W915" s="363"/>
      <c r="X915" s="363"/>
      <c r="Y915" s="363"/>
      <c r="Z915" s="363"/>
    </row>
    <row r="916" spans="1:26" ht="9.75" customHeight="1">
      <c r="A916" s="90"/>
      <c r="B916" s="90"/>
      <c r="C916" s="90"/>
      <c r="D916" s="90"/>
      <c r="E916" s="90"/>
      <c r="F916" s="90"/>
      <c r="G916" s="90"/>
      <c r="H916" s="363"/>
      <c r="I916" s="363"/>
      <c r="J916" s="363"/>
      <c r="K916" s="363"/>
      <c r="L916" s="363"/>
      <c r="M916" s="363"/>
      <c r="N916" s="363"/>
      <c r="O916" s="363"/>
      <c r="P916" s="363"/>
      <c r="Q916" s="363"/>
      <c r="R916" s="363"/>
      <c r="S916" s="363"/>
      <c r="T916" s="363"/>
      <c r="U916" s="363"/>
      <c r="V916" s="363"/>
      <c r="W916" s="363"/>
      <c r="X916" s="363"/>
      <c r="Y916" s="363"/>
      <c r="Z916" s="363"/>
    </row>
    <row r="917" spans="1:26" ht="9.75" customHeight="1">
      <c r="A917" s="90"/>
      <c r="B917" s="90"/>
      <c r="C917" s="90"/>
      <c r="D917" s="90"/>
      <c r="E917" s="90"/>
      <c r="F917" s="90"/>
      <c r="G917" s="90"/>
      <c r="H917" s="363"/>
      <c r="I917" s="363"/>
      <c r="J917" s="363"/>
      <c r="K917" s="363"/>
      <c r="L917" s="363"/>
      <c r="M917" s="363"/>
      <c r="N917" s="363"/>
      <c r="O917" s="363"/>
      <c r="P917" s="363"/>
      <c r="Q917" s="363"/>
      <c r="R917" s="363"/>
      <c r="S917" s="363"/>
      <c r="T917" s="363"/>
      <c r="U917" s="363"/>
      <c r="V917" s="363"/>
      <c r="W917" s="363"/>
      <c r="X917" s="363"/>
      <c r="Y917" s="363"/>
      <c r="Z917" s="363"/>
    </row>
    <row r="918" spans="1:26" ht="9.75" customHeight="1">
      <c r="A918" s="90"/>
      <c r="B918" s="90"/>
      <c r="C918" s="90"/>
      <c r="D918" s="90"/>
      <c r="E918" s="90"/>
      <c r="F918" s="90"/>
      <c r="G918" s="90"/>
      <c r="H918" s="363"/>
      <c r="I918" s="363"/>
      <c r="J918" s="363"/>
      <c r="K918" s="363"/>
      <c r="L918" s="363"/>
      <c r="M918" s="363"/>
      <c r="N918" s="363"/>
      <c r="O918" s="363"/>
      <c r="P918" s="363"/>
      <c r="Q918" s="363"/>
      <c r="R918" s="363"/>
      <c r="S918" s="363"/>
      <c r="T918" s="363"/>
      <c r="U918" s="363"/>
      <c r="V918" s="363"/>
      <c r="W918" s="363"/>
      <c r="X918" s="363"/>
      <c r="Y918" s="363"/>
      <c r="Z918" s="363"/>
    </row>
    <row r="919" spans="1:26" ht="9.75" customHeight="1">
      <c r="A919" s="90"/>
      <c r="B919" s="90"/>
      <c r="C919" s="90"/>
      <c r="D919" s="90"/>
      <c r="E919" s="90"/>
      <c r="F919" s="90"/>
      <c r="G919" s="90"/>
      <c r="H919" s="363"/>
      <c r="I919" s="363"/>
      <c r="J919" s="363"/>
      <c r="K919" s="363"/>
      <c r="L919" s="363"/>
      <c r="M919" s="363"/>
      <c r="N919" s="363"/>
      <c r="O919" s="363"/>
      <c r="P919" s="363"/>
      <c r="Q919" s="363"/>
      <c r="R919" s="363"/>
      <c r="S919" s="363"/>
      <c r="T919" s="363"/>
      <c r="U919" s="363"/>
      <c r="V919" s="363"/>
      <c r="W919" s="363"/>
      <c r="X919" s="363"/>
      <c r="Y919" s="363"/>
      <c r="Z919" s="363"/>
    </row>
    <row r="920" spans="1:26" ht="9.75" customHeight="1">
      <c r="A920" s="90"/>
      <c r="B920" s="90"/>
      <c r="C920" s="90"/>
      <c r="D920" s="90"/>
      <c r="E920" s="90"/>
      <c r="F920" s="90"/>
      <c r="G920" s="90"/>
      <c r="H920" s="363"/>
      <c r="I920" s="363"/>
      <c r="J920" s="363"/>
      <c r="K920" s="363"/>
      <c r="L920" s="363"/>
      <c r="M920" s="363"/>
      <c r="N920" s="363"/>
      <c r="O920" s="363"/>
      <c r="P920" s="363"/>
      <c r="Q920" s="363"/>
      <c r="R920" s="363"/>
      <c r="S920" s="363"/>
      <c r="T920" s="363"/>
      <c r="U920" s="363"/>
      <c r="V920" s="363"/>
      <c r="W920" s="363"/>
      <c r="X920" s="363"/>
      <c r="Y920" s="363"/>
      <c r="Z920" s="363"/>
    </row>
    <row r="921" spans="1:26" ht="9.75" customHeight="1">
      <c r="A921" s="90"/>
      <c r="B921" s="90"/>
      <c r="C921" s="90"/>
      <c r="D921" s="90"/>
      <c r="E921" s="90"/>
      <c r="F921" s="90"/>
      <c r="G921" s="90"/>
      <c r="H921" s="363"/>
      <c r="I921" s="363"/>
      <c r="J921" s="363"/>
      <c r="K921" s="363"/>
      <c r="L921" s="363"/>
      <c r="M921" s="363"/>
      <c r="N921" s="363"/>
      <c r="O921" s="363"/>
      <c r="P921" s="363"/>
      <c r="Q921" s="363"/>
      <c r="R921" s="363"/>
      <c r="S921" s="363"/>
      <c r="T921" s="363"/>
      <c r="U921" s="363"/>
      <c r="V921" s="363"/>
      <c r="W921" s="363"/>
      <c r="X921" s="363"/>
      <c r="Y921" s="363"/>
      <c r="Z921" s="363"/>
    </row>
    <row r="922" spans="1:26" ht="9.75" customHeight="1">
      <c r="A922" s="90"/>
      <c r="B922" s="90"/>
      <c r="C922" s="90"/>
      <c r="D922" s="90"/>
      <c r="E922" s="90"/>
      <c r="F922" s="90"/>
      <c r="G922" s="90"/>
      <c r="H922" s="363"/>
      <c r="I922" s="363"/>
      <c r="J922" s="363"/>
      <c r="K922" s="363"/>
      <c r="L922" s="363"/>
      <c r="M922" s="363"/>
      <c r="N922" s="363"/>
      <c r="O922" s="363"/>
      <c r="P922" s="363"/>
      <c r="Q922" s="363"/>
      <c r="R922" s="363"/>
      <c r="S922" s="363"/>
      <c r="T922" s="363"/>
      <c r="U922" s="363"/>
      <c r="V922" s="363"/>
      <c r="W922" s="363"/>
      <c r="X922" s="363"/>
      <c r="Y922" s="363"/>
      <c r="Z922" s="363"/>
    </row>
    <row r="923" spans="1:26" ht="9.75" customHeight="1">
      <c r="A923" s="90"/>
      <c r="B923" s="90"/>
      <c r="C923" s="90"/>
      <c r="D923" s="90"/>
      <c r="E923" s="90"/>
      <c r="F923" s="90"/>
      <c r="G923" s="90"/>
      <c r="H923" s="363"/>
      <c r="I923" s="363"/>
      <c r="J923" s="363"/>
      <c r="K923" s="363"/>
      <c r="L923" s="363"/>
      <c r="M923" s="363"/>
      <c r="N923" s="363"/>
      <c r="O923" s="363"/>
      <c r="P923" s="363"/>
      <c r="Q923" s="363"/>
      <c r="R923" s="363"/>
      <c r="S923" s="363"/>
      <c r="T923" s="363"/>
      <c r="U923" s="363"/>
      <c r="V923" s="363"/>
      <c r="W923" s="363"/>
      <c r="X923" s="363"/>
      <c r="Y923" s="363"/>
      <c r="Z923" s="363"/>
    </row>
    <row r="924" spans="1:26" ht="9.75" customHeight="1">
      <c r="A924" s="90"/>
      <c r="B924" s="90"/>
      <c r="C924" s="90"/>
      <c r="D924" s="90"/>
      <c r="E924" s="90"/>
      <c r="F924" s="90"/>
      <c r="G924" s="90"/>
      <c r="H924" s="363"/>
      <c r="I924" s="363"/>
      <c r="J924" s="363"/>
      <c r="K924" s="363"/>
      <c r="L924" s="363"/>
      <c r="M924" s="363"/>
      <c r="N924" s="363"/>
      <c r="O924" s="363"/>
      <c r="P924" s="363"/>
      <c r="Q924" s="363"/>
      <c r="R924" s="363"/>
      <c r="S924" s="363"/>
      <c r="T924" s="363"/>
      <c r="U924" s="363"/>
      <c r="V924" s="363"/>
      <c r="W924" s="363"/>
      <c r="X924" s="363"/>
      <c r="Y924" s="363"/>
      <c r="Z924" s="363"/>
    </row>
    <row r="925" spans="1:26" ht="9.75" customHeight="1">
      <c r="A925" s="90"/>
      <c r="B925" s="90"/>
      <c r="C925" s="90"/>
      <c r="D925" s="90"/>
      <c r="E925" s="90"/>
      <c r="F925" s="90"/>
      <c r="G925" s="90"/>
      <c r="H925" s="363"/>
      <c r="I925" s="363"/>
      <c r="J925" s="363"/>
      <c r="K925" s="363"/>
      <c r="L925" s="363"/>
      <c r="M925" s="363"/>
      <c r="N925" s="363"/>
      <c r="O925" s="363"/>
      <c r="P925" s="363"/>
      <c r="Q925" s="363"/>
      <c r="R925" s="363"/>
      <c r="S925" s="363"/>
      <c r="T925" s="363"/>
      <c r="U925" s="363"/>
      <c r="V925" s="363"/>
      <c r="W925" s="363"/>
      <c r="X925" s="363"/>
      <c r="Y925" s="363"/>
      <c r="Z925" s="363"/>
    </row>
    <row r="926" spans="1:26" ht="9.75" customHeight="1">
      <c r="A926" s="90"/>
      <c r="B926" s="90"/>
      <c r="C926" s="90"/>
      <c r="D926" s="90"/>
      <c r="E926" s="90"/>
      <c r="F926" s="90"/>
      <c r="G926" s="90"/>
      <c r="H926" s="363"/>
      <c r="I926" s="363"/>
      <c r="J926" s="363"/>
      <c r="K926" s="363"/>
      <c r="L926" s="363"/>
      <c r="M926" s="363"/>
      <c r="N926" s="363"/>
      <c r="O926" s="363"/>
      <c r="P926" s="363"/>
      <c r="Q926" s="363"/>
      <c r="R926" s="363"/>
      <c r="S926" s="363"/>
      <c r="T926" s="363"/>
      <c r="U926" s="363"/>
      <c r="V926" s="363"/>
      <c r="W926" s="363"/>
      <c r="X926" s="363"/>
      <c r="Y926" s="363"/>
      <c r="Z926" s="363"/>
    </row>
    <row r="927" spans="1:26" ht="9.75" customHeight="1">
      <c r="A927" s="90"/>
      <c r="B927" s="90"/>
      <c r="C927" s="90"/>
      <c r="D927" s="90"/>
      <c r="E927" s="90"/>
      <c r="F927" s="90"/>
      <c r="G927" s="90"/>
      <c r="H927" s="363"/>
      <c r="I927" s="363"/>
      <c r="J927" s="363"/>
      <c r="K927" s="363"/>
      <c r="L927" s="363"/>
      <c r="M927" s="363"/>
      <c r="N927" s="363"/>
      <c r="O927" s="363"/>
      <c r="P927" s="363"/>
      <c r="Q927" s="363"/>
      <c r="R927" s="363"/>
      <c r="S927" s="363"/>
      <c r="T927" s="363"/>
      <c r="U927" s="363"/>
      <c r="V927" s="363"/>
      <c r="W927" s="363"/>
      <c r="X927" s="363"/>
      <c r="Y927" s="363"/>
      <c r="Z927" s="363"/>
    </row>
    <row r="928" spans="1:26" ht="9.75" customHeight="1">
      <c r="A928" s="90"/>
      <c r="B928" s="90"/>
      <c r="C928" s="90"/>
      <c r="D928" s="90"/>
      <c r="E928" s="90"/>
      <c r="F928" s="90"/>
      <c r="G928" s="90"/>
      <c r="H928" s="363"/>
      <c r="I928" s="363"/>
      <c r="J928" s="363"/>
      <c r="K928" s="363"/>
      <c r="L928" s="363"/>
      <c r="M928" s="363"/>
      <c r="N928" s="363"/>
      <c r="O928" s="363"/>
      <c r="P928" s="363"/>
      <c r="Q928" s="363"/>
      <c r="R928" s="363"/>
      <c r="S928" s="363"/>
      <c r="T928" s="363"/>
      <c r="U928" s="363"/>
      <c r="V928" s="363"/>
      <c r="W928" s="363"/>
      <c r="X928" s="363"/>
      <c r="Y928" s="363"/>
      <c r="Z928" s="363"/>
    </row>
    <row r="929" spans="1:26" ht="9.75" customHeight="1">
      <c r="A929" s="90"/>
      <c r="B929" s="90"/>
      <c r="C929" s="90"/>
      <c r="D929" s="90"/>
      <c r="E929" s="90"/>
      <c r="F929" s="90"/>
      <c r="G929" s="90"/>
      <c r="H929" s="363"/>
      <c r="I929" s="363"/>
      <c r="J929" s="363"/>
      <c r="K929" s="363"/>
      <c r="L929" s="363"/>
      <c r="M929" s="363"/>
      <c r="N929" s="363"/>
      <c r="O929" s="363"/>
      <c r="P929" s="363"/>
      <c r="Q929" s="363"/>
      <c r="R929" s="363"/>
      <c r="S929" s="363"/>
      <c r="T929" s="363"/>
      <c r="U929" s="363"/>
      <c r="V929" s="363"/>
      <c r="W929" s="363"/>
      <c r="X929" s="363"/>
      <c r="Y929" s="363"/>
      <c r="Z929" s="363"/>
    </row>
    <row r="930" spans="1:26" ht="9.75" customHeight="1">
      <c r="A930" s="90"/>
      <c r="B930" s="90"/>
      <c r="C930" s="90"/>
      <c r="D930" s="90"/>
      <c r="E930" s="90"/>
      <c r="F930" s="90"/>
      <c r="G930" s="90"/>
      <c r="H930" s="363"/>
      <c r="I930" s="363"/>
      <c r="J930" s="363"/>
      <c r="K930" s="363"/>
      <c r="L930" s="363"/>
      <c r="M930" s="363"/>
      <c r="N930" s="363"/>
      <c r="O930" s="363"/>
      <c r="P930" s="363"/>
      <c r="Q930" s="363"/>
      <c r="R930" s="363"/>
      <c r="S930" s="363"/>
      <c r="T930" s="363"/>
      <c r="U930" s="363"/>
      <c r="V930" s="363"/>
      <c r="W930" s="363"/>
      <c r="X930" s="363"/>
      <c r="Y930" s="363"/>
      <c r="Z930" s="363"/>
    </row>
    <row r="931" spans="1:26" ht="9.75" customHeight="1">
      <c r="A931" s="90"/>
      <c r="B931" s="90"/>
      <c r="C931" s="90"/>
      <c r="D931" s="90"/>
      <c r="E931" s="90"/>
      <c r="F931" s="90"/>
      <c r="G931" s="90"/>
      <c r="H931" s="363"/>
      <c r="I931" s="363"/>
      <c r="J931" s="363"/>
      <c r="K931" s="363"/>
      <c r="L931" s="363"/>
      <c r="M931" s="363"/>
      <c r="N931" s="363"/>
      <c r="O931" s="363"/>
      <c r="P931" s="363"/>
      <c r="Q931" s="363"/>
      <c r="R931" s="363"/>
      <c r="S931" s="363"/>
      <c r="T931" s="363"/>
      <c r="U931" s="363"/>
      <c r="V931" s="363"/>
      <c r="W931" s="363"/>
      <c r="X931" s="363"/>
      <c r="Y931" s="363"/>
      <c r="Z931" s="363"/>
    </row>
    <row r="932" spans="1:26" ht="9.75" customHeight="1">
      <c r="A932" s="90"/>
      <c r="B932" s="90"/>
      <c r="C932" s="90"/>
      <c r="D932" s="90"/>
      <c r="E932" s="90"/>
      <c r="F932" s="90"/>
      <c r="G932" s="90"/>
      <c r="H932" s="363"/>
      <c r="I932" s="363"/>
      <c r="J932" s="363"/>
      <c r="K932" s="363"/>
      <c r="L932" s="363"/>
      <c r="M932" s="363"/>
      <c r="N932" s="363"/>
      <c r="O932" s="363"/>
      <c r="P932" s="363"/>
      <c r="Q932" s="363"/>
      <c r="R932" s="363"/>
      <c r="S932" s="363"/>
      <c r="T932" s="363"/>
      <c r="U932" s="363"/>
      <c r="V932" s="363"/>
      <c r="W932" s="363"/>
      <c r="X932" s="363"/>
      <c r="Y932" s="363"/>
      <c r="Z932" s="363"/>
    </row>
    <row r="933" spans="1:26" ht="9.75" customHeight="1">
      <c r="A933" s="90"/>
      <c r="B933" s="90"/>
      <c r="C933" s="90"/>
      <c r="D933" s="90"/>
      <c r="E933" s="90"/>
      <c r="F933" s="90"/>
      <c r="G933" s="90"/>
      <c r="H933" s="363"/>
      <c r="I933" s="363"/>
      <c r="J933" s="363"/>
      <c r="K933" s="363"/>
      <c r="L933" s="363"/>
      <c r="M933" s="363"/>
      <c r="N933" s="363"/>
      <c r="O933" s="363"/>
      <c r="P933" s="363"/>
      <c r="Q933" s="363"/>
      <c r="R933" s="363"/>
      <c r="S933" s="363"/>
      <c r="T933" s="363"/>
      <c r="U933" s="363"/>
      <c r="V933" s="363"/>
      <c r="W933" s="363"/>
      <c r="X933" s="363"/>
      <c r="Y933" s="363"/>
      <c r="Z933" s="363"/>
    </row>
    <row r="934" spans="1:26" ht="9.75" customHeight="1">
      <c r="A934" s="90"/>
      <c r="B934" s="90"/>
      <c r="C934" s="90"/>
      <c r="D934" s="90"/>
      <c r="E934" s="90"/>
      <c r="F934" s="90"/>
      <c r="G934" s="90"/>
      <c r="H934" s="363"/>
      <c r="I934" s="363"/>
      <c r="J934" s="363"/>
      <c r="K934" s="363"/>
      <c r="L934" s="363"/>
      <c r="M934" s="363"/>
      <c r="N934" s="363"/>
      <c r="O934" s="363"/>
      <c r="P934" s="363"/>
      <c r="Q934" s="363"/>
      <c r="R934" s="363"/>
      <c r="S934" s="363"/>
      <c r="T934" s="363"/>
      <c r="U934" s="363"/>
      <c r="V934" s="363"/>
      <c r="W934" s="363"/>
      <c r="X934" s="363"/>
      <c r="Y934" s="363"/>
      <c r="Z934" s="363"/>
    </row>
    <row r="935" spans="1:26" ht="9.75" customHeight="1">
      <c r="A935" s="90"/>
      <c r="B935" s="90"/>
      <c r="C935" s="90"/>
      <c r="D935" s="90"/>
      <c r="E935" s="90"/>
      <c r="F935" s="90"/>
      <c r="G935" s="90"/>
      <c r="H935" s="363"/>
      <c r="I935" s="363"/>
      <c r="J935" s="363"/>
      <c r="K935" s="363"/>
      <c r="L935" s="363"/>
      <c r="M935" s="363"/>
      <c r="N935" s="363"/>
      <c r="O935" s="363"/>
      <c r="P935" s="363"/>
      <c r="Q935" s="363"/>
      <c r="R935" s="363"/>
      <c r="S935" s="363"/>
      <c r="T935" s="363"/>
      <c r="U935" s="363"/>
      <c r="V935" s="363"/>
      <c r="W935" s="363"/>
      <c r="X935" s="363"/>
      <c r="Y935" s="363"/>
      <c r="Z935" s="363"/>
    </row>
    <row r="936" spans="1:26" ht="9.75" customHeight="1">
      <c r="A936" s="90"/>
      <c r="B936" s="90"/>
      <c r="C936" s="90"/>
      <c r="D936" s="90"/>
      <c r="E936" s="90"/>
      <c r="F936" s="90"/>
      <c r="G936" s="90"/>
      <c r="H936" s="363"/>
      <c r="I936" s="363"/>
      <c r="J936" s="363"/>
      <c r="K936" s="363"/>
      <c r="L936" s="363"/>
      <c r="M936" s="363"/>
      <c r="N936" s="363"/>
      <c r="O936" s="363"/>
      <c r="P936" s="363"/>
      <c r="Q936" s="363"/>
      <c r="R936" s="363"/>
      <c r="S936" s="363"/>
      <c r="T936" s="363"/>
      <c r="U936" s="363"/>
      <c r="V936" s="363"/>
      <c r="W936" s="363"/>
      <c r="X936" s="363"/>
      <c r="Y936" s="363"/>
      <c r="Z936" s="363"/>
    </row>
    <row r="937" spans="1:26" ht="9.75" customHeight="1">
      <c r="A937" s="90"/>
      <c r="B937" s="90"/>
      <c r="C937" s="90"/>
      <c r="D937" s="90"/>
      <c r="E937" s="90"/>
      <c r="F937" s="90"/>
      <c r="G937" s="90"/>
      <c r="H937" s="363"/>
      <c r="I937" s="363"/>
      <c r="J937" s="363"/>
      <c r="K937" s="363"/>
      <c r="L937" s="363"/>
      <c r="M937" s="363"/>
      <c r="N937" s="363"/>
      <c r="O937" s="363"/>
      <c r="P937" s="363"/>
      <c r="Q937" s="363"/>
      <c r="R937" s="363"/>
      <c r="S937" s="363"/>
      <c r="T937" s="363"/>
      <c r="U937" s="363"/>
      <c r="V937" s="363"/>
      <c r="W937" s="363"/>
      <c r="X937" s="363"/>
      <c r="Y937" s="363"/>
      <c r="Z937" s="363"/>
    </row>
    <row r="938" spans="1:26" ht="9.75" customHeight="1">
      <c r="A938" s="90"/>
      <c r="B938" s="90"/>
      <c r="C938" s="90"/>
      <c r="D938" s="90"/>
      <c r="E938" s="90"/>
      <c r="F938" s="90"/>
      <c r="G938" s="90"/>
      <c r="H938" s="363"/>
      <c r="I938" s="363"/>
      <c r="J938" s="363"/>
      <c r="K938" s="363"/>
      <c r="L938" s="363"/>
      <c r="M938" s="363"/>
      <c r="N938" s="363"/>
      <c r="O938" s="363"/>
      <c r="P938" s="363"/>
      <c r="Q938" s="363"/>
      <c r="R938" s="363"/>
      <c r="S938" s="363"/>
      <c r="T938" s="363"/>
      <c r="U938" s="363"/>
      <c r="V938" s="363"/>
      <c r="W938" s="363"/>
      <c r="X938" s="363"/>
      <c r="Y938" s="363"/>
      <c r="Z938" s="363"/>
    </row>
    <row r="939" spans="1:26" ht="9.75" customHeight="1">
      <c r="A939" s="90"/>
      <c r="B939" s="90"/>
      <c r="C939" s="90"/>
      <c r="D939" s="90"/>
      <c r="E939" s="90"/>
      <c r="F939" s="90"/>
      <c r="G939" s="90"/>
      <c r="H939" s="363"/>
      <c r="I939" s="363"/>
      <c r="J939" s="363"/>
      <c r="K939" s="363"/>
      <c r="L939" s="363"/>
      <c r="M939" s="363"/>
      <c r="N939" s="363"/>
      <c r="O939" s="363"/>
      <c r="P939" s="363"/>
      <c r="Q939" s="363"/>
      <c r="R939" s="363"/>
      <c r="S939" s="363"/>
      <c r="T939" s="363"/>
      <c r="U939" s="363"/>
      <c r="V939" s="363"/>
      <c r="W939" s="363"/>
      <c r="X939" s="363"/>
      <c r="Y939" s="363"/>
      <c r="Z939" s="363"/>
    </row>
    <row r="940" spans="1:26" ht="9.75" customHeight="1">
      <c r="A940" s="90"/>
      <c r="B940" s="90"/>
      <c r="C940" s="90"/>
      <c r="D940" s="90"/>
      <c r="E940" s="90"/>
      <c r="F940" s="90"/>
      <c r="G940" s="90"/>
      <c r="H940" s="363"/>
      <c r="I940" s="363"/>
      <c r="J940" s="363"/>
      <c r="K940" s="363"/>
      <c r="L940" s="363"/>
      <c r="M940" s="363"/>
      <c r="N940" s="363"/>
      <c r="O940" s="363"/>
      <c r="P940" s="363"/>
      <c r="Q940" s="363"/>
      <c r="R940" s="363"/>
      <c r="S940" s="363"/>
      <c r="T940" s="363"/>
      <c r="U940" s="363"/>
      <c r="V940" s="363"/>
      <c r="W940" s="363"/>
      <c r="X940" s="363"/>
      <c r="Y940" s="363"/>
      <c r="Z940" s="363"/>
    </row>
    <row r="941" spans="1:26" ht="9.75" customHeight="1">
      <c r="A941" s="90"/>
      <c r="B941" s="90"/>
      <c r="C941" s="90"/>
      <c r="D941" s="90"/>
      <c r="E941" s="90"/>
      <c r="F941" s="90"/>
      <c r="G941" s="90"/>
      <c r="H941" s="363"/>
      <c r="I941" s="363"/>
      <c r="J941" s="363"/>
      <c r="K941" s="363"/>
      <c r="L941" s="363"/>
      <c r="M941" s="363"/>
      <c r="N941" s="363"/>
      <c r="O941" s="363"/>
      <c r="P941" s="363"/>
      <c r="Q941" s="363"/>
      <c r="R941" s="363"/>
      <c r="S941" s="363"/>
      <c r="T941" s="363"/>
      <c r="U941" s="363"/>
      <c r="V941" s="363"/>
      <c r="W941" s="363"/>
      <c r="X941" s="363"/>
      <c r="Y941" s="363"/>
      <c r="Z941" s="363"/>
    </row>
    <row r="942" spans="1:26" ht="9.75" customHeight="1">
      <c r="A942" s="90"/>
      <c r="B942" s="90"/>
      <c r="C942" s="90"/>
      <c r="D942" s="90"/>
      <c r="E942" s="90"/>
      <c r="F942" s="90"/>
      <c r="G942" s="90"/>
      <c r="H942" s="363"/>
      <c r="I942" s="363"/>
      <c r="J942" s="363"/>
      <c r="K942" s="363"/>
      <c r="L942" s="363"/>
      <c r="M942" s="363"/>
      <c r="N942" s="363"/>
      <c r="O942" s="363"/>
      <c r="P942" s="363"/>
      <c r="Q942" s="363"/>
      <c r="R942" s="363"/>
      <c r="S942" s="363"/>
      <c r="T942" s="363"/>
      <c r="U942" s="363"/>
      <c r="V942" s="363"/>
      <c r="W942" s="363"/>
      <c r="X942" s="363"/>
      <c r="Y942" s="363"/>
      <c r="Z942" s="363"/>
    </row>
    <row r="943" spans="1:26" ht="9.75" customHeight="1">
      <c r="A943" s="90"/>
      <c r="B943" s="90"/>
      <c r="C943" s="90"/>
      <c r="D943" s="90"/>
      <c r="E943" s="90"/>
      <c r="F943" s="90"/>
      <c r="G943" s="90"/>
      <c r="H943" s="363"/>
      <c r="I943" s="363"/>
      <c r="J943" s="363"/>
      <c r="K943" s="363"/>
      <c r="L943" s="363"/>
      <c r="M943" s="363"/>
      <c r="N943" s="363"/>
      <c r="O943" s="363"/>
      <c r="P943" s="363"/>
      <c r="Q943" s="363"/>
      <c r="R943" s="363"/>
      <c r="S943" s="363"/>
      <c r="T943" s="363"/>
      <c r="U943" s="363"/>
      <c r="V943" s="363"/>
      <c r="W943" s="363"/>
      <c r="X943" s="363"/>
      <c r="Y943" s="363"/>
      <c r="Z943" s="363"/>
    </row>
    <row r="944" spans="1:26" ht="9.75" customHeight="1">
      <c r="A944" s="90"/>
      <c r="B944" s="90"/>
      <c r="C944" s="90"/>
      <c r="D944" s="90"/>
      <c r="E944" s="90"/>
      <c r="F944" s="90"/>
      <c r="G944" s="90"/>
      <c r="H944" s="363"/>
      <c r="I944" s="363"/>
      <c r="J944" s="363"/>
      <c r="K944" s="363"/>
      <c r="L944" s="363"/>
      <c r="M944" s="363"/>
      <c r="N944" s="363"/>
      <c r="O944" s="363"/>
      <c r="P944" s="363"/>
      <c r="Q944" s="363"/>
      <c r="R944" s="363"/>
      <c r="S944" s="363"/>
      <c r="T944" s="363"/>
      <c r="U944" s="363"/>
      <c r="V944" s="363"/>
      <c r="W944" s="363"/>
      <c r="X944" s="363"/>
      <c r="Y944" s="363"/>
      <c r="Z944" s="363"/>
    </row>
    <row r="945" spans="1:26" ht="9.75" customHeight="1">
      <c r="A945" s="90"/>
      <c r="B945" s="90"/>
      <c r="C945" s="90"/>
      <c r="D945" s="90"/>
      <c r="E945" s="90"/>
      <c r="F945" s="90"/>
      <c r="G945" s="90"/>
      <c r="H945" s="363"/>
      <c r="I945" s="363"/>
      <c r="J945" s="363"/>
      <c r="K945" s="363"/>
      <c r="L945" s="363"/>
      <c r="M945" s="363"/>
      <c r="N945" s="363"/>
      <c r="O945" s="363"/>
      <c r="P945" s="363"/>
      <c r="Q945" s="363"/>
      <c r="R945" s="363"/>
      <c r="S945" s="363"/>
      <c r="T945" s="363"/>
      <c r="U945" s="363"/>
      <c r="V945" s="363"/>
      <c r="W945" s="363"/>
      <c r="X945" s="363"/>
      <c r="Y945" s="363"/>
      <c r="Z945" s="363"/>
    </row>
    <row r="946" spans="1:26" ht="9.75" customHeight="1">
      <c r="A946" s="90"/>
      <c r="B946" s="90"/>
      <c r="C946" s="90"/>
      <c r="D946" s="90"/>
      <c r="E946" s="90"/>
      <c r="F946" s="90"/>
      <c r="G946" s="90"/>
      <c r="H946" s="363"/>
      <c r="I946" s="363"/>
      <c r="J946" s="363"/>
      <c r="K946" s="363"/>
      <c r="L946" s="363"/>
      <c r="M946" s="363"/>
      <c r="N946" s="363"/>
      <c r="O946" s="363"/>
      <c r="P946" s="363"/>
      <c r="Q946" s="363"/>
      <c r="R946" s="363"/>
      <c r="S946" s="363"/>
      <c r="T946" s="363"/>
      <c r="U946" s="363"/>
      <c r="V946" s="363"/>
      <c r="W946" s="363"/>
      <c r="X946" s="363"/>
      <c r="Y946" s="363"/>
      <c r="Z946" s="363"/>
    </row>
    <row r="947" spans="1:26" ht="9.75" customHeight="1">
      <c r="A947" s="90"/>
      <c r="B947" s="90"/>
      <c r="C947" s="90"/>
      <c r="D947" s="90"/>
      <c r="E947" s="90"/>
      <c r="F947" s="90"/>
      <c r="G947" s="90"/>
      <c r="H947" s="363"/>
      <c r="I947" s="363"/>
      <c r="J947" s="363"/>
      <c r="K947" s="363"/>
      <c r="L947" s="363"/>
      <c r="M947" s="363"/>
      <c r="N947" s="363"/>
      <c r="O947" s="363"/>
      <c r="P947" s="363"/>
      <c r="Q947" s="363"/>
      <c r="R947" s="363"/>
      <c r="S947" s="363"/>
      <c r="T947" s="363"/>
      <c r="U947" s="363"/>
      <c r="V947" s="363"/>
      <c r="W947" s="363"/>
      <c r="X947" s="363"/>
      <c r="Y947" s="363"/>
      <c r="Z947" s="363"/>
    </row>
    <row r="948" spans="1:26" ht="9.75" customHeight="1">
      <c r="A948" s="90"/>
      <c r="B948" s="90"/>
      <c r="C948" s="90"/>
      <c r="D948" s="90"/>
      <c r="E948" s="90"/>
      <c r="F948" s="90"/>
      <c r="G948" s="90"/>
      <c r="H948" s="363"/>
      <c r="I948" s="363"/>
      <c r="J948" s="363"/>
      <c r="K948" s="363"/>
      <c r="L948" s="363"/>
      <c r="M948" s="363"/>
      <c r="N948" s="363"/>
      <c r="O948" s="363"/>
      <c r="P948" s="363"/>
      <c r="Q948" s="363"/>
      <c r="R948" s="363"/>
      <c r="S948" s="363"/>
      <c r="T948" s="363"/>
      <c r="U948" s="363"/>
      <c r="V948" s="363"/>
      <c r="W948" s="363"/>
      <c r="X948" s="363"/>
      <c r="Y948" s="363"/>
      <c r="Z948" s="363"/>
    </row>
    <row r="949" spans="1:26" ht="9.75" customHeight="1">
      <c r="A949" s="90"/>
      <c r="B949" s="90"/>
      <c r="C949" s="90"/>
      <c r="D949" s="90"/>
      <c r="E949" s="90"/>
      <c r="F949" s="90"/>
      <c r="G949" s="90"/>
      <c r="H949" s="363"/>
      <c r="I949" s="363"/>
      <c r="J949" s="363"/>
      <c r="K949" s="363"/>
      <c r="L949" s="363"/>
      <c r="M949" s="363"/>
      <c r="N949" s="363"/>
      <c r="O949" s="363"/>
      <c r="P949" s="363"/>
      <c r="Q949" s="363"/>
      <c r="R949" s="363"/>
      <c r="S949" s="363"/>
      <c r="T949" s="363"/>
      <c r="U949" s="363"/>
      <c r="V949" s="363"/>
      <c r="W949" s="363"/>
      <c r="X949" s="363"/>
      <c r="Y949" s="363"/>
      <c r="Z949" s="363"/>
    </row>
    <row r="950" spans="1:26" ht="9.75" customHeight="1">
      <c r="A950" s="90"/>
      <c r="B950" s="90"/>
      <c r="C950" s="90"/>
      <c r="D950" s="90"/>
      <c r="E950" s="90"/>
      <c r="F950" s="90"/>
      <c r="G950" s="90"/>
      <c r="H950" s="363"/>
      <c r="I950" s="363"/>
      <c r="J950" s="363"/>
      <c r="K950" s="363"/>
      <c r="L950" s="363"/>
      <c r="M950" s="363"/>
      <c r="N950" s="363"/>
      <c r="O950" s="363"/>
      <c r="P950" s="363"/>
      <c r="Q950" s="363"/>
      <c r="R950" s="363"/>
      <c r="S950" s="363"/>
      <c r="T950" s="363"/>
      <c r="U950" s="363"/>
      <c r="V950" s="363"/>
      <c r="W950" s="363"/>
      <c r="X950" s="363"/>
      <c r="Y950" s="363"/>
      <c r="Z950" s="363"/>
    </row>
    <row r="951" spans="1:26" ht="9.75" customHeight="1">
      <c r="A951" s="90"/>
      <c r="B951" s="90"/>
      <c r="C951" s="90"/>
      <c r="D951" s="90"/>
      <c r="E951" s="90"/>
      <c r="F951" s="90"/>
      <c r="G951" s="90"/>
      <c r="H951" s="363"/>
      <c r="I951" s="363"/>
      <c r="J951" s="363"/>
      <c r="K951" s="363"/>
      <c r="L951" s="363"/>
      <c r="M951" s="363"/>
      <c r="N951" s="363"/>
      <c r="O951" s="363"/>
      <c r="P951" s="363"/>
      <c r="Q951" s="363"/>
      <c r="R951" s="363"/>
      <c r="S951" s="363"/>
      <c r="T951" s="363"/>
      <c r="U951" s="363"/>
      <c r="V951" s="363"/>
      <c r="W951" s="363"/>
      <c r="X951" s="363"/>
      <c r="Y951" s="363"/>
      <c r="Z951" s="363"/>
    </row>
    <row r="952" spans="1:26" ht="9.75" customHeight="1">
      <c r="A952" s="90"/>
      <c r="B952" s="90"/>
      <c r="C952" s="90"/>
      <c r="D952" s="90"/>
      <c r="E952" s="90"/>
      <c r="F952" s="90"/>
      <c r="G952" s="90"/>
      <c r="H952" s="363"/>
      <c r="I952" s="363"/>
      <c r="J952" s="363"/>
      <c r="K952" s="363"/>
      <c r="L952" s="363"/>
      <c r="M952" s="363"/>
      <c r="N952" s="363"/>
      <c r="O952" s="363"/>
      <c r="P952" s="363"/>
      <c r="Q952" s="363"/>
      <c r="R952" s="363"/>
      <c r="S952" s="363"/>
      <c r="T952" s="363"/>
      <c r="U952" s="363"/>
      <c r="V952" s="363"/>
      <c r="W952" s="363"/>
      <c r="X952" s="363"/>
      <c r="Y952" s="363"/>
      <c r="Z952" s="363"/>
    </row>
    <row r="953" spans="1:26" ht="9.75" customHeight="1">
      <c r="A953" s="90"/>
      <c r="B953" s="90"/>
      <c r="C953" s="90"/>
      <c r="D953" s="90"/>
      <c r="E953" s="90"/>
      <c r="F953" s="90"/>
      <c r="G953" s="90"/>
      <c r="H953" s="363"/>
      <c r="I953" s="363"/>
      <c r="J953" s="363"/>
      <c r="K953" s="363"/>
      <c r="L953" s="363"/>
      <c r="M953" s="363"/>
      <c r="N953" s="363"/>
      <c r="O953" s="363"/>
      <c r="P953" s="363"/>
      <c r="Q953" s="363"/>
      <c r="R953" s="363"/>
      <c r="S953" s="363"/>
      <c r="T953" s="363"/>
      <c r="U953" s="363"/>
      <c r="V953" s="363"/>
      <c r="W953" s="363"/>
      <c r="X953" s="363"/>
      <c r="Y953" s="363"/>
      <c r="Z953" s="363"/>
    </row>
    <row r="954" spans="1:26" ht="9.75" customHeight="1">
      <c r="A954" s="90"/>
      <c r="B954" s="90"/>
      <c r="C954" s="90"/>
      <c r="D954" s="90"/>
      <c r="E954" s="90"/>
      <c r="F954" s="90"/>
      <c r="G954" s="90"/>
      <c r="H954" s="363"/>
      <c r="I954" s="363"/>
      <c r="J954" s="363"/>
      <c r="K954" s="363"/>
      <c r="L954" s="363"/>
      <c r="M954" s="363"/>
      <c r="N954" s="363"/>
      <c r="O954" s="363"/>
      <c r="P954" s="363"/>
      <c r="Q954" s="363"/>
      <c r="R954" s="363"/>
      <c r="S954" s="363"/>
      <c r="T954" s="363"/>
      <c r="U954" s="363"/>
      <c r="V954" s="363"/>
      <c r="W954" s="363"/>
      <c r="X954" s="363"/>
      <c r="Y954" s="363"/>
      <c r="Z954" s="363"/>
    </row>
    <row r="955" spans="1:26" ht="9.75" customHeight="1">
      <c r="A955" s="90"/>
      <c r="B955" s="90"/>
      <c r="C955" s="90"/>
      <c r="D955" s="90"/>
      <c r="E955" s="90"/>
      <c r="F955" s="90"/>
      <c r="G955" s="90"/>
      <c r="H955" s="363"/>
      <c r="I955" s="363"/>
      <c r="J955" s="363"/>
      <c r="K955" s="363"/>
      <c r="L955" s="363"/>
      <c r="M955" s="363"/>
      <c r="N955" s="363"/>
      <c r="O955" s="363"/>
      <c r="P955" s="363"/>
      <c r="Q955" s="363"/>
      <c r="R955" s="363"/>
      <c r="S955" s="363"/>
      <c r="T955" s="363"/>
      <c r="U955" s="363"/>
      <c r="V955" s="363"/>
      <c r="W955" s="363"/>
      <c r="X955" s="363"/>
      <c r="Y955" s="363"/>
      <c r="Z955" s="363"/>
    </row>
    <row r="956" spans="1:26" ht="9.75" customHeight="1">
      <c r="A956" s="90"/>
      <c r="B956" s="90"/>
      <c r="C956" s="90"/>
      <c r="D956" s="90"/>
      <c r="E956" s="90"/>
      <c r="F956" s="90"/>
      <c r="G956" s="90"/>
      <c r="H956" s="363"/>
      <c r="I956" s="363"/>
      <c r="J956" s="363"/>
      <c r="K956" s="363"/>
      <c r="L956" s="363"/>
      <c r="M956" s="363"/>
      <c r="N956" s="363"/>
      <c r="O956" s="363"/>
      <c r="P956" s="363"/>
      <c r="Q956" s="363"/>
      <c r="R956" s="363"/>
      <c r="S956" s="363"/>
      <c r="T956" s="363"/>
      <c r="U956" s="363"/>
      <c r="V956" s="363"/>
      <c r="W956" s="363"/>
      <c r="X956" s="363"/>
      <c r="Y956" s="363"/>
      <c r="Z956" s="363"/>
    </row>
    <row r="957" spans="1:26" ht="9.75" customHeight="1">
      <c r="A957" s="90"/>
      <c r="B957" s="90"/>
      <c r="C957" s="90"/>
      <c r="D957" s="90"/>
      <c r="E957" s="90"/>
      <c r="F957" s="90"/>
      <c r="G957" s="90"/>
      <c r="H957" s="363"/>
      <c r="I957" s="363"/>
      <c r="J957" s="363"/>
      <c r="K957" s="363"/>
      <c r="L957" s="363"/>
      <c r="M957" s="363"/>
      <c r="N957" s="363"/>
      <c r="O957" s="363"/>
      <c r="P957" s="363"/>
      <c r="Q957" s="363"/>
      <c r="R957" s="363"/>
      <c r="S957" s="363"/>
      <c r="T957" s="363"/>
      <c r="U957" s="363"/>
      <c r="V957" s="363"/>
      <c r="W957" s="363"/>
      <c r="X957" s="363"/>
      <c r="Y957" s="363"/>
      <c r="Z957" s="363"/>
    </row>
    <row r="958" spans="1:26" ht="9.75" customHeight="1">
      <c r="A958" s="90"/>
      <c r="B958" s="90"/>
      <c r="C958" s="90"/>
      <c r="D958" s="90"/>
      <c r="E958" s="90"/>
      <c r="F958" s="90"/>
      <c r="G958" s="90"/>
      <c r="H958" s="363"/>
      <c r="I958" s="363"/>
      <c r="J958" s="363"/>
      <c r="K958" s="363"/>
      <c r="L958" s="363"/>
      <c r="M958" s="363"/>
      <c r="N958" s="363"/>
      <c r="O958" s="363"/>
      <c r="P958" s="363"/>
      <c r="Q958" s="363"/>
      <c r="R958" s="363"/>
      <c r="S958" s="363"/>
      <c r="T958" s="363"/>
      <c r="U958" s="363"/>
      <c r="V958" s="363"/>
      <c r="W958" s="363"/>
      <c r="X958" s="363"/>
      <c r="Y958" s="363"/>
      <c r="Z958" s="363"/>
    </row>
    <row r="959" spans="1:26" ht="9.75" customHeight="1">
      <c r="A959" s="90"/>
      <c r="B959" s="90"/>
      <c r="C959" s="90"/>
      <c r="D959" s="90"/>
      <c r="E959" s="90"/>
      <c r="F959" s="90"/>
      <c r="G959" s="90"/>
      <c r="H959" s="363"/>
      <c r="I959" s="363"/>
      <c r="J959" s="363"/>
      <c r="K959" s="363"/>
      <c r="L959" s="363"/>
      <c r="M959" s="363"/>
      <c r="N959" s="363"/>
      <c r="O959" s="363"/>
      <c r="P959" s="363"/>
      <c r="Q959" s="363"/>
      <c r="R959" s="363"/>
      <c r="S959" s="363"/>
      <c r="T959" s="363"/>
      <c r="U959" s="363"/>
      <c r="V959" s="363"/>
      <c r="W959" s="363"/>
      <c r="X959" s="363"/>
      <c r="Y959" s="363"/>
      <c r="Z959" s="363"/>
    </row>
    <row r="960" spans="1:26" ht="9.75" customHeight="1">
      <c r="A960" s="90"/>
      <c r="B960" s="90"/>
      <c r="C960" s="90"/>
      <c r="D960" s="90"/>
      <c r="E960" s="90"/>
      <c r="F960" s="90"/>
      <c r="G960" s="90"/>
      <c r="H960" s="363"/>
      <c r="I960" s="363"/>
      <c r="J960" s="363"/>
      <c r="K960" s="363"/>
      <c r="L960" s="363"/>
      <c r="M960" s="363"/>
      <c r="N960" s="363"/>
      <c r="O960" s="363"/>
      <c r="P960" s="363"/>
      <c r="Q960" s="363"/>
      <c r="R960" s="363"/>
      <c r="S960" s="363"/>
      <c r="T960" s="363"/>
      <c r="U960" s="363"/>
      <c r="V960" s="363"/>
      <c r="W960" s="363"/>
      <c r="X960" s="363"/>
      <c r="Y960" s="363"/>
      <c r="Z960" s="363"/>
    </row>
    <row r="961" spans="1:26" ht="9.75" customHeight="1">
      <c r="A961" s="90"/>
      <c r="B961" s="90"/>
      <c r="C961" s="90"/>
      <c r="D961" s="90"/>
      <c r="E961" s="90"/>
      <c r="F961" s="90"/>
      <c r="G961" s="90"/>
      <c r="H961" s="363"/>
      <c r="I961" s="363"/>
      <c r="J961" s="363"/>
      <c r="K961" s="363"/>
      <c r="L961" s="363"/>
      <c r="M961" s="363"/>
      <c r="N961" s="363"/>
      <c r="O961" s="363"/>
      <c r="P961" s="363"/>
      <c r="Q961" s="363"/>
      <c r="R961" s="363"/>
      <c r="S961" s="363"/>
      <c r="T961" s="363"/>
      <c r="U961" s="363"/>
      <c r="V961" s="363"/>
      <c r="W961" s="363"/>
      <c r="X961" s="363"/>
      <c r="Y961" s="363"/>
      <c r="Z961" s="363"/>
    </row>
    <row r="962" spans="1:26" ht="9.75" customHeight="1">
      <c r="A962" s="90"/>
      <c r="B962" s="90"/>
      <c r="C962" s="90"/>
      <c r="D962" s="90"/>
      <c r="E962" s="90"/>
      <c r="F962" s="90"/>
      <c r="G962" s="90"/>
      <c r="H962" s="363"/>
      <c r="I962" s="363"/>
      <c r="J962" s="363"/>
      <c r="K962" s="363"/>
      <c r="L962" s="363"/>
      <c r="M962" s="363"/>
      <c r="N962" s="363"/>
      <c r="O962" s="363"/>
      <c r="P962" s="363"/>
      <c r="Q962" s="363"/>
      <c r="R962" s="363"/>
      <c r="S962" s="363"/>
      <c r="T962" s="363"/>
      <c r="U962" s="363"/>
      <c r="V962" s="363"/>
      <c r="W962" s="363"/>
      <c r="X962" s="363"/>
      <c r="Y962" s="363"/>
      <c r="Z962" s="363"/>
    </row>
    <row r="963" spans="1:26" ht="9.75" customHeight="1">
      <c r="A963" s="90"/>
      <c r="B963" s="90"/>
      <c r="C963" s="90"/>
      <c r="D963" s="90"/>
      <c r="E963" s="90"/>
      <c r="F963" s="90"/>
      <c r="G963" s="90"/>
      <c r="H963" s="363"/>
      <c r="I963" s="363"/>
      <c r="J963" s="363"/>
      <c r="K963" s="363"/>
      <c r="L963" s="363"/>
      <c r="M963" s="363"/>
      <c r="N963" s="363"/>
      <c r="O963" s="363"/>
      <c r="P963" s="363"/>
      <c r="Q963" s="363"/>
      <c r="R963" s="363"/>
      <c r="S963" s="363"/>
      <c r="T963" s="363"/>
      <c r="U963" s="363"/>
      <c r="V963" s="363"/>
      <c r="W963" s="363"/>
      <c r="X963" s="363"/>
      <c r="Y963" s="363"/>
      <c r="Z963" s="363"/>
    </row>
    <row r="964" spans="1:26" ht="9.75" customHeight="1">
      <c r="A964" s="90"/>
      <c r="B964" s="90"/>
      <c r="C964" s="90"/>
      <c r="D964" s="90"/>
      <c r="E964" s="90"/>
      <c r="F964" s="90"/>
      <c r="G964" s="90"/>
      <c r="H964" s="363"/>
      <c r="I964" s="363"/>
      <c r="J964" s="363"/>
      <c r="K964" s="363"/>
      <c r="L964" s="363"/>
      <c r="M964" s="363"/>
      <c r="N964" s="363"/>
      <c r="O964" s="363"/>
      <c r="P964" s="363"/>
      <c r="Q964" s="363"/>
      <c r="R964" s="363"/>
      <c r="S964" s="363"/>
      <c r="T964" s="363"/>
      <c r="U964" s="363"/>
      <c r="V964" s="363"/>
      <c r="W964" s="363"/>
      <c r="X964" s="363"/>
      <c r="Y964" s="363"/>
      <c r="Z964" s="363"/>
    </row>
    <row r="965" spans="1:26" ht="9.75" customHeight="1">
      <c r="A965" s="90"/>
      <c r="B965" s="90"/>
      <c r="C965" s="90"/>
      <c r="D965" s="90"/>
      <c r="E965" s="90"/>
      <c r="F965" s="90"/>
      <c r="G965" s="90"/>
      <c r="H965" s="363"/>
      <c r="I965" s="363"/>
      <c r="J965" s="363"/>
      <c r="K965" s="363"/>
      <c r="L965" s="363"/>
      <c r="M965" s="363"/>
      <c r="N965" s="363"/>
      <c r="O965" s="363"/>
      <c r="P965" s="363"/>
      <c r="Q965" s="363"/>
      <c r="R965" s="363"/>
      <c r="S965" s="363"/>
      <c r="T965" s="363"/>
      <c r="U965" s="363"/>
      <c r="V965" s="363"/>
      <c r="W965" s="363"/>
      <c r="X965" s="363"/>
      <c r="Y965" s="363"/>
      <c r="Z965" s="363"/>
    </row>
    <row r="966" spans="1:26" ht="9.75" customHeight="1">
      <c r="A966" s="90"/>
      <c r="B966" s="90"/>
      <c r="C966" s="90"/>
      <c r="D966" s="90"/>
      <c r="E966" s="90"/>
      <c r="F966" s="90"/>
      <c r="G966" s="90"/>
      <c r="H966" s="363"/>
      <c r="I966" s="363"/>
      <c r="J966" s="363"/>
      <c r="K966" s="363"/>
      <c r="L966" s="363"/>
      <c r="M966" s="363"/>
      <c r="N966" s="363"/>
      <c r="O966" s="363"/>
      <c r="P966" s="363"/>
      <c r="Q966" s="363"/>
      <c r="R966" s="363"/>
      <c r="S966" s="363"/>
      <c r="T966" s="363"/>
      <c r="U966" s="363"/>
      <c r="V966" s="363"/>
      <c r="W966" s="363"/>
      <c r="X966" s="363"/>
      <c r="Y966" s="363"/>
      <c r="Z966" s="363"/>
    </row>
    <row r="967" spans="1:26" ht="9.75" customHeight="1">
      <c r="A967" s="90"/>
      <c r="B967" s="90"/>
      <c r="C967" s="90"/>
      <c r="D967" s="90"/>
      <c r="E967" s="90"/>
      <c r="F967" s="90"/>
      <c r="G967" s="90"/>
      <c r="H967" s="363"/>
      <c r="I967" s="363"/>
      <c r="J967" s="363"/>
      <c r="K967" s="363"/>
      <c r="L967" s="363"/>
      <c r="M967" s="363"/>
      <c r="N967" s="363"/>
      <c r="O967" s="363"/>
      <c r="P967" s="363"/>
      <c r="Q967" s="363"/>
      <c r="R967" s="363"/>
      <c r="S967" s="363"/>
      <c r="T967" s="363"/>
      <c r="U967" s="363"/>
      <c r="V967" s="363"/>
      <c r="W967" s="363"/>
      <c r="X967" s="363"/>
      <c r="Y967" s="363"/>
      <c r="Z967" s="363"/>
    </row>
    <row r="968" spans="1:26" ht="9.75" customHeight="1">
      <c r="A968" s="90"/>
      <c r="B968" s="90"/>
      <c r="C968" s="90"/>
      <c r="D968" s="90"/>
      <c r="E968" s="90"/>
      <c r="F968" s="90"/>
      <c r="G968" s="90"/>
      <c r="H968" s="363"/>
      <c r="I968" s="363"/>
      <c r="J968" s="363"/>
      <c r="K968" s="363"/>
      <c r="L968" s="363"/>
      <c r="M968" s="363"/>
      <c r="N968" s="363"/>
      <c r="O968" s="363"/>
      <c r="P968" s="363"/>
      <c r="Q968" s="363"/>
      <c r="R968" s="363"/>
      <c r="S968" s="363"/>
      <c r="T968" s="363"/>
      <c r="U968" s="363"/>
      <c r="V968" s="363"/>
      <c r="W968" s="363"/>
      <c r="X968" s="363"/>
      <c r="Y968" s="363"/>
      <c r="Z968" s="363"/>
    </row>
    <row r="969" spans="1:26" ht="9.75" customHeight="1">
      <c r="A969" s="90"/>
      <c r="B969" s="90"/>
      <c r="C969" s="90"/>
      <c r="D969" s="90"/>
      <c r="E969" s="90"/>
      <c r="F969" s="90"/>
      <c r="G969" s="90"/>
      <c r="H969" s="363"/>
      <c r="I969" s="363"/>
      <c r="J969" s="363"/>
      <c r="K969" s="363"/>
      <c r="L969" s="363"/>
      <c r="M969" s="363"/>
      <c r="N969" s="363"/>
      <c r="O969" s="363"/>
      <c r="P969" s="363"/>
      <c r="Q969" s="363"/>
      <c r="R969" s="363"/>
      <c r="S969" s="363"/>
      <c r="T969" s="363"/>
      <c r="U969" s="363"/>
      <c r="V969" s="363"/>
      <c r="W969" s="363"/>
      <c r="X969" s="363"/>
      <c r="Y969" s="363"/>
      <c r="Z969" s="363"/>
    </row>
    <row r="970" spans="1:26" ht="9.75" customHeight="1">
      <c r="A970" s="90"/>
      <c r="B970" s="90"/>
      <c r="C970" s="90"/>
      <c r="D970" s="90"/>
      <c r="E970" s="90"/>
      <c r="F970" s="90"/>
      <c r="G970" s="90"/>
      <c r="H970" s="363"/>
      <c r="I970" s="363"/>
      <c r="J970" s="363"/>
      <c r="K970" s="363"/>
      <c r="L970" s="363"/>
      <c r="M970" s="363"/>
      <c r="N970" s="363"/>
      <c r="O970" s="363"/>
      <c r="P970" s="363"/>
      <c r="Q970" s="363"/>
      <c r="R970" s="363"/>
      <c r="S970" s="363"/>
      <c r="T970" s="363"/>
      <c r="U970" s="363"/>
      <c r="V970" s="363"/>
      <c r="W970" s="363"/>
      <c r="X970" s="363"/>
      <c r="Y970" s="363"/>
      <c r="Z970" s="363"/>
    </row>
    <row r="971" spans="1:26" ht="9.75" customHeight="1">
      <c r="A971" s="90"/>
      <c r="B971" s="90"/>
      <c r="C971" s="90"/>
      <c r="D971" s="90"/>
      <c r="E971" s="90"/>
      <c r="F971" s="90"/>
      <c r="G971" s="90"/>
      <c r="H971" s="363"/>
      <c r="I971" s="363"/>
      <c r="J971" s="363"/>
      <c r="K971" s="363"/>
      <c r="L971" s="363"/>
      <c r="M971" s="363"/>
      <c r="N971" s="363"/>
      <c r="O971" s="363"/>
      <c r="P971" s="363"/>
      <c r="Q971" s="363"/>
      <c r="R971" s="363"/>
      <c r="S971" s="363"/>
      <c r="T971" s="363"/>
      <c r="U971" s="363"/>
      <c r="V971" s="363"/>
      <c r="W971" s="363"/>
      <c r="X971" s="363"/>
      <c r="Y971" s="363"/>
      <c r="Z971" s="363"/>
    </row>
    <row r="972" spans="1:26" ht="9.75" customHeight="1">
      <c r="A972" s="90"/>
      <c r="B972" s="90"/>
      <c r="C972" s="90"/>
      <c r="D972" s="90"/>
      <c r="E972" s="90"/>
      <c r="F972" s="90"/>
      <c r="G972" s="90"/>
      <c r="H972" s="363"/>
      <c r="I972" s="363"/>
      <c r="J972" s="363"/>
      <c r="K972" s="363"/>
      <c r="L972" s="363"/>
      <c r="M972" s="363"/>
      <c r="N972" s="363"/>
      <c r="O972" s="363"/>
      <c r="P972" s="363"/>
      <c r="Q972" s="363"/>
      <c r="R972" s="363"/>
      <c r="S972" s="363"/>
      <c r="T972" s="363"/>
      <c r="U972" s="363"/>
      <c r="V972" s="363"/>
      <c r="W972" s="363"/>
      <c r="X972" s="363"/>
      <c r="Y972" s="363"/>
      <c r="Z972" s="363"/>
    </row>
    <row r="973" spans="1:26" ht="9.75" customHeight="1">
      <c r="A973" s="90"/>
      <c r="B973" s="90"/>
      <c r="C973" s="90"/>
      <c r="D973" s="90"/>
      <c r="E973" s="90"/>
      <c r="F973" s="90"/>
      <c r="G973" s="90"/>
      <c r="H973" s="363"/>
      <c r="I973" s="363"/>
      <c r="J973" s="363"/>
      <c r="K973" s="363"/>
      <c r="L973" s="363"/>
      <c r="M973" s="363"/>
      <c r="N973" s="363"/>
      <c r="O973" s="363"/>
      <c r="P973" s="363"/>
      <c r="Q973" s="363"/>
      <c r="R973" s="363"/>
      <c r="S973" s="363"/>
      <c r="T973" s="363"/>
      <c r="U973" s="363"/>
      <c r="V973" s="363"/>
      <c r="W973" s="363"/>
      <c r="X973" s="363"/>
      <c r="Y973" s="363"/>
      <c r="Z973" s="363"/>
    </row>
    <row r="974" spans="1:26" ht="9.75" customHeight="1">
      <c r="A974" s="90"/>
      <c r="B974" s="90"/>
      <c r="C974" s="90"/>
      <c r="D974" s="90"/>
      <c r="E974" s="90"/>
      <c r="F974" s="90"/>
      <c r="G974" s="90"/>
      <c r="H974" s="363"/>
      <c r="I974" s="363"/>
      <c r="J974" s="363"/>
      <c r="K974" s="363"/>
      <c r="L974" s="363"/>
      <c r="M974" s="363"/>
      <c r="N974" s="363"/>
      <c r="O974" s="363"/>
      <c r="P974" s="363"/>
      <c r="Q974" s="363"/>
      <c r="R974" s="363"/>
      <c r="S974" s="363"/>
      <c r="T974" s="363"/>
      <c r="U974" s="363"/>
      <c r="V974" s="363"/>
      <c r="W974" s="363"/>
      <c r="X974" s="363"/>
      <c r="Y974" s="363"/>
      <c r="Z974" s="363"/>
    </row>
    <row r="975" spans="1:26" ht="9.75" customHeight="1">
      <c r="A975" s="90"/>
      <c r="B975" s="90"/>
      <c r="C975" s="90"/>
      <c r="D975" s="90"/>
      <c r="E975" s="90"/>
      <c r="F975" s="90"/>
      <c r="G975" s="90"/>
      <c r="H975" s="363"/>
      <c r="I975" s="363"/>
      <c r="J975" s="363"/>
      <c r="K975" s="363"/>
      <c r="L975" s="363"/>
      <c r="M975" s="363"/>
      <c r="N975" s="363"/>
      <c r="O975" s="363"/>
      <c r="P975" s="363"/>
      <c r="Q975" s="363"/>
      <c r="R975" s="363"/>
      <c r="S975" s="363"/>
      <c r="T975" s="363"/>
      <c r="U975" s="363"/>
      <c r="V975" s="363"/>
      <c r="W975" s="363"/>
      <c r="X975" s="363"/>
      <c r="Y975" s="363"/>
      <c r="Z975" s="363"/>
    </row>
    <row r="976" spans="1:26" ht="9.75" customHeight="1">
      <c r="A976" s="90"/>
      <c r="B976" s="90"/>
      <c r="C976" s="90"/>
      <c r="D976" s="90"/>
      <c r="E976" s="90"/>
      <c r="F976" s="90"/>
      <c r="G976" s="90"/>
      <c r="H976" s="363"/>
      <c r="I976" s="363"/>
      <c r="J976" s="363"/>
      <c r="K976" s="363"/>
      <c r="L976" s="363"/>
      <c r="M976" s="363"/>
      <c r="N976" s="363"/>
      <c r="O976" s="363"/>
      <c r="P976" s="363"/>
      <c r="Q976" s="363"/>
      <c r="R976" s="363"/>
      <c r="S976" s="363"/>
      <c r="T976" s="363"/>
      <c r="U976" s="363"/>
      <c r="V976" s="363"/>
      <c r="W976" s="363"/>
      <c r="X976" s="363"/>
      <c r="Y976" s="363"/>
      <c r="Z976" s="363"/>
    </row>
    <row r="977" spans="1:26" ht="9.75" customHeight="1">
      <c r="A977" s="90"/>
      <c r="B977" s="90"/>
      <c r="C977" s="90"/>
      <c r="D977" s="90"/>
      <c r="E977" s="90"/>
      <c r="F977" s="90"/>
      <c r="G977" s="90"/>
      <c r="H977" s="363"/>
      <c r="I977" s="363"/>
      <c r="J977" s="363"/>
      <c r="K977" s="363"/>
      <c r="L977" s="363"/>
      <c r="M977" s="363"/>
      <c r="N977" s="363"/>
      <c r="O977" s="363"/>
      <c r="P977" s="363"/>
      <c r="Q977" s="363"/>
      <c r="R977" s="363"/>
      <c r="S977" s="363"/>
      <c r="T977" s="363"/>
      <c r="U977" s="363"/>
      <c r="V977" s="363"/>
      <c r="W977" s="363"/>
      <c r="X977" s="363"/>
      <c r="Y977" s="363"/>
      <c r="Z977" s="363"/>
    </row>
    <row r="978" spans="1:26" ht="9.75" customHeight="1">
      <c r="A978" s="90"/>
      <c r="B978" s="90"/>
      <c r="C978" s="90"/>
      <c r="D978" s="90"/>
      <c r="E978" s="90"/>
      <c r="F978" s="90"/>
      <c r="G978" s="90"/>
      <c r="H978" s="363"/>
      <c r="I978" s="363"/>
      <c r="J978" s="363"/>
      <c r="K978" s="363"/>
      <c r="L978" s="363"/>
      <c r="M978" s="363"/>
      <c r="N978" s="363"/>
      <c r="O978" s="363"/>
      <c r="P978" s="363"/>
      <c r="Q978" s="363"/>
      <c r="R978" s="363"/>
      <c r="S978" s="363"/>
      <c r="T978" s="363"/>
      <c r="U978" s="363"/>
      <c r="V978" s="363"/>
      <c r="W978" s="363"/>
      <c r="X978" s="363"/>
      <c r="Y978" s="363"/>
      <c r="Z978" s="363"/>
    </row>
    <row r="979" spans="1:26" ht="9.75" customHeight="1">
      <c r="A979" s="90"/>
      <c r="B979" s="90"/>
      <c r="C979" s="90"/>
      <c r="D979" s="90"/>
      <c r="E979" s="90"/>
      <c r="F979" s="90"/>
      <c r="G979" s="90"/>
      <c r="H979" s="363"/>
      <c r="I979" s="363"/>
      <c r="J979" s="363"/>
      <c r="K979" s="363"/>
      <c r="L979" s="363"/>
      <c r="M979" s="363"/>
      <c r="N979" s="363"/>
      <c r="O979" s="363"/>
      <c r="P979" s="363"/>
      <c r="Q979" s="363"/>
      <c r="R979" s="363"/>
      <c r="S979" s="363"/>
      <c r="T979" s="363"/>
      <c r="U979" s="363"/>
      <c r="V979" s="363"/>
      <c r="W979" s="363"/>
      <c r="X979" s="363"/>
      <c r="Y979" s="363"/>
      <c r="Z979" s="363"/>
    </row>
    <row r="980" spans="1:26" ht="9.75" customHeight="1">
      <c r="A980" s="90"/>
      <c r="B980" s="90"/>
      <c r="C980" s="90"/>
      <c r="D980" s="90"/>
      <c r="E980" s="90"/>
      <c r="F980" s="90"/>
      <c r="G980" s="90"/>
      <c r="H980" s="363"/>
      <c r="I980" s="363"/>
      <c r="J980" s="363"/>
      <c r="K980" s="363"/>
      <c r="L980" s="363"/>
      <c r="M980" s="363"/>
      <c r="N980" s="363"/>
      <c r="O980" s="363"/>
      <c r="P980" s="363"/>
      <c r="Q980" s="363"/>
      <c r="R980" s="363"/>
      <c r="S980" s="363"/>
      <c r="T980" s="363"/>
      <c r="U980" s="363"/>
      <c r="V980" s="363"/>
      <c r="W980" s="363"/>
      <c r="X980" s="363"/>
      <c r="Y980" s="363"/>
      <c r="Z980" s="363"/>
    </row>
    <row r="981" spans="1:26" ht="9.75" customHeight="1">
      <c r="A981" s="90"/>
      <c r="B981" s="90"/>
      <c r="C981" s="90"/>
      <c r="D981" s="90"/>
      <c r="E981" s="90"/>
      <c r="F981" s="90"/>
      <c r="G981" s="90"/>
      <c r="H981" s="363"/>
      <c r="I981" s="363"/>
      <c r="J981" s="363"/>
      <c r="K981" s="363"/>
      <c r="L981" s="363"/>
      <c r="M981" s="363"/>
      <c r="N981" s="363"/>
      <c r="O981" s="363"/>
      <c r="P981" s="363"/>
      <c r="Q981" s="363"/>
      <c r="R981" s="363"/>
      <c r="S981" s="363"/>
      <c r="T981" s="363"/>
      <c r="U981" s="363"/>
      <c r="V981" s="363"/>
      <c r="W981" s="363"/>
      <c r="X981" s="363"/>
      <c r="Y981" s="363"/>
      <c r="Z981" s="363"/>
    </row>
    <row r="982" spans="1:26" ht="9.75" customHeight="1">
      <c r="A982" s="90"/>
      <c r="B982" s="90"/>
      <c r="C982" s="90"/>
      <c r="D982" s="90"/>
      <c r="E982" s="90"/>
      <c r="F982" s="90"/>
      <c r="G982" s="90"/>
      <c r="H982" s="363"/>
      <c r="I982" s="363"/>
      <c r="J982" s="363"/>
      <c r="K982" s="363"/>
      <c r="L982" s="363"/>
      <c r="M982" s="363"/>
      <c r="N982" s="363"/>
      <c r="O982" s="363"/>
      <c r="P982" s="363"/>
      <c r="Q982" s="363"/>
      <c r="R982" s="363"/>
      <c r="S982" s="363"/>
      <c r="T982" s="363"/>
      <c r="U982" s="363"/>
      <c r="V982" s="363"/>
      <c r="W982" s="363"/>
      <c r="X982" s="363"/>
      <c r="Y982" s="363"/>
      <c r="Z982" s="363"/>
    </row>
    <row r="983" spans="1:26" ht="9.75" customHeight="1">
      <c r="A983" s="90"/>
      <c r="B983" s="90"/>
      <c r="C983" s="90"/>
      <c r="D983" s="90"/>
      <c r="E983" s="90"/>
      <c r="F983" s="90"/>
      <c r="G983" s="90"/>
      <c r="H983" s="363"/>
      <c r="I983" s="363"/>
      <c r="J983" s="363"/>
      <c r="K983" s="363"/>
      <c r="L983" s="363"/>
      <c r="M983" s="363"/>
      <c r="N983" s="363"/>
      <c r="O983" s="363"/>
      <c r="P983" s="363"/>
      <c r="Q983" s="363"/>
      <c r="R983" s="363"/>
      <c r="S983" s="363"/>
      <c r="T983" s="363"/>
      <c r="U983" s="363"/>
      <c r="V983" s="363"/>
      <c r="W983" s="363"/>
      <c r="X983" s="363"/>
      <c r="Y983" s="363"/>
      <c r="Z983" s="363"/>
    </row>
    <row r="984" spans="1:26" ht="9.75" customHeight="1">
      <c r="A984" s="90"/>
      <c r="B984" s="90"/>
      <c r="C984" s="90"/>
      <c r="D984" s="90"/>
      <c r="E984" s="90"/>
      <c r="F984" s="90"/>
      <c r="G984" s="90"/>
      <c r="H984" s="363"/>
      <c r="I984" s="363"/>
      <c r="J984" s="363"/>
      <c r="K984" s="363"/>
      <c r="L984" s="363"/>
      <c r="M984" s="363"/>
      <c r="N984" s="363"/>
      <c r="O984" s="363"/>
      <c r="P984" s="363"/>
      <c r="Q984" s="363"/>
      <c r="R984" s="363"/>
      <c r="S984" s="363"/>
      <c r="T984" s="363"/>
      <c r="U984" s="363"/>
      <c r="V984" s="363"/>
      <c r="W984" s="363"/>
      <c r="X984" s="363"/>
      <c r="Y984" s="363"/>
      <c r="Z984" s="363"/>
    </row>
    <row r="985" spans="1:26" ht="9.75" customHeight="1">
      <c r="A985" s="90"/>
      <c r="B985" s="90"/>
      <c r="C985" s="90"/>
      <c r="D985" s="90"/>
      <c r="E985" s="90"/>
      <c r="F985" s="90"/>
      <c r="G985" s="90"/>
      <c r="H985" s="363"/>
      <c r="I985" s="363"/>
      <c r="J985" s="363"/>
      <c r="K985" s="363"/>
      <c r="L985" s="363"/>
      <c r="M985" s="363"/>
      <c r="N985" s="363"/>
      <c r="O985" s="363"/>
      <c r="P985" s="363"/>
      <c r="Q985" s="363"/>
      <c r="R985" s="363"/>
      <c r="S985" s="363"/>
      <c r="T985" s="363"/>
      <c r="U985" s="363"/>
      <c r="V985" s="363"/>
      <c r="W985" s="363"/>
      <c r="X985" s="363"/>
      <c r="Y985" s="363"/>
      <c r="Z985" s="363"/>
    </row>
    <row r="986" spans="1:26" ht="9.75" customHeight="1">
      <c r="A986" s="90"/>
      <c r="B986" s="90"/>
      <c r="C986" s="90"/>
      <c r="D986" s="90"/>
      <c r="E986" s="90"/>
      <c r="F986" s="90"/>
      <c r="G986" s="90"/>
      <c r="H986" s="363"/>
      <c r="I986" s="363"/>
      <c r="J986" s="363"/>
      <c r="K986" s="363"/>
      <c r="L986" s="363"/>
      <c r="M986" s="363"/>
      <c r="N986" s="363"/>
      <c r="O986" s="363"/>
      <c r="P986" s="363"/>
      <c r="Q986" s="363"/>
      <c r="R986" s="363"/>
      <c r="S986" s="363"/>
      <c r="T986" s="363"/>
      <c r="U986" s="363"/>
      <c r="V986" s="363"/>
      <c r="W986" s="363"/>
      <c r="X986" s="363"/>
      <c r="Y986" s="363"/>
      <c r="Z986" s="363"/>
    </row>
    <row r="987" spans="1:26" ht="9.75" customHeight="1">
      <c r="A987" s="90"/>
      <c r="B987" s="90"/>
      <c r="C987" s="90"/>
      <c r="D987" s="90"/>
      <c r="E987" s="90"/>
      <c r="F987" s="90"/>
      <c r="G987" s="90"/>
      <c r="H987" s="363"/>
      <c r="I987" s="363"/>
      <c r="J987" s="363"/>
      <c r="K987" s="363"/>
      <c r="L987" s="363"/>
      <c r="M987" s="363"/>
      <c r="N987" s="363"/>
      <c r="O987" s="363"/>
      <c r="P987" s="363"/>
      <c r="Q987" s="363"/>
      <c r="R987" s="363"/>
      <c r="S987" s="363"/>
      <c r="T987" s="363"/>
      <c r="U987" s="363"/>
      <c r="V987" s="363"/>
      <c r="W987" s="363"/>
      <c r="X987" s="363"/>
      <c r="Y987" s="363"/>
      <c r="Z987" s="363"/>
    </row>
    <row r="988" spans="1:26" ht="9.75" customHeight="1">
      <c r="A988" s="90"/>
      <c r="B988" s="90"/>
      <c r="C988" s="90"/>
      <c r="D988" s="90"/>
      <c r="E988" s="90"/>
      <c r="F988" s="90"/>
      <c r="G988" s="90"/>
      <c r="H988" s="363"/>
      <c r="I988" s="363"/>
      <c r="J988" s="363"/>
      <c r="K988" s="363"/>
      <c r="L988" s="363"/>
      <c r="M988" s="363"/>
      <c r="N988" s="363"/>
      <c r="O988" s="363"/>
      <c r="P988" s="363"/>
      <c r="Q988" s="363"/>
      <c r="R988" s="363"/>
      <c r="S988" s="363"/>
      <c r="T988" s="363"/>
      <c r="U988" s="363"/>
      <c r="V988" s="363"/>
      <c r="W988" s="363"/>
      <c r="X988" s="363"/>
      <c r="Y988" s="363"/>
      <c r="Z988" s="363"/>
    </row>
    <row r="989" spans="1:26" ht="9.75" customHeight="1">
      <c r="A989" s="90"/>
      <c r="B989" s="90"/>
      <c r="C989" s="90"/>
      <c r="D989" s="90"/>
      <c r="E989" s="90"/>
      <c r="F989" s="90"/>
      <c r="G989" s="90"/>
      <c r="H989" s="363"/>
      <c r="I989" s="363"/>
      <c r="J989" s="363"/>
      <c r="K989" s="363"/>
      <c r="L989" s="363"/>
      <c r="M989" s="363"/>
      <c r="N989" s="363"/>
      <c r="O989" s="363"/>
      <c r="P989" s="363"/>
      <c r="Q989" s="363"/>
      <c r="R989" s="363"/>
      <c r="S989" s="363"/>
      <c r="T989" s="363"/>
      <c r="U989" s="363"/>
      <c r="V989" s="363"/>
      <c r="W989" s="363"/>
      <c r="X989" s="363"/>
      <c r="Y989" s="363"/>
      <c r="Z989" s="363"/>
    </row>
    <row r="990" spans="1:26" ht="9.75" customHeight="1">
      <c r="A990" s="90"/>
      <c r="B990" s="90"/>
      <c r="C990" s="90"/>
      <c r="D990" s="90"/>
      <c r="E990" s="90"/>
      <c r="F990" s="90"/>
      <c r="G990" s="90"/>
      <c r="H990" s="363"/>
      <c r="I990" s="363"/>
      <c r="J990" s="363"/>
      <c r="K990" s="363"/>
      <c r="L990" s="363"/>
      <c r="M990" s="363"/>
      <c r="N990" s="363"/>
      <c r="O990" s="363"/>
      <c r="P990" s="363"/>
      <c r="Q990" s="363"/>
      <c r="R990" s="363"/>
      <c r="S990" s="363"/>
      <c r="T990" s="363"/>
      <c r="U990" s="363"/>
      <c r="V990" s="363"/>
      <c r="W990" s="363"/>
      <c r="X990" s="363"/>
      <c r="Y990" s="363"/>
      <c r="Z990" s="363"/>
    </row>
    <row r="991" spans="1:26" ht="9.75" customHeight="1">
      <c r="A991" s="90"/>
      <c r="B991" s="90"/>
      <c r="C991" s="90"/>
      <c r="D991" s="90"/>
      <c r="E991" s="90"/>
      <c r="F991" s="90"/>
      <c r="G991" s="90"/>
      <c r="H991" s="363"/>
      <c r="I991" s="363"/>
      <c r="J991" s="363"/>
      <c r="K991" s="363"/>
      <c r="L991" s="363"/>
      <c r="M991" s="363"/>
      <c r="N991" s="363"/>
      <c r="O991" s="363"/>
      <c r="P991" s="363"/>
      <c r="Q991" s="363"/>
      <c r="R991" s="363"/>
      <c r="S991" s="363"/>
      <c r="T991" s="363"/>
      <c r="U991" s="363"/>
      <c r="V991" s="363"/>
      <c r="W991" s="363"/>
      <c r="X991" s="363"/>
      <c r="Y991" s="363"/>
      <c r="Z991" s="363"/>
    </row>
    <row r="992" spans="1:26" ht="9.75" customHeight="1">
      <c r="A992" s="90"/>
      <c r="B992" s="90"/>
      <c r="C992" s="90"/>
      <c r="D992" s="90"/>
      <c r="E992" s="90"/>
      <c r="F992" s="90"/>
      <c r="G992" s="90"/>
      <c r="H992" s="363"/>
      <c r="I992" s="363"/>
      <c r="J992" s="363"/>
      <c r="K992" s="363"/>
      <c r="L992" s="363"/>
      <c r="M992" s="363"/>
      <c r="N992" s="363"/>
      <c r="O992" s="363"/>
      <c r="P992" s="363"/>
      <c r="Q992" s="363"/>
      <c r="R992" s="363"/>
      <c r="S992" s="363"/>
      <c r="T992" s="363"/>
      <c r="U992" s="363"/>
      <c r="V992" s="363"/>
      <c r="W992" s="363"/>
      <c r="X992" s="363"/>
      <c r="Y992" s="363"/>
      <c r="Z992" s="363"/>
    </row>
    <row r="993" spans="1:26" ht="9.75" customHeight="1">
      <c r="A993" s="90"/>
      <c r="B993" s="90"/>
      <c r="C993" s="90"/>
      <c r="D993" s="90"/>
      <c r="E993" s="90"/>
      <c r="F993" s="90"/>
      <c r="G993" s="90"/>
      <c r="H993" s="363"/>
      <c r="I993" s="363"/>
      <c r="J993" s="363"/>
      <c r="K993" s="363"/>
      <c r="L993" s="363"/>
      <c r="M993" s="363"/>
      <c r="N993" s="363"/>
      <c r="O993" s="363"/>
      <c r="P993" s="363"/>
      <c r="Q993" s="363"/>
      <c r="R993" s="363"/>
      <c r="S993" s="363"/>
      <c r="T993" s="363"/>
      <c r="U993" s="363"/>
      <c r="V993" s="363"/>
      <c r="W993" s="363"/>
      <c r="X993" s="363"/>
      <c r="Y993" s="363"/>
      <c r="Z993" s="363"/>
    </row>
    <row r="994" spans="1:26" ht="9.75" customHeight="1">
      <c r="A994" s="90"/>
      <c r="B994" s="90"/>
      <c r="C994" s="90"/>
      <c r="D994" s="90"/>
      <c r="E994" s="90"/>
      <c r="F994" s="90"/>
      <c r="G994" s="90"/>
      <c r="H994" s="363"/>
      <c r="I994" s="363"/>
      <c r="J994" s="363"/>
      <c r="K994" s="363"/>
      <c r="L994" s="363"/>
      <c r="M994" s="363"/>
      <c r="N994" s="363"/>
      <c r="O994" s="363"/>
      <c r="P994" s="363"/>
      <c r="Q994" s="363"/>
      <c r="R994" s="363"/>
      <c r="S994" s="363"/>
      <c r="T994" s="363"/>
      <c r="U994" s="363"/>
      <c r="V994" s="363"/>
      <c r="W994" s="363"/>
      <c r="X994" s="363"/>
      <c r="Y994" s="363"/>
      <c r="Z994" s="363"/>
    </row>
    <row r="995" spans="1:26" ht="9.75" customHeight="1">
      <c r="A995" s="90"/>
      <c r="B995" s="90"/>
      <c r="C995" s="90"/>
      <c r="D995" s="90"/>
      <c r="E995" s="90"/>
      <c r="F995" s="90"/>
      <c r="G995" s="90"/>
      <c r="H995" s="363"/>
      <c r="I995" s="363"/>
      <c r="J995" s="363"/>
      <c r="K995" s="363"/>
      <c r="L995" s="363"/>
      <c r="M995" s="363"/>
      <c r="N995" s="363"/>
      <c r="O995" s="363"/>
      <c r="P995" s="363"/>
      <c r="Q995" s="363"/>
      <c r="R995" s="363"/>
      <c r="S995" s="363"/>
      <c r="T995" s="363"/>
      <c r="U995" s="363"/>
      <c r="V995" s="363"/>
      <c r="W995" s="363"/>
      <c r="X995" s="363"/>
      <c r="Y995" s="363"/>
      <c r="Z995" s="363"/>
    </row>
    <row r="996" spans="1:26" ht="9.75" customHeight="1">
      <c r="A996" s="90"/>
      <c r="B996" s="90"/>
      <c r="C996" s="90"/>
      <c r="D996" s="90"/>
      <c r="E996" s="90"/>
      <c r="F996" s="90"/>
      <c r="G996" s="90"/>
      <c r="H996" s="363"/>
      <c r="I996" s="363"/>
      <c r="J996" s="363"/>
      <c r="K996" s="363"/>
      <c r="L996" s="363"/>
      <c r="M996" s="363"/>
      <c r="N996" s="363"/>
      <c r="O996" s="363"/>
      <c r="P996" s="363"/>
      <c r="Q996" s="363"/>
      <c r="R996" s="363"/>
      <c r="S996" s="363"/>
      <c r="T996" s="363"/>
      <c r="U996" s="363"/>
      <c r="V996" s="363"/>
      <c r="W996" s="363"/>
      <c r="X996" s="363"/>
      <c r="Y996" s="363"/>
      <c r="Z996" s="363"/>
    </row>
    <row r="997" spans="1:26" ht="9.75" customHeight="1">
      <c r="A997" s="90"/>
      <c r="B997" s="90"/>
      <c r="C997" s="90"/>
      <c r="D997" s="90"/>
      <c r="E997" s="90"/>
      <c r="F997" s="90"/>
      <c r="G997" s="90"/>
      <c r="H997" s="363"/>
      <c r="I997" s="363"/>
      <c r="J997" s="363"/>
      <c r="K997" s="363"/>
      <c r="L997" s="363"/>
      <c r="M997" s="363"/>
      <c r="N997" s="363"/>
      <c r="O997" s="363"/>
      <c r="P997" s="363"/>
      <c r="Q997" s="363"/>
      <c r="R997" s="363"/>
      <c r="S997" s="363"/>
      <c r="T997" s="363"/>
      <c r="U997" s="363"/>
      <c r="V997" s="363"/>
      <c r="W997" s="363"/>
      <c r="X997" s="363"/>
      <c r="Y997" s="363"/>
      <c r="Z997" s="363"/>
    </row>
    <row r="998" spans="1:26" ht="9.75" customHeight="1">
      <c r="A998" s="90"/>
      <c r="B998" s="90"/>
      <c r="C998" s="90"/>
      <c r="D998" s="90"/>
      <c r="E998" s="90"/>
      <c r="F998" s="90"/>
      <c r="G998" s="90"/>
      <c r="H998" s="363"/>
      <c r="I998" s="363"/>
      <c r="J998" s="363"/>
      <c r="K998" s="363"/>
      <c r="L998" s="363"/>
      <c r="M998" s="363"/>
      <c r="N998" s="363"/>
      <c r="O998" s="363"/>
      <c r="P998" s="363"/>
      <c r="Q998" s="363"/>
      <c r="R998" s="363"/>
      <c r="S998" s="363"/>
      <c r="T998" s="363"/>
      <c r="U998" s="363"/>
      <c r="V998" s="363"/>
      <c r="W998" s="363"/>
      <c r="X998" s="363"/>
      <c r="Y998" s="363"/>
      <c r="Z998" s="363"/>
    </row>
    <row r="999" spans="1:26" ht="9.75" customHeight="1">
      <c r="A999" s="90"/>
      <c r="B999" s="90"/>
      <c r="C999" s="90"/>
      <c r="D999" s="90"/>
      <c r="E999" s="90"/>
      <c r="F999" s="90"/>
      <c r="G999" s="90"/>
      <c r="H999" s="363"/>
      <c r="I999" s="363"/>
      <c r="J999" s="363"/>
      <c r="K999" s="363"/>
      <c r="L999" s="363"/>
      <c r="M999" s="363"/>
      <c r="N999" s="363"/>
      <c r="O999" s="363"/>
      <c r="P999" s="363"/>
      <c r="Q999" s="363"/>
      <c r="R999" s="363"/>
      <c r="S999" s="363"/>
      <c r="T999" s="363"/>
      <c r="U999" s="363"/>
      <c r="V999" s="363"/>
      <c r="W999" s="363"/>
      <c r="X999" s="363"/>
      <c r="Y999" s="363"/>
      <c r="Z999" s="363"/>
    </row>
    <row r="1000" spans="1:26" ht="9.75" customHeight="1">
      <c r="A1000" s="90"/>
      <c r="B1000" s="90"/>
      <c r="C1000" s="90"/>
      <c r="D1000" s="90"/>
      <c r="E1000" s="90"/>
      <c r="F1000" s="90"/>
      <c r="G1000" s="90"/>
      <c r="H1000" s="363"/>
      <c r="I1000" s="363"/>
      <c r="J1000" s="363"/>
      <c r="K1000" s="363"/>
      <c r="L1000" s="363"/>
      <c r="M1000" s="363"/>
      <c r="N1000" s="363"/>
      <c r="O1000" s="363"/>
      <c r="P1000" s="363"/>
      <c r="Q1000" s="363"/>
      <c r="R1000" s="363"/>
      <c r="S1000" s="363"/>
      <c r="T1000" s="363"/>
      <c r="U1000" s="363"/>
      <c r="V1000" s="363"/>
      <c r="W1000" s="363"/>
      <c r="X1000" s="363"/>
      <c r="Y1000" s="363"/>
      <c r="Z1000" s="363"/>
    </row>
  </sheetData>
  <sheetProtection algorithmName="SHA-512" hashValue="ywvSKu80WRUHRQTmZwYiYpxdmuMD3DZmDZuW1LWBpukX/rvmjQF7w7sWCHHvTQGL4FuhF6l/w8Hj7sFHXlYXbg==" saltValue="vzYZuYFDAWbszSYGYZaK3A==" spinCount="100000" sheet="1" objects="1" scenarios="1"/>
  <mergeCells count="6">
    <mergeCell ref="C11:D11"/>
    <mergeCell ref="C3:D3"/>
    <mergeCell ref="C4:D4"/>
    <mergeCell ref="C5:D5"/>
    <mergeCell ref="C9:D9"/>
    <mergeCell ref="C10:D10"/>
  </mergeCells>
  <dataValidations count="1">
    <dataValidation type="decimal" operator="greaterThan" allowBlank="1" showInputMessage="1" showErrorMessage="1" prompt="Voer een waarde groter dan of gelijk aan 0 in." sqref="C3" xr:uid="{00000000-0002-0000-0A00-000000000000}">
      <formula1>0</formula1>
    </dataValidation>
  </dataValidations>
  <pageMargins left="0.7" right="0.7" top="0.75" bottom="0.75" header="0" footer="0"/>
  <pageSetup paperSize="9" orientation="landscape"/>
  <headerFooter>
    <oddHeader>&amp;C&amp;A</oddHeader>
    <oddFooter>&amp;C&amp;P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7CAAC"/>
  </sheetPr>
  <dimension ref="A1:Z1000"/>
  <sheetViews>
    <sheetView showGridLines="0" topLeftCell="C1" workbookViewId="0">
      <selection activeCell="D17" sqref="D17"/>
    </sheetView>
  </sheetViews>
  <sheetFormatPr defaultColWidth="16.7109375" defaultRowHeight="15" customHeight="1"/>
  <cols>
    <col min="1" max="1" width="2" customWidth="1"/>
    <col min="2" max="2" width="34.28515625" customWidth="1"/>
    <col min="3" max="3" width="9.7109375" customWidth="1"/>
    <col min="4" max="4" width="10.42578125" customWidth="1"/>
    <col min="5" max="6" width="10.7109375" customWidth="1"/>
    <col min="7" max="7" width="10.28515625" customWidth="1"/>
    <col min="8" max="13" width="9.7109375" customWidth="1"/>
    <col min="14" max="14" width="2.28515625" customWidth="1"/>
    <col min="15" max="15" width="32.28515625" customWidth="1"/>
    <col min="16" max="26" width="10.28515625" customWidth="1"/>
  </cols>
  <sheetData>
    <row r="1" spans="1:26" ht="8.25" customHeight="1">
      <c r="A1" s="90"/>
      <c r="B1" s="90"/>
      <c r="C1" s="90"/>
      <c r="D1" s="90"/>
      <c r="E1" s="90"/>
      <c r="F1" s="90"/>
      <c r="G1" s="90"/>
      <c r="H1" s="90"/>
      <c r="I1" s="90"/>
      <c r="J1" s="90"/>
      <c r="K1" s="90"/>
      <c r="L1" s="90"/>
      <c r="M1" s="90"/>
      <c r="N1" s="90"/>
      <c r="O1" s="90"/>
      <c r="P1" s="90"/>
      <c r="Q1" s="90"/>
      <c r="R1" s="90"/>
      <c r="S1" s="90"/>
      <c r="T1" s="90"/>
      <c r="U1" s="90"/>
      <c r="V1" s="90"/>
      <c r="W1" s="90"/>
      <c r="X1" s="90"/>
      <c r="Y1" s="90"/>
      <c r="Z1" s="90"/>
    </row>
    <row r="2" spans="1:26" ht="11.25" customHeight="1">
      <c r="A2" s="90"/>
      <c r="B2" s="406" t="s">
        <v>505</v>
      </c>
      <c r="C2" s="407" t="s">
        <v>506</v>
      </c>
      <c r="D2" s="407" t="s">
        <v>507</v>
      </c>
      <c r="E2" s="407" t="s">
        <v>508</v>
      </c>
      <c r="F2" s="407" t="s">
        <v>509</v>
      </c>
      <c r="G2" s="407" t="s">
        <v>510</v>
      </c>
      <c r="H2" s="407" t="s">
        <v>511</v>
      </c>
      <c r="I2" s="407" t="s">
        <v>512</v>
      </c>
      <c r="J2" s="407" t="s">
        <v>513</v>
      </c>
      <c r="K2" s="407" t="s">
        <v>514</v>
      </c>
      <c r="L2" s="407" t="s">
        <v>515</v>
      </c>
      <c r="M2" s="408" t="s">
        <v>516</v>
      </c>
      <c r="N2" s="90"/>
      <c r="O2" s="90"/>
      <c r="P2" s="90"/>
      <c r="Q2" s="90"/>
      <c r="R2" s="90"/>
      <c r="S2" s="90"/>
      <c r="T2" s="90"/>
      <c r="U2" s="90"/>
      <c r="V2" s="90"/>
      <c r="W2" s="90"/>
      <c r="X2" s="90"/>
      <c r="Y2" s="90"/>
      <c r="Z2" s="90"/>
    </row>
    <row r="3" spans="1:26" ht="11.25" customHeight="1">
      <c r="A3" s="90"/>
      <c r="B3" s="409" t="s">
        <v>202</v>
      </c>
      <c r="C3" s="344" t="s">
        <v>322</v>
      </c>
      <c r="D3" s="410">
        <v>1</v>
      </c>
      <c r="E3" s="344" t="s">
        <v>517</v>
      </c>
      <c r="F3" s="410">
        <f>D3/0.8</f>
        <v>1.25</v>
      </c>
      <c r="G3" s="344" t="s">
        <v>518</v>
      </c>
      <c r="H3" s="411">
        <f>D3*J3/1000</f>
        <v>5.6799999999999996E-2</v>
      </c>
      <c r="I3" s="412" t="s">
        <v>519</v>
      </c>
      <c r="J3" s="344">
        <v>56.8</v>
      </c>
      <c r="K3" s="344" t="s">
        <v>520</v>
      </c>
      <c r="L3" s="413">
        <f t="shared" ref="L3:L50" si="0">IF(ISERROR(VLOOKUP(B3,SPECIFIC_DELIVERY_COSTS,2,FALSE)),"",VLOOKUP(B3,SPECIFIC_DELIVERY_COSTS,2,FALSE))</f>
        <v>0</v>
      </c>
      <c r="M3" s="356" t="str">
        <f t="shared" ref="M3:M50" si="1">IF(L3&lt;&gt;"","€ / " &amp; C3,"")</f>
        <v>€ / m3</v>
      </c>
      <c r="N3" s="90"/>
      <c r="O3" s="90"/>
      <c r="P3" s="90"/>
      <c r="Q3" s="90"/>
      <c r="R3" s="90"/>
      <c r="S3" s="90"/>
      <c r="T3" s="90"/>
      <c r="U3" s="90"/>
      <c r="V3" s="90"/>
      <c r="W3" s="90"/>
      <c r="X3" s="90"/>
      <c r="Y3" s="90"/>
      <c r="Z3" s="90"/>
    </row>
    <row r="4" spans="1:26" ht="11.25" customHeight="1">
      <c r="A4" s="90"/>
      <c r="B4" s="409" t="s">
        <v>521</v>
      </c>
      <c r="C4" s="344" t="s">
        <v>183</v>
      </c>
      <c r="D4" s="410">
        <v>44</v>
      </c>
      <c r="E4" s="344" t="s">
        <v>518</v>
      </c>
      <c r="F4" s="410">
        <f t="shared" ref="F4:G4" si="2">D4</f>
        <v>44</v>
      </c>
      <c r="G4" s="344" t="str">
        <f t="shared" si="2"/>
        <v>MJp / kg</v>
      </c>
      <c r="H4" s="411">
        <f t="shared" ref="H4:H50" si="3">D4*J4/1000</f>
        <v>2.7764000000000002</v>
      </c>
      <c r="I4" s="410" t="s">
        <v>439</v>
      </c>
      <c r="J4" s="344">
        <v>63.1</v>
      </c>
      <c r="K4" s="344" t="s">
        <v>520</v>
      </c>
      <c r="L4" s="413" t="str">
        <f t="shared" si="0"/>
        <v/>
      </c>
      <c r="M4" s="356" t="str">
        <f t="shared" si="1"/>
        <v/>
      </c>
      <c r="N4" s="90"/>
      <c r="O4" s="90"/>
      <c r="P4" s="90"/>
      <c r="Q4" s="90"/>
      <c r="R4" s="90"/>
      <c r="S4" s="90"/>
      <c r="T4" s="90"/>
      <c r="U4" s="90"/>
      <c r="V4" s="90"/>
      <c r="W4" s="90"/>
      <c r="X4" s="90"/>
      <c r="Y4" s="90"/>
      <c r="Z4" s="90"/>
    </row>
    <row r="5" spans="1:26" ht="11.25" customHeight="1">
      <c r="A5" s="90"/>
      <c r="B5" s="409" t="s">
        <v>522</v>
      </c>
      <c r="C5" s="344" t="s">
        <v>183</v>
      </c>
      <c r="D5" s="344">
        <v>34.4</v>
      </c>
      <c r="E5" s="344" t="s">
        <v>518</v>
      </c>
      <c r="F5" s="410">
        <f t="shared" ref="F5:G5" si="4">D5</f>
        <v>34.4</v>
      </c>
      <c r="G5" s="344" t="str">
        <f t="shared" si="4"/>
        <v>MJp / kg</v>
      </c>
      <c r="H5" s="411">
        <f t="shared" si="3"/>
        <v>2.5318399999999999</v>
      </c>
      <c r="I5" s="410" t="s">
        <v>439</v>
      </c>
      <c r="J5" s="344">
        <v>73.599999999999994</v>
      </c>
      <c r="K5" s="344" t="s">
        <v>520</v>
      </c>
      <c r="L5" s="413" t="str">
        <f t="shared" si="0"/>
        <v/>
      </c>
      <c r="M5" s="356" t="str">
        <f t="shared" si="1"/>
        <v/>
      </c>
      <c r="N5" s="90"/>
      <c r="O5" s="76"/>
      <c r="P5" s="90"/>
      <c r="Q5" s="90"/>
      <c r="R5" s="90"/>
      <c r="S5" s="90"/>
      <c r="T5" s="90"/>
      <c r="U5" s="90"/>
      <c r="V5" s="90"/>
      <c r="W5" s="90"/>
      <c r="X5" s="90"/>
      <c r="Y5" s="90"/>
      <c r="Z5" s="90"/>
    </row>
    <row r="6" spans="1:26" ht="11.25" customHeight="1">
      <c r="A6" s="90"/>
      <c r="B6" s="409" t="s">
        <v>523</v>
      </c>
      <c r="C6" s="344" t="s">
        <v>183</v>
      </c>
      <c r="D6" s="344">
        <v>26.6</v>
      </c>
      <c r="E6" s="344" t="s">
        <v>518</v>
      </c>
      <c r="F6" s="410">
        <f t="shared" ref="F6:G6" si="5">D6</f>
        <v>26.6</v>
      </c>
      <c r="G6" s="344" t="str">
        <f t="shared" si="5"/>
        <v>MJp / kg</v>
      </c>
      <c r="H6" s="411">
        <f t="shared" si="3"/>
        <v>2.6147800000000001</v>
      </c>
      <c r="I6" s="410" t="s">
        <v>439</v>
      </c>
      <c r="J6" s="344">
        <v>98.3</v>
      </c>
      <c r="K6" s="344" t="s">
        <v>520</v>
      </c>
      <c r="L6" s="413" t="str">
        <f t="shared" si="0"/>
        <v/>
      </c>
      <c r="M6" s="356" t="str">
        <f t="shared" si="1"/>
        <v/>
      </c>
      <c r="N6" s="90"/>
      <c r="O6" s="81"/>
      <c r="P6" s="90"/>
      <c r="Q6" s="90"/>
      <c r="R6" s="90"/>
      <c r="S6" s="90"/>
      <c r="T6" s="90"/>
      <c r="U6" s="90"/>
      <c r="V6" s="90"/>
      <c r="W6" s="90"/>
      <c r="X6" s="90"/>
      <c r="Y6" s="90"/>
      <c r="Z6" s="90"/>
    </row>
    <row r="7" spans="1:26" ht="11.25" customHeight="1">
      <c r="A7" s="90"/>
      <c r="B7" s="409" t="s">
        <v>524</v>
      </c>
      <c r="C7" s="344" t="s">
        <v>183</v>
      </c>
      <c r="D7" s="410">
        <v>15.1</v>
      </c>
      <c r="E7" s="344" t="s">
        <v>518</v>
      </c>
      <c r="F7" s="410">
        <f t="shared" ref="F7:G7" si="6">D7</f>
        <v>15.1</v>
      </c>
      <c r="G7" s="344" t="str">
        <f t="shared" si="6"/>
        <v>MJp / kg</v>
      </c>
      <c r="H7" s="411">
        <f t="shared" si="3"/>
        <v>1.6549599999999998</v>
      </c>
      <c r="I7" s="410" t="s">
        <v>439</v>
      </c>
      <c r="J7" s="344">
        <v>109.6</v>
      </c>
      <c r="K7" s="344" t="s">
        <v>520</v>
      </c>
      <c r="L7" s="413" t="str">
        <f t="shared" si="0"/>
        <v/>
      </c>
      <c r="M7" s="356" t="str">
        <f t="shared" si="1"/>
        <v/>
      </c>
      <c r="N7" s="90"/>
      <c r="O7" s="509"/>
      <c r="P7" s="90"/>
      <c r="Q7" s="90"/>
      <c r="R7" s="90"/>
      <c r="S7" s="90"/>
      <c r="T7" s="90"/>
      <c r="U7" s="90"/>
      <c r="V7" s="90"/>
      <c r="W7" s="90"/>
      <c r="X7" s="90"/>
      <c r="Y7" s="90"/>
      <c r="Z7" s="90"/>
    </row>
    <row r="8" spans="1:26" ht="11.25" customHeight="1">
      <c r="A8" s="90"/>
      <c r="B8" s="409" t="s">
        <v>525</v>
      </c>
      <c r="C8" s="344" t="s">
        <v>183</v>
      </c>
      <c r="D8" s="410">
        <v>39.4</v>
      </c>
      <c r="E8" s="344" t="s">
        <v>518</v>
      </c>
      <c r="F8" s="410">
        <f t="shared" ref="F8:G8" si="7">D8</f>
        <v>39.4</v>
      </c>
      <c r="G8" s="344" t="str">
        <f t="shared" si="7"/>
        <v>MJp / kg</v>
      </c>
      <c r="H8" s="411">
        <f t="shared" si="3"/>
        <v>2.8052800000000002</v>
      </c>
      <c r="I8" s="410" t="s">
        <v>439</v>
      </c>
      <c r="J8" s="344">
        <v>71.2</v>
      </c>
      <c r="K8" s="344" t="s">
        <v>520</v>
      </c>
      <c r="L8" s="413" t="str">
        <f t="shared" si="0"/>
        <v/>
      </c>
      <c r="M8" s="356" t="str">
        <f t="shared" si="1"/>
        <v/>
      </c>
      <c r="N8" s="90"/>
      <c r="O8" s="509"/>
      <c r="P8" s="90"/>
      <c r="Q8" s="90"/>
      <c r="R8" s="90"/>
      <c r="S8" s="90"/>
      <c r="T8" s="90"/>
      <c r="U8" s="90"/>
      <c r="V8" s="90"/>
      <c r="W8" s="90"/>
      <c r="X8" s="90"/>
      <c r="Y8" s="90"/>
      <c r="Z8" s="90"/>
    </row>
    <row r="9" spans="1:26" ht="11.25" customHeight="1">
      <c r="A9" s="90"/>
      <c r="B9" s="409" t="s">
        <v>150</v>
      </c>
      <c r="C9" s="344" t="s">
        <v>183</v>
      </c>
      <c r="D9" s="344">
        <v>41.9</v>
      </c>
      <c r="E9" s="344" t="s">
        <v>518</v>
      </c>
      <c r="F9" s="410">
        <f t="shared" ref="F9:G9" si="8">D9</f>
        <v>41.9</v>
      </c>
      <c r="G9" s="344" t="str">
        <f t="shared" si="8"/>
        <v>MJp / kg</v>
      </c>
      <c r="H9" s="411">
        <f t="shared" si="3"/>
        <v>3.3813299999999997</v>
      </c>
      <c r="I9" s="410" t="s">
        <v>439</v>
      </c>
      <c r="J9" s="344">
        <v>80.7</v>
      </c>
      <c r="K9" s="344" t="s">
        <v>520</v>
      </c>
      <c r="L9" s="413" t="str">
        <f t="shared" si="0"/>
        <v/>
      </c>
      <c r="M9" s="356" t="str">
        <f t="shared" si="1"/>
        <v/>
      </c>
      <c r="N9" s="90"/>
      <c r="O9" s="81"/>
      <c r="P9" s="90"/>
      <c r="Q9" s="90"/>
      <c r="R9" s="90"/>
      <c r="S9" s="90"/>
      <c r="T9" s="90"/>
      <c r="U9" s="90"/>
      <c r="V9" s="90"/>
      <c r="W9" s="90"/>
      <c r="X9" s="90"/>
      <c r="Y9" s="90"/>
      <c r="Z9" s="90"/>
    </row>
    <row r="10" spans="1:26" ht="11.25" customHeight="1">
      <c r="A10" s="90"/>
      <c r="B10" s="409" t="s">
        <v>526</v>
      </c>
      <c r="C10" s="344" t="s">
        <v>183</v>
      </c>
      <c r="D10" s="344">
        <v>9.4</v>
      </c>
      <c r="E10" s="344" t="s">
        <v>518</v>
      </c>
      <c r="F10" s="410">
        <f t="shared" ref="F10:G10" si="9">D10</f>
        <v>9.4</v>
      </c>
      <c r="G10" s="344" t="str">
        <f t="shared" si="9"/>
        <v>MJp / kg</v>
      </c>
      <c r="H10" s="411">
        <f t="shared" si="3"/>
        <v>1.00298</v>
      </c>
      <c r="I10" s="410" t="s">
        <v>439</v>
      </c>
      <c r="J10" s="344">
        <v>106.7</v>
      </c>
      <c r="K10" s="344" t="s">
        <v>520</v>
      </c>
      <c r="L10" s="413" t="str">
        <f t="shared" si="0"/>
        <v/>
      </c>
      <c r="M10" s="356" t="str">
        <f t="shared" si="1"/>
        <v/>
      </c>
      <c r="N10" s="90"/>
      <c r="O10" s="81"/>
      <c r="P10" s="90"/>
      <c r="Q10" s="90"/>
      <c r="R10" s="90"/>
      <c r="S10" s="90"/>
      <c r="T10" s="90"/>
      <c r="U10" s="90"/>
      <c r="V10" s="90"/>
      <c r="W10" s="90"/>
      <c r="X10" s="90"/>
      <c r="Y10" s="90"/>
      <c r="Z10" s="90"/>
    </row>
    <row r="11" spans="1:26" ht="11.25" customHeight="1">
      <c r="A11" s="90"/>
      <c r="B11" s="409" t="s">
        <v>527</v>
      </c>
      <c r="C11" s="344" t="s">
        <v>183</v>
      </c>
      <c r="D11" s="410">
        <v>20</v>
      </c>
      <c r="E11" s="344" t="s">
        <v>518</v>
      </c>
      <c r="F11" s="410">
        <f t="shared" ref="F11:G11" si="10">D11</f>
        <v>20</v>
      </c>
      <c r="G11" s="344" t="str">
        <f t="shared" si="10"/>
        <v>MJp / kg</v>
      </c>
      <c r="H11" s="411">
        <f t="shared" si="3"/>
        <v>2.024</v>
      </c>
      <c r="I11" s="410" t="s">
        <v>439</v>
      </c>
      <c r="J11" s="344">
        <v>101.2</v>
      </c>
      <c r="K11" s="344" t="s">
        <v>520</v>
      </c>
      <c r="L11" s="413" t="str">
        <f t="shared" si="0"/>
        <v/>
      </c>
      <c r="M11" s="356" t="str">
        <f t="shared" si="1"/>
        <v/>
      </c>
      <c r="N11" s="90"/>
      <c r="O11" s="81"/>
      <c r="P11" s="90"/>
      <c r="Q11" s="90"/>
      <c r="R11" s="90"/>
      <c r="S11" s="90"/>
      <c r="T11" s="90"/>
      <c r="U11" s="90"/>
      <c r="V11" s="90"/>
      <c r="W11" s="90"/>
      <c r="X11" s="90"/>
      <c r="Y11" s="90"/>
      <c r="Z11" s="90"/>
    </row>
    <row r="12" spans="1:26" ht="11.25" customHeight="1">
      <c r="A12" s="90"/>
      <c r="B12" s="409" t="s">
        <v>528</v>
      </c>
      <c r="C12" s="344" t="s">
        <v>322</v>
      </c>
      <c r="D12" s="410">
        <v>31.65</v>
      </c>
      <c r="E12" s="344" t="s">
        <v>517</v>
      </c>
      <c r="F12" s="344"/>
      <c r="G12" s="344"/>
      <c r="H12" s="411">
        <f t="shared" si="3"/>
        <v>2.1110549999999999</v>
      </c>
      <c r="I12" s="412" t="s">
        <v>519</v>
      </c>
      <c r="J12" s="344">
        <v>66.7</v>
      </c>
      <c r="K12" s="344" t="s">
        <v>520</v>
      </c>
      <c r="L12" s="413" t="str">
        <f t="shared" si="0"/>
        <v/>
      </c>
      <c r="M12" s="356" t="str">
        <f t="shared" si="1"/>
        <v/>
      </c>
      <c r="N12" s="90"/>
      <c r="O12" s="509"/>
      <c r="P12" s="90"/>
      <c r="Q12" s="90"/>
      <c r="R12" s="90"/>
      <c r="S12" s="90"/>
      <c r="T12" s="90"/>
      <c r="U12" s="90"/>
      <c r="V12" s="90"/>
      <c r="W12" s="90"/>
      <c r="X12" s="90"/>
      <c r="Y12" s="90"/>
      <c r="Z12" s="90"/>
    </row>
    <row r="13" spans="1:26" ht="11.25" customHeight="1">
      <c r="A13" s="90"/>
      <c r="B13" s="409" t="s">
        <v>529</v>
      </c>
      <c r="C13" s="344" t="s">
        <v>183</v>
      </c>
      <c r="D13" s="344">
        <v>28.7</v>
      </c>
      <c r="E13" s="344" t="s">
        <v>518</v>
      </c>
      <c r="F13" s="344"/>
      <c r="G13" s="344"/>
      <c r="H13" s="411">
        <f t="shared" si="3"/>
        <v>2.5772599999999999</v>
      </c>
      <c r="I13" s="410" t="s">
        <v>439</v>
      </c>
      <c r="J13" s="344">
        <v>89.8</v>
      </c>
      <c r="K13" s="344" t="s">
        <v>520</v>
      </c>
      <c r="L13" s="413" t="str">
        <f t="shared" si="0"/>
        <v/>
      </c>
      <c r="M13" s="356" t="str">
        <f t="shared" si="1"/>
        <v/>
      </c>
      <c r="N13" s="90"/>
      <c r="O13" s="81"/>
      <c r="P13" s="90"/>
      <c r="Q13" s="90"/>
      <c r="R13" s="90"/>
      <c r="S13" s="90"/>
      <c r="T13" s="90"/>
      <c r="U13" s="90"/>
      <c r="V13" s="90"/>
      <c r="W13" s="90"/>
      <c r="X13" s="90"/>
      <c r="Y13" s="90"/>
      <c r="Z13" s="90"/>
    </row>
    <row r="14" spans="1:26" ht="11.25" customHeight="1">
      <c r="A14" s="90"/>
      <c r="B14" s="409" t="s">
        <v>530</v>
      </c>
      <c r="C14" s="344" t="s">
        <v>183</v>
      </c>
      <c r="D14" s="344">
        <v>28.7</v>
      </c>
      <c r="E14" s="344" t="s">
        <v>518</v>
      </c>
      <c r="F14" s="344"/>
      <c r="G14" s="344"/>
      <c r="H14" s="411">
        <f t="shared" si="3"/>
        <v>2.7379799999999999</v>
      </c>
      <c r="I14" s="410" t="s">
        <v>439</v>
      </c>
      <c r="J14" s="344">
        <v>95.4</v>
      </c>
      <c r="K14" s="344" t="s">
        <v>520</v>
      </c>
      <c r="L14" s="413" t="str">
        <f t="shared" si="0"/>
        <v/>
      </c>
      <c r="M14" s="356" t="str">
        <f t="shared" si="1"/>
        <v/>
      </c>
      <c r="N14" s="90"/>
      <c r="O14" s="509"/>
      <c r="P14" s="90"/>
      <c r="Q14" s="90"/>
      <c r="R14" s="90"/>
      <c r="S14" s="90"/>
      <c r="T14" s="90"/>
      <c r="U14" s="90"/>
      <c r="V14" s="90"/>
      <c r="W14" s="90"/>
      <c r="X14" s="90"/>
      <c r="Y14" s="90"/>
      <c r="Z14" s="90"/>
    </row>
    <row r="15" spans="1:26" ht="11.25" customHeight="1">
      <c r="A15" s="90"/>
      <c r="B15" s="409" t="s">
        <v>531</v>
      </c>
      <c r="C15" s="344" t="s">
        <v>183</v>
      </c>
      <c r="D15" s="344">
        <v>28.5</v>
      </c>
      <c r="E15" s="344" t="s">
        <v>518</v>
      </c>
      <c r="F15" s="344"/>
      <c r="G15" s="344"/>
      <c r="H15" s="411">
        <f t="shared" si="3"/>
        <v>3.1891500000000002</v>
      </c>
      <c r="I15" s="410" t="s">
        <v>439</v>
      </c>
      <c r="J15" s="344">
        <v>111.9</v>
      </c>
      <c r="K15" s="344" t="s">
        <v>520</v>
      </c>
      <c r="L15" s="413" t="str">
        <f t="shared" si="0"/>
        <v/>
      </c>
      <c r="M15" s="356" t="str">
        <f t="shared" si="1"/>
        <v/>
      </c>
      <c r="N15" s="90"/>
      <c r="O15" s="90"/>
      <c r="P15" s="90"/>
      <c r="Q15" s="90"/>
      <c r="R15" s="90"/>
      <c r="S15" s="90"/>
      <c r="T15" s="90"/>
      <c r="U15" s="90"/>
      <c r="V15" s="90"/>
      <c r="W15" s="90"/>
      <c r="X15" s="90"/>
      <c r="Y15" s="90"/>
      <c r="Z15" s="90"/>
    </row>
    <row r="16" spans="1:26" ht="11.25" customHeight="1">
      <c r="A16" s="90"/>
      <c r="B16" s="409" t="s">
        <v>532</v>
      </c>
      <c r="C16" s="344" t="s">
        <v>322</v>
      </c>
      <c r="D16" s="410">
        <v>31.65</v>
      </c>
      <c r="E16" s="344" t="s">
        <v>517</v>
      </c>
      <c r="F16" s="344"/>
      <c r="G16" s="344"/>
      <c r="H16" s="411">
        <f t="shared" si="3"/>
        <v>1.3039799999999999</v>
      </c>
      <c r="I16" s="412" t="s">
        <v>519</v>
      </c>
      <c r="J16" s="344">
        <v>41.2</v>
      </c>
      <c r="K16" s="344" t="s">
        <v>520</v>
      </c>
      <c r="L16" s="413" t="str">
        <f t="shared" si="0"/>
        <v/>
      </c>
      <c r="M16" s="356" t="str">
        <f t="shared" si="1"/>
        <v/>
      </c>
      <c r="N16" s="90"/>
      <c r="O16" s="91"/>
      <c r="P16" s="90"/>
      <c r="Q16" s="90"/>
      <c r="R16" s="90"/>
      <c r="S16" s="90"/>
      <c r="T16" s="90"/>
      <c r="U16" s="90"/>
      <c r="V16" s="90"/>
      <c r="W16" s="90"/>
      <c r="X16" s="90"/>
      <c r="Y16" s="90"/>
      <c r="Z16" s="90"/>
    </row>
    <row r="17" spans="1:26" ht="11.25" customHeight="1">
      <c r="A17" s="90"/>
      <c r="B17" s="409" t="s">
        <v>203</v>
      </c>
      <c r="C17" s="344" t="s">
        <v>533</v>
      </c>
      <c r="D17" s="411">
        <v>3.6</v>
      </c>
      <c r="E17" s="344" t="s">
        <v>534</v>
      </c>
      <c r="F17" s="411"/>
      <c r="G17" s="344"/>
      <c r="H17" s="411">
        <f t="shared" si="3"/>
        <v>0.26856000000000002</v>
      </c>
      <c r="I17" s="410" t="s">
        <v>535</v>
      </c>
      <c r="J17" s="344">
        <v>74.599999999999994</v>
      </c>
      <c r="K17" s="344" t="s">
        <v>520</v>
      </c>
      <c r="L17" s="413">
        <f t="shared" si="0"/>
        <v>0</v>
      </c>
      <c r="M17" s="356" t="str">
        <f t="shared" si="1"/>
        <v>€ / kWh</v>
      </c>
      <c r="N17" s="90"/>
      <c r="O17" s="509"/>
      <c r="P17" s="90"/>
      <c r="Q17" s="90"/>
      <c r="R17" s="90"/>
      <c r="S17" s="90"/>
      <c r="T17" s="90"/>
      <c r="U17" s="90"/>
      <c r="V17" s="90"/>
      <c r="W17" s="90"/>
      <c r="X17" s="90"/>
      <c r="Y17" s="90"/>
      <c r="Z17" s="90"/>
    </row>
    <row r="18" spans="1:26" ht="11.25" customHeight="1">
      <c r="A18" s="90"/>
      <c r="B18" s="409" t="s">
        <v>536</v>
      </c>
      <c r="C18" s="344" t="s">
        <v>322</v>
      </c>
      <c r="D18" s="410">
        <f>F18*1.36</f>
        <v>61.472000000000008</v>
      </c>
      <c r="E18" s="344" t="s">
        <v>517</v>
      </c>
      <c r="F18" s="411">
        <v>45.2</v>
      </c>
      <c r="G18" s="344" t="s">
        <v>518</v>
      </c>
      <c r="H18" s="411">
        <f t="shared" si="3"/>
        <v>3.7866752000000008</v>
      </c>
      <c r="I18" s="410" t="s">
        <v>519</v>
      </c>
      <c r="J18" s="344">
        <v>61.6</v>
      </c>
      <c r="K18" s="344" t="s">
        <v>520</v>
      </c>
      <c r="L18" s="413" t="str">
        <f t="shared" si="0"/>
        <v/>
      </c>
      <c r="M18" s="356" t="str">
        <f t="shared" si="1"/>
        <v/>
      </c>
      <c r="N18" s="90"/>
      <c r="O18" s="509"/>
      <c r="P18" s="90"/>
      <c r="Q18" s="90"/>
      <c r="R18" s="90"/>
      <c r="S18" s="90"/>
      <c r="T18" s="90"/>
      <c r="U18" s="90"/>
      <c r="V18" s="90"/>
      <c r="W18" s="90"/>
      <c r="X18" s="90"/>
      <c r="Y18" s="90"/>
      <c r="Z18" s="90"/>
    </row>
    <row r="19" spans="1:26" ht="11.25" customHeight="1">
      <c r="A19" s="90"/>
      <c r="B19" s="409" t="s">
        <v>537</v>
      </c>
      <c r="C19" s="344" t="s">
        <v>322</v>
      </c>
      <c r="D19" s="410">
        <v>31.65</v>
      </c>
      <c r="E19" s="344" t="s">
        <v>517</v>
      </c>
      <c r="F19" s="344"/>
      <c r="G19" s="344"/>
      <c r="H19" s="411">
        <f t="shared" si="3"/>
        <v>4.7316750000000001</v>
      </c>
      <c r="I19" s="412" t="s">
        <v>519</v>
      </c>
      <c r="J19" s="344">
        <v>149.5</v>
      </c>
      <c r="K19" s="344" t="s">
        <v>520</v>
      </c>
      <c r="L19" s="413" t="str">
        <f t="shared" si="0"/>
        <v/>
      </c>
      <c r="M19" s="356" t="str">
        <f t="shared" si="1"/>
        <v/>
      </c>
      <c r="N19" s="90"/>
      <c r="O19" s="509"/>
      <c r="P19" s="90"/>
      <c r="Q19" s="90"/>
      <c r="R19" s="90"/>
      <c r="S19" s="90"/>
      <c r="T19" s="90"/>
      <c r="U19" s="90"/>
      <c r="V19" s="90"/>
      <c r="W19" s="90"/>
      <c r="X19" s="90"/>
      <c r="Y19" s="90"/>
      <c r="Z19" s="90"/>
    </row>
    <row r="20" spans="1:26" ht="11.25" customHeight="1">
      <c r="A20" s="90"/>
      <c r="B20" s="409" t="s">
        <v>538</v>
      </c>
      <c r="C20" s="344" t="s">
        <v>539</v>
      </c>
      <c r="D20" s="410">
        <f>F20*0.84</f>
        <v>35.868000000000002</v>
      </c>
      <c r="E20" s="344" t="s">
        <v>540</v>
      </c>
      <c r="F20" s="411">
        <v>42.7</v>
      </c>
      <c r="G20" s="344" t="s">
        <v>518</v>
      </c>
      <c r="H20" s="411">
        <f t="shared" si="3"/>
        <v>2.6649924</v>
      </c>
      <c r="I20" s="410" t="s">
        <v>541</v>
      </c>
      <c r="J20" s="344">
        <v>74.3</v>
      </c>
      <c r="K20" s="344" t="s">
        <v>520</v>
      </c>
      <c r="L20" s="413" t="str">
        <f t="shared" si="0"/>
        <v/>
      </c>
      <c r="M20" s="356" t="str">
        <f t="shared" si="1"/>
        <v/>
      </c>
      <c r="N20" s="90"/>
      <c r="O20" s="509"/>
      <c r="P20" s="90"/>
      <c r="Q20" s="90"/>
      <c r="R20" s="90"/>
      <c r="S20" s="90"/>
      <c r="T20" s="90"/>
      <c r="U20" s="90"/>
      <c r="V20" s="90"/>
      <c r="W20" s="90"/>
      <c r="X20" s="90"/>
      <c r="Y20" s="90"/>
      <c r="Z20" s="90"/>
    </row>
    <row r="21" spans="1:26" ht="11.25" customHeight="1">
      <c r="A21" s="90"/>
      <c r="B21" s="409" t="s">
        <v>542</v>
      </c>
      <c r="C21" s="344" t="s">
        <v>322</v>
      </c>
      <c r="D21" s="410">
        <v>31.65</v>
      </c>
      <c r="E21" s="344" t="s">
        <v>517</v>
      </c>
      <c r="F21" s="344"/>
      <c r="G21" s="344"/>
      <c r="H21" s="411">
        <f t="shared" si="3"/>
        <v>7.8302100000000001</v>
      </c>
      <c r="I21" s="412" t="s">
        <v>519</v>
      </c>
      <c r="J21" s="344">
        <v>247.4</v>
      </c>
      <c r="K21" s="344" t="s">
        <v>520</v>
      </c>
      <c r="L21" s="413" t="str">
        <f t="shared" si="0"/>
        <v/>
      </c>
      <c r="M21" s="356" t="str">
        <f t="shared" si="1"/>
        <v/>
      </c>
      <c r="N21" s="90"/>
      <c r="O21" s="509"/>
      <c r="P21" s="90"/>
      <c r="Q21" s="90"/>
      <c r="R21" s="90"/>
      <c r="S21" s="90"/>
      <c r="T21" s="90"/>
      <c r="U21" s="90"/>
      <c r="V21" s="90"/>
      <c r="W21" s="90"/>
      <c r="X21" s="90"/>
      <c r="Y21" s="90"/>
      <c r="Z21" s="90"/>
    </row>
    <row r="22" spans="1:26" ht="11.25" customHeight="1">
      <c r="A22" s="90"/>
      <c r="B22" s="409" t="s">
        <v>543</v>
      </c>
      <c r="C22" s="344" t="s">
        <v>322</v>
      </c>
      <c r="D22" s="344">
        <v>23.3</v>
      </c>
      <c r="E22" s="344" t="s">
        <v>517</v>
      </c>
      <c r="F22" s="344"/>
      <c r="G22" s="344"/>
      <c r="H22" s="411">
        <f t="shared" si="3"/>
        <v>1.9618600000000002</v>
      </c>
      <c r="I22" s="412" t="s">
        <v>519</v>
      </c>
      <c r="J22" s="344">
        <v>84.2</v>
      </c>
      <c r="K22" s="344" t="s">
        <v>520</v>
      </c>
      <c r="L22" s="413" t="str">
        <f t="shared" si="0"/>
        <v/>
      </c>
      <c r="M22" s="356" t="str">
        <f t="shared" si="1"/>
        <v/>
      </c>
      <c r="N22" s="90"/>
      <c r="O22" s="509"/>
      <c r="P22" s="90"/>
      <c r="Q22" s="90"/>
      <c r="R22" s="90"/>
      <c r="S22" s="90"/>
      <c r="T22" s="90"/>
      <c r="U22" s="90"/>
      <c r="V22" s="90"/>
      <c r="W22" s="90"/>
      <c r="X22" s="90"/>
      <c r="Y22" s="90"/>
      <c r="Z22" s="90"/>
    </row>
    <row r="23" spans="1:26" ht="11.25" customHeight="1">
      <c r="A23" s="90"/>
      <c r="B23" s="409" t="s">
        <v>544</v>
      </c>
      <c r="C23" s="344" t="s">
        <v>545</v>
      </c>
      <c r="D23" s="344">
        <v>43.5</v>
      </c>
      <c r="E23" s="344" t="s">
        <v>518</v>
      </c>
      <c r="F23" s="344"/>
      <c r="G23" s="344"/>
      <c r="H23" s="411">
        <f t="shared" si="3"/>
        <v>3.1102500000000002</v>
      </c>
      <c r="I23" s="410" t="s">
        <v>439</v>
      </c>
      <c r="J23" s="344">
        <v>71.5</v>
      </c>
      <c r="K23" s="344" t="s">
        <v>520</v>
      </c>
      <c r="L23" s="413" t="str">
        <f t="shared" si="0"/>
        <v/>
      </c>
      <c r="M23" s="356" t="str">
        <f t="shared" si="1"/>
        <v/>
      </c>
      <c r="N23" s="90"/>
      <c r="O23" s="509"/>
      <c r="P23" s="90"/>
      <c r="Q23" s="90"/>
      <c r="R23" s="90"/>
      <c r="S23" s="90"/>
      <c r="T23" s="90"/>
      <c r="U23" s="90"/>
      <c r="V23" s="90"/>
      <c r="W23" s="90"/>
      <c r="X23" s="90"/>
      <c r="Y23" s="90"/>
      <c r="Z23" s="90"/>
    </row>
    <row r="24" spans="1:26" ht="11.25" customHeight="1">
      <c r="A24" s="90"/>
      <c r="B24" s="409" t="s">
        <v>546</v>
      </c>
      <c r="C24" s="344" t="s">
        <v>322</v>
      </c>
      <c r="D24" s="344">
        <v>12.6</v>
      </c>
      <c r="E24" s="344" t="s">
        <v>517</v>
      </c>
      <c r="F24" s="344"/>
      <c r="G24" s="344"/>
      <c r="H24" s="411">
        <f t="shared" si="3"/>
        <v>1.9555199999999997</v>
      </c>
      <c r="I24" s="412" t="s">
        <v>519</v>
      </c>
      <c r="J24" s="344">
        <v>155.19999999999999</v>
      </c>
      <c r="K24" s="344" t="s">
        <v>520</v>
      </c>
      <c r="L24" s="413" t="str">
        <f t="shared" si="0"/>
        <v/>
      </c>
      <c r="M24" s="356" t="str">
        <f t="shared" si="1"/>
        <v/>
      </c>
      <c r="N24" s="90"/>
      <c r="O24" s="509"/>
      <c r="P24" s="90"/>
      <c r="Q24" s="90"/>
      <c r="R24" s="90"/>
      <c r="S24" s="90"/>
      <c r="T24" s="90"/>
      <c r="U24" s="90"/>
      <c r="V24" s="90"/>
      <c r="W24" s="90"/>
      <c r="X24" s="90"/>
      <c r="Y24" s="90"/>
      <c r="Z24" s="90"/>
    </row>
    <row r="25" spans="1:26" ht="11.25" customHeight="1">
      <c r="A25" s="90"/>
      <c r="B25" s="409" t="s">
        <v>547</v>
      </c>
      <c r="C25" s="344" t="s">
        <v>183</v>
      </c>
      <c r="D25" s="410">
        <v>36</v>
      </c>
      <c r="E25" s="344" t="s">
        <v>518</v>
      </c>
      <c r="F25" s="344"/>
      <c r="G25" s="344"/>
      <c r="H25" s="411">
        <f t="shared" si="3"/>
        <v>2.6387999999999998</v>
      </c>
      <c r="I25" s="410" t="s">
        <v>439</v>
      </c>
      <c r="J25" s="344">
        <v>73.3</v>
      </c>
      <c r="K25" s="344" t="s">
        <v>520</v>
      </c>
      <c r="L25" s="413" t="str">
        <f t="shared" si="0"/>
        <v/>
      </c>
      <c r="M25" s="356" t="str">
        <f t="shared" si="1"/>
        <v/>
      </c>
      <c r="N25" s="90"/>
      <c r="O25" s="509"/>
      <c r="P25" s="90"/>
      <c r="Q25" s="90"/>
      <c r="R25" s="90"/>
      <c r="S25" s="90"/>
      <c r="T25" s="90"/>
      <c r="U25" s="90"/>
      <c r="V25" s="90"/>
      <c r="W25" s="90"/>
      <c r="X25" s="90"/>
      <c r="Y25" s="90"/>
      <c r="Z25" s="90"/>
    </row>
    <row r="26" spans="1:26" ht="11.25" customHeight="1">
      <c r="A26" s="90"/>
      <c r="B26" s="409" t="s">
        <v>548</v>
      </c>
      <c r="C26" s="344" t="s">
        <v>539</v>
      </c>
      <c r="D26" s="410">
        <f>45.2*0.54</f>
        <v>24.408000000000005</v>
      </c>
      <c r="E26" s="344" t="s">
        <v>540</v>
      </c>
      <c r="F26" s="411">
        <v>45.2</v>
      </c>
      <c r="G26" s="344" t="s">
        <v>518</v>
      </c>
      <c r="H26" s="411">
        <f t="shared" si="3"/>
        <v>1.6280136000000005</v>
      </c>
      <c r="I26" s="410" t="s">
        <v>541</v>
      </c>
      <c r="J26" s="344">
        <v>66.7</v>
      </c>
      <c r="K26" s="344" t="s">
        <v>520</v>
      </c>
      <c r="L26" s="413" t="str">
        <f t="shared" si="0"/>
        <v/>
      </c>
      <c r="M26" s="356" t="str">
        <f t="shared" si="1"/>
        <v/>
      </c>
      <c r="N26" s="90"/>
      <c r="O26" s="509"/>
      <c r="P26" s="90"/>
      <c r="Q26" s="90"/>
      <c r="R26" s="90"/>
      <c r="S26" s="90"/>
      <c r="T26" s="90"/>
      <c r="U26" s="90"/>
      <c r="V26" s="90"/>
      <c r="W26" s="90"/>
      <c r="X26" s="90"/>
      <c r="Y26" s="90"/>
      <c r="Z26" s="90"/>
    </row>
    <row r="27" spans="1:26" ht="11.25" customHeight="1">
      <c r="A27" s="90"/>
      <c r="B27" s="409" t="s">
        <v>549</v>
      </c>
      <c r="C27" s="344" t="s">
        <v>322</v>
      </c>
      <c r="D27" s="410">
        <v>35.9</v>
      </c>
      <c r="E27" s="344" t="s">
        <v>517</v>
      </c>
      <c r="F27" s="411">
        <f>D27*1.34</f>
        <v>48.106000000000002</v>
      </c>
      <c r="G27" s="344" t="s">
        <v>518</v>
      </c>
      <c r="H27" s="411">
        <f t="shared" si="3"/>
        <v>1.9709099999999999</v>
      </c>
      <c r="I27" s="410" t="s">
        <v>519</v>
      </c>
      <c r="J27" s="344">
        <v>54.9</v>
      </c>
      <c r="K27" s="344" t="s">
        <v>520</v>
      </c>
      <c r="L27" s="413" t="str">
        <f t="shared" si="0"/>
        <v/>
      </c>
      <c r="M27" s="356" t="str">
        <f t="shared" si="1"/>
        <v/>
      </c>
      <c r="N27" s="90"/>
      <c r="O27" s="509"/>
      <c r="P27" s="90"/>
      <c r="Q27" s="90"/>
      <c r="R27" s="90"/>
      <c r="S27" s="90"/>
      <c r="T27" s="90"/>
      <c r="U27" s="90"/>
      <c r="V27" s="90"/>
      <c r="W27" s="90"/>
      <c r="X27" s="90"/>
      <c r="Y27" s="90"/>
      <c r="Z27" s="90"/>
    </row>
    <row r="28" spans="1:26" ht="11.25" customHeight="1">
      <c r="A28" s="90"/>
      <c r="B28" s="409" t="s">
        <v>550</v>
      </c>
      <c r="C28" s="344" t="s">
        <v>539</v>
      </c>
      <c r="D28" s="410">
        <f>F28*0.7</f>
        <v>30.799999999999997</v>
      </c>
      <c r="E28" s="344" t="s">
        <v>540</v>
      </c>
      <c r="F28" s="411">
        <v>44</v>
      </c>
      <c r="G28" s="344" t="s">
        <v>518</v>
      </c>
      <c r="H28" s="411">
        <f t="shared" si="3"/>
        <v>2.2176</v>
      </c>
      <c r="I28" s="410" t="s">
        <v>541</v>
      </c>
      <c r="J28" s="410">
        <v>72</v>
      </c>
      <c r="K28" s="344" t="s">
        <v>520</v>
      </c>
      <c r="L28" s="413" t="str">
        <f t="shared" si="0"/>
        <v/>
      </c>
      <c r="M28" s="356" t="str">
        <f t="shared" si="1"/>
        <v/>
      </c>
      <c r="N28" s="90"/>
      <c r="O28" s="509"/>
      <c r="P28" s="90"/>
      <c r="Q28" s="90"/>
      <c r="R28" s="90"/>
      <c r="S28" s="90"/>
      <c r="T28" s="90"/>
      <c r="U28" s="90"/>
      <c r="V28" s="90"/>
      <c r="W28" s="90"/>
      <c r="X28" s="90"/>
      <c r="Y28" s="90"/>
      <c r="Z28" s="90"/>
    </row>
    <row r="29" spans="1:26" ht="11.25" customHeight="1">
      <c r="A29" s="90"/>
      <c r="B29" s="409" t="s">
        <v>551</v>
      </c>
      <c r="C29" s="344" t="s">
        <v>183</v>
      </c>
      <c r="D29" s="410">
        <v>44</v>
      </c>
      <c r="E29" s="344" t="s">
        <v>518</v>
      </c>
      <c r="F29" s="344"/>
      <c r="G29" s="344"/>
      <c r="H29" s="411">
        <f t="shared" si="3"/>
        <v>3.2251999999999996</v>
      </c>
      <c r="I29" s="410" t="s">
        <v>439</v>
      </c>
      <c r="J29" s="344">
        <v>73.3</v>
      </c>
      <c r="K29" s="344" t="s">
        <v>520</v>
      </c>
      <c r="L29" s="413" t="str">
        <f t="shared" si="0"/>
        <v/>
      </c>
      <c r="M29" s="356" t="str">
        <f t="shared" si="1"/>
        <v/>
      </c>
      <c r="N29" s="90"/>
      <c r="O29" s="509"/>
      <c r="P29" s="90"/>
      <c r="Q29" s="90"/>
      <c r="R29" s="90"/>
      <c r="S29" s="90"/>
      <c r="T29" s="90"/>
      <c r="U29" s="90"/>
      <c r="V29" s="90"/>
      <c r="W29" s="90"/>
      <c r="X29" s="90"/>
      <c r="Y29" s="90"/>
      <c r="Z29" s="90"/>
    </row>
    <row r="30" spans="1:26" ht="11.25" customHeight="1">
      <c r="A30" s="90"/>
      <c r="B30" s="409" t="s">
        <v>552</v>
      </c>
      <c r="C30" s="344" t="s">
        <v>183</v>
      </c>
      <c r="D30" s="344">
        <v>27.5</v>
      </c>
      <c r="E30" s="344" t="s">
        <v>518</v>
      </c>
      <c r="F30" s="344"/>
      <c r="G30" s="344"/>
      <c r="H30" s="411">
        <f t="shared" si="3"/>
        <v>2.2192500000000002</v>
      </c>
      <c r="I30" s="410" t="s">
        <v>439</v>
      </c>
      <c r="J30" s="344">
        <v>80.7</v>
      </c>
      <c r="K30" s="344" t="s">
        <v>520</v>
      </c>
      <c r="L30" s="413" t="str">
        <f t="shared" si="0"/>
        <v/>
      </c>
      <c r="M30" s="356" t="str">
        <f t="shared" si="1"/>
        <v/>
      </c>
      <c r="N30" s="90"/>
      <c r="O30" s="509"/>
      <c r="P30" s="90"/>
      <c r="Q30" s="90"/>
      <c r="R30" s="90"/>
      <c r="S30" s="90"/>
      <c r="T30" s="90"/>
      <c r="U30" s="90"/>
      <c r="V30" s="90"/>
      <c r="W30" s="90"/>
      <c r="X30" s="90"/>
      <c r="Y30" s="90"/>
      <c r="Z30" s="90"/>
    </row>
    <row r="31" spans="1:26" ht="11.25" customHeight="1">
      <c r="A31" s="90"/>
      <c r="B31" s="409" t="s">
        <v>553</v>
      </c>
      <c r="C31" s="344" t="s">
        <v>183</v>
      </c>
      <c r="D31" s="344">
        <v>24.5</v>
      </c>
      <c r="E31" s="344" t="s">
        <v>518</v>
      </c>
      <c r="F31" s="410">
        <f t="shared" ref="F31:G31" si="11">D31</f>
        <v>24.5</v>
      </c>
      <c r="G31" s="344" t="str">
        <f t="shared" si="11"/>
        <v>MJp / kg</v>
      </c>
      <c r="H31" s="411">
        <f t="shared" si="3"/>
        <v>2.3201499999999999</v>
      </c>
      <c r="I31" s="410" t="s">
        <v>439</v>
      </c>
      <c r="J31" s="344">
        <v>94.7</v>
      </c>
      <c r="K31" s="344" t="s">
        <v>520</v>
      </c>
      <c r="L31" s="413" t="str">
        <f t="shared" si="0"/>
        <v/>
      </c>
      <c r="M31" s="356" t="str">
        <f t="shared" si="1"/>
        <v/>
      </c>
      <c r="N31" s="90"/>
      <c r="O31" s="81"/>
      <c r="P31" s="90"/>
      <c r="Q31" s="90"/>
      <c r="R31" s="90"/>
      <c r="S31" s="90"/>
      <c r="T31" s="90"/>
      <c r="U31" s="90"/>
      <c r="V31" s="90"/>
      <c r="W31" s="90"/>
      <c r="X31" s="90"/>
      <c r="Y31" s="90"/>
      <c r="Z31" s="90"/>
    </row>
    <row r="32" spans="1:26" ht="11.25" customHeight="1">
      <c r="A32" s="90"/>
      <c r="B32" s="409" t="s">
        <v>554</v>
      </c>
      <c r="C32" s="344" t="s">
        <v>183</v>
      </c>
      <c r="D32" s="344">
        <v>40.200000000000003</v>
      </c>
      <c r="E32" s="344" t="s">
        <v>518</v>
      </c>
      <c r="F32" s="344"/>
      <c r="G32" s="344"/>
      <c r="H32" s="411">
        <f t="shared" si="3"/>
        <v>2.9466600000000005</v>
      </c>
      <c r="I32" s="410" t="s">
        <v>439</v>
      </c>
      <c r="J32" s="344">
        <v>73.3</v>
      </c>
      <c r="K32" s="344" t="s">
        <v>520</v>
      </c>
      <c r="L32" s="413" t="str">
        <f t="shared" si="0"/>
        <v/>
      </c>
      <c r="M32" s="356" t="str">
        <f t="shared" si="1"/>
        <v/>
      </c>
      <c r="N32" s="90"/>
      <c r="O32" s="91"/>
      <c r="P32" s="90"/>
      <c r="Q32" s="90"/>
      <c r="R32" s="90"/>
      <c r="S32" s="90"/>
      <c r="T32" s="90"/>
      <c r="U32" s="90"/>
      <c r="V32" s="90"/>
      <c r="W32" s="90"/>
      <c r="X32" s="90"/>
      <c r="Y32" s="90"/>
      <c r="Z32" s="90"/>
    </row>
    <row r="33" spans="1:26" ht="11.25" customHeight="1">
      <c r="A33" s="90"/>
      <c r="B33" s="409" t="s">
        <v>555</v>
      </c>
      <c r="C33" s="344" t="s">
        <v>322</v>
      </c>
      <c r="D33" s="410">
        <v>31.65</v>
      </c>
      <c r="E33" s="344" t="s">
        <v>517</v>
      </c>
      <c r="F33" s="344"/>
      <c r="G33" s="344"/>
      <c r="H33" s="411">
        <f t="shared" si="3"/>
        <v>6.0736350000000003</v>
      </c>
      <c r="I33" s="412" t="s">
        <v>519</v>
      </c>
      <c r="J33" s="344">
        <v>191.9</v>
      </c>
      <c r="K33" s="344" t="s">
        <v>520</v>
      </c>
      <c r="L33" s="413" t="str">
        <f t="shared" si="0"/>
        <v/>
      </c>
      <c r="M33" s="356" t="str">
        <f t="shared" si="1"/>
        <v/>
      </c>
      <c r="N33" s="90"/>
      <c r="O33" s="509"/>
      <c r="P33" s="90"/>
      <c r="Q33" s="90"/>
      <c r="R33" s="90"/>
      <c r="S33" s="90"/>
      <c r="T33" s="90"/>
      <c r="U33" s="90"/>
      <c r="V33" s="90"/>
      <c r="W33" s="90"/>
      <c r="X33" s="90"/>
      <c r="Y33" s="90"/>
      <c r="Z33" s="90"/>
    </row>
    <row r="34" spans="1:26" ht="11.25" customHeight="1">
      <c r="A34" s="90"/>
      <c r="B34" s="409" t="s">
        <v>556</v>
      </c>
      <c r="C34" s="344" t="s">
        <v>539</v>
      </c>
      <c r="D34" s="410">
        <f>F34*0.8</f>
        <v>34.480000000000004</v>
      </c>
      <c r="E34" s="344" t="s">
        <v>540</v>
      </c>
      <c r="F34" s="411">
        <v>43.1</v>
      </c>
      <c r="G34" s="344" t="s">
        <v>518</v>
      </c>
      <c r="H34" s="411">
        <f t="shared" si="3"/>
        <v>2.4791120000000006</v>
      </c>
      <c r="I34" s="410" t="s">
        <v>541</v>
      </c>
      <c r="J34" s="344">
        <v>71.900000000000006</v>
      </c>
      <c r="K34" s="344" t="s">
        <v>520</v>
      </c>
      <c r="L34" s="413" t="str">
        <f t="shared" si="0"/>
        <v/>
      </c>
      <c r="M34" s="356" t="str">
        <f t="shared" si="1"/>
        <v/>
      </c>
      <c r="N34" s="90"/>
      <c r="O34" s="509"/>
      <c r="P34" s="90"/>
      <c r="Q34" s="90"/>
      <c r="R34" s="90"/>
      <c r="S34" s="90"/>
      <c r="T34" s="90"/>
      <c r="U34" s="90"/>
      <c r="V34" s="90"/>
      <c r="W34" s="90"/>
      <c r="X34" s="90"/>
      <c r="Y34" s="90"/>
      <c r="Z34" s="90"/>
    </row>
    <row r="35" spans="1:26" ht="11.25" customHeight="1">
      <c r="A35" s="90"/>
      <c r="B35" s="409" t="s">
        <v>557</v>
      </c>
      <c r="C35" s="344" t="s">
        <v>183</v>
      </c>
      <c r="D35" s="344">
        <v>35.200000000000003</v>
      </c>
      <c r="E35" s="344" t="s">
        <v>518</v>
      </c>
      <c r="F35" s="344"/>
      <c r="G35" s="344"/>
      <c r="H35" s="411">
        <f t="shared" si="3"/>
        <v>3.5481600000000002</v>
      </c>
      <c r="I35" s="410" t="s">
        <v>439</v>
      </c>
      <c r="J35" s="344">
        <v>100.8</v>
      </c>
      <c r="K35" s="344" t="s">
        <v>520</v>
      </c>
      <c r="L35" s="413" t="str">
        <f t="shared" si="0"/>
        <v/>
      </c>
      <c r="M35" s="356" t="str">
        <f t="shared" si="1"/>
        <v/>
      </c>
      <c r="N35" s="90"/>
      <c r="O35" s="509"/>
      <c r="P35" s="90"/>
      <c r="Q35" s="90"/>
      <c r="R35" s="90"/>
      <c r="S35" s="90"/>
      <c r="T35" s="90"/>
      <c r="U35" s="90"/>
      <c r="V35" s="90"/>
      <c r="W35" s="90"/>
      <c r="X35" s="90"/>
      <c r="Y35" s="90"/>
      <c r="Z35" s="90"/>
    </row>
    <row r="36" spans="1:26" ht="11.25" customHeight="1">
      <c r="A36" s="90"/>
      <c r="B36" s="409" t="s">
        <v>558</v>
      </c>
      <c r="C36" s="344" t="s">
        <v>559</v>
      </c>
      <c r="D36" s="414">
        <v>1000</v>
      </c>
      <c r="E36" s="344" t="s">
        <v>560</v>
      </c>
      <c r="F36" s="344"/>
      <c r="G36" s="344"/>
      <c r="H36" s="410">
        <f t="shared" si="3"/>
        <v>56.1</v>
      </c>
      <c r="I36" s="344" t="s">
        <v>561</v>
      </c>
      <c r="J36" s="344">
        <v>56.1</v>
      </c>
      <c r="K36" s="344" t="s">
        <v>520</v>
      </c>
      <c r="L36" s="413" t="str">
        <f t="shared" si="0"/>
        <v/>
      </c>
      <c r="M36" s="356" t="str">
        <f t="shared" si="1"/>
        <v/>
      </c>
      <c r="N36" s="90"/>
      <c r="O36" s="81"/>
      <c r="P36" s="90"/>
      <c r="Q36" s="90"/>
      <c r="R36" s="90"/>
      <c r="S36" s="90"/>
      <c r="T36" s="90"/>
      <c r="U36" s="90"/>
      <c r="V36" s="90"/>
      <c r="W36" s="90"/>
      <c r="X36" s="90"/>
      <c r="Y36" s="90"/>
      <c r="Z36" s="90"/>
    </row>
    <row r="37" spans="1:26" ht="11.25" customHeight="1">
      <c r="A37" s="90"/>
      <c r="B37" s="409" t="s">
        <v>562</v>
      </c>
      <c r="C37" s="344" t="s">
        <v>322</v>
      </c>
      <c r="D37" s="414">
        <f>F37*2</f>
        <v>100</v>
      </c>
      <c r="E37" s="344" t="s">
        <v>517</v>
      </c>
      <c r="F37" s="411">
        <v>50</v>
      </c>
      <c r="G37" s="344" t="s">
        <v>518</v>
      </c>
      <c r="H37" s="411">
        <f t="shared" si="3"/>
        <v>0</v>
      </c>
      <c r="I37" s="410"/>
      <c r="J37" s="344"/>
      <c r="K37" s="344" t="s">
        <v>520</v>
      </c>
      <c r="L37" s="413" t="str">
        <f t="shared" si="0"/>
        <v/>
      </c>
      <c r="M37" s="356" t="str">
        <f t="shared" si="1"/>
        <v/>
      </c>
      <c r="N37" s="90"/>
      <c r="O37" s="91"/>
      <c r="P37" s="90"/>
      <c r="Q37" s="90"/>
      <c r="R37" s="90"/>
      <c r="S37" s="90"/>
      <c r="T37" s="90"/>
      <c r="U37" s="90"/>
      <c r="V37" s="90"/>
      <c r="W37" s="90"/>
      <c r="X37" s="90"/>
      <c r="Y37" s="90"/>
      <c r="Z37" s="90"/>
    </row>
    <row r="38" spans="1:26" ht="11.25" customHeight="1">
      <c r="A38" s="90"/>
      <c r="B38" s="409" t="s">
        <v>563</v>
      </c>
      <c r="C38" s="344" t="s">
        <v>183</v>
      </c>
      <c r="D38" s="344">
        <v>44.8</v>
      </c>
      <c r="E38" s="344" t="s">
        <v>518</v>
      </c>
      <c r="F38" s="344"/>
      <c r="G38" s="344"/>
      <c r="H38" s="411">
        <f t="shared" si="3"/>
        <v>3.2838399999999996</v>
      </c>
      <c r="I38" s="410" t="s">
        <v>439</v>
      </c>
      <c r="J38" s="344">
        <v>73.3</v>
      </c>
      <c r="K38" s="344" t="s">
        <v>520</v>
      </c>
      <c r="L38" s="413" t="str">
        <f t="shared" si="0"/>
        <v/>
      </c>
      <c r="M38" s="356" t="str">
        <f t="shared" si="1"/>
        <v/>
      </c>
      <c r="N38" s="90"/>
      <c r="O38" s="509"/>
      <c r="P38" s="90"/>
      <c r="Q38" s="90"/>
      <c r="R38" s="90"/>
      <c r="S38" s="90"/>
      <c r="T38" s="90"/>
      <c r="U38" s="90"/>
      <c r="V38" s="90"/>
      <c r="W38" s="90"/>
      <c r="X38" s="90"/>
      <c r="Y38" s="90"/>
      <c r="Z38" s="90"/>
    </row>
    <row r="39" spans="1:26" ht="11.25" customHeight="1">
      <c r="A39" s="90"/>
      <c r="B39" s="409" t="s">
        <v>564</v>
      </c>
      <c r="C39" s="344" t="s">
        <v>322</v>
      </c>
      <c r="D39" s="410">
        <v>31.65</v>
      </c>
      <c r="E39" s="344" t="s">
        <v>517</v>
      </c>
      <c r="F39" s="344"/>
      <c r="G39" s="344"/>
      <c r="H39" s="411">
        <f t="shared" si="3"/>
        <v>2.1110549999999999</v>
      </c>
      <c r="I39" s="412" t="s">
        <v>519</v>
      </c>
      <c r="J39" s="344">
        <v>66.7</v>
      </c>
      <c r="K39" s="344" t="s">
        <v>520</v>
      </c>
      <c r="L39" s="413" t="str">
        <f t="shared" si="0"/>
        <v/>
      </c>
      <c r="M39" s="356" t="str">
        <f t="shared" si="1"/>
        <v/>
      </c>
      <c r="N39" s="90"/>
      <c r="O39" s="90"/>
      <c r="P39" s="90"/>
      <c r="Q39" s="90"/>
      <c r="R39" s="90"/>
      <c r="S39" s="90"/>
      <c r="T39" s="90"/>
      <c r="U39" s="90"/>
      <c r="V39" s="90"/>
      <c r="W39" s="90"/>
      <c r="X39" s="90"/>
      <c r="Y39" s="90"/>
      <c r="Z39" s="90"/>
    </row>
    <row r="40" spans="1:26" ht="11.25" customHeight="1">
      <c r="A40" s="90"/>
      <c r="B40" s="409" t="s">
        <v>565</v>
      </c>
      <c r="C40" s="344" t="s">
        <v>183</v>
      </c>
      <c r="D40" s="344">
        <v>42.7</v>
      </c>
      <c r="E40" s="344" t="s">
        <v>518</v>
      </c>
      <c r="F40" s="344"/>
      <c r="G40" s="344"/>
      <c r="H40" s="411">
        <f t="shared" si="3"/>
        <v>3.1299100000000002</v>
      </c>
      <c r="I40" s="410" t="s">
        <v>439</v>
      </c>
      <c r="J40" s="344">
        <v>73.3</v>
      </c>
      <c r="K40" s="344" t="s">
        <v>520</v>
      </c>
      <c r="L40" s="413" t="str">
        <f t="shared" si="0"/>
        <v/>
      </c>
      <c r="M40" s="356" t="str">
        <f t="shared" si="1"/>
        <v/>
      </c>
      <c r="N40" s="90"/>
      <c r="O40" s="90"/>
      <c r="P40" s="90"/>
      <c r="Q40" s="90"/>
      <c r="R40" s="90"/>
      <c r="S40" s="90"/>
      <c r="T40" s="90"/>
      <c r="U40" s="90"/>
      <c r="V40" s="90"/>
      <c r="W40" s="90"/>
      <c r="X40" s="90"/>
      <c r="Y40" s="90"/>
      <c r="Z40" s="90"/>
    </row>
    <row r="41" spans="1:26" ht="11.25" customHeight="1">
      <c r="A41" s="90"/>
      <c r="B41" s="409" t="s">
        <v>566</v>
      </c>
      <c r="C41" s="344" t="s">
        <v>322</v>
      </c>
      <c r="D41" s="344">
        <v>23.3</v>
      </c>
      <c r="E41" s="344" t="s">
        <v>517</v>
      </c>
      <c r="F41" s="344"/>
      <c r="G41" s="344"/>
      <c r="H41" s="411">
        <f t="shared" si="3"/>
        <v>1.9618600000000002</v>
      </c>
      <c r="I41" s="412" t="s">
        <v>519</v>
      </c>
      <c r="J41" s="344">
        <v>84.2</v>
      </c>
      <c r="K41" s="344" t="s">
        <v>520</v>
      </c>
      <c r="L41" s="413" t="str">
        <f t="shared" si="0"/>
        <v/>
      </c>
      <c r="M41" s="356" t="str">
        <f t="shared" si="1"/>
        <v/>
      </c>
      <c r="N41" s="90"/>
      <c r="O41" s="90"/>
      <c r="P41" s="90"/>
      <c r="Q41" s="90"/>
      <c r="R41" s="90"/>
      <c r="S41" s="90"/>
      <c r="T41" s="90"/>
      <c r="U41" s="90"/>
      <c r="V41" s="90"/>
      <c r="W41" s="90"/>
      <c r="X41" s="90"/>
      <c r="Y41" s="90"/>
      <c r="Z41" s="90"/>
    </row>
    <row r="42" spans="1:26" ht="11.25" customHeight="1">
      <c r="A42" s="90"/>
      <c r="B42" s="409" t="s">
        <v>567</v>
      </c>
      <c r="C42" s="344" t="s">
        <v>183</v>
      </c>
      <c r="D42" s="344">
        <v>41.4</v>
      </c>
      <c r="E42" s="344" t="s">
        <v>518</v>
      </c>
      <c r="F42" s="344"/>
      <c r="G42" s="344"/>
      <c r="H42" s="411">
        <f t="shared" si="3"/>
        <v>3.0346199999999999</v>
      </c>
      <c r="I42" s="410" t="s">
        <v>439</v>
      </c>
      <c r="J42" s="344">
        <v>73.3</v>
      </c>
      <c r="K42" s="344" t="s">
        <v>520</v>
      </c>
      <c r="L42" s="413" t="str">
        <f t="shared" si="0"/>
        <v/>
      </c>
      <c r="M42" s="356" t="str">
        <f t="shared" si="1"/>
        <v/>
      </c>
      <c r="N42" s="90"/>
      <c r="O42" s="90"/>
      <c r="P42" s="90"/>
      <c r="Q42" s="90"/>
      <c r="R42" s="90"/>
      <c r="S42" s="90"/>
      <c r="T42" s="90"/>
      <c r="U42" s="90"/>
      <c r="V42" s="90"/>
      <c r="W42" s="90"/>
      <c r="X42" s="90"/>
      <c r="Y42" s="90"/>
      <c r="Z42" s="90"/>
    </row>
    <row r="43" spans="1:26" ht="11.25" customHeight="1">
      <c r="A43" s="90"/>
      <c r="B43" s="409" t="s">
        <v>568</v>
      </c>
      <c r="C43" s="344" t="s">
        <v>183</v>
      </c>
      <c r="D43" s="344">
        <v>23.5</v>
      </c>
      <c r="E43" s="344" t="s">
        <v>518</v>
      </c>
      <c r="F43" s="344"/>
      <c r="G43" s="344"/>
      <c r="H43" s="411">
        <f t="shared" si="3"/>
        <v>2.2231000000000001</v>
      </c>
      <c r="I43" s="410" t="s">
        <v>439</v>
      </c>
      <c r="J43" s="344">
        <v>94.6</v>
      </c>
      <c r="K43" s="344" t="s">
        <v>520</v>
      </c>
      <c r="L43" s="413" t="str">
        <f t="shared" si="0"/>
        <v/>
      </c>
      <c r="M43" s="356" t="str">
        <f t="shared" si="1"/>
        <v/>
      </c>
      <c r="N43" s="90"/>
      <c r="O43" s="90"/>
      <c r="P43" s="90"/>
      <c r="Q43" s="90"/>
      <c r="R43" s="90"/>
      <c r="S43" s="90"/>
      <c r="T43" s="90"/>
      <c r="U43" s="90"/>
      <c r="V43" s="90"/>
      <c r="W43" s="90"/>
      <c r="X43" s="90"/>
      <c r="Y43" s="90"/>
      <c r="Z43" s="90"/>
    </row>
    <row r="44" spans="1:26" ht="11.25" customHeight="1">
      <c r="A44" s="90"/>
      <c r="B44" s="409" t="s">
        <v>569</v>
      </c>
      <c r="C44" s="344" t="s">
        <v>183</v>
      </c>
      <c r="D44" s="410">
        <v>29</v>
      </c>
      <c r="E44" s="344" t="s">
        <v>518</v>
      </c>
      <c r="F44" s="344"/>
      <c r="G44" s="344"/>
      <c r="H44" s="411">
        <f t="shared" si="3"/>
        <v>2.9870000000000001</v>
      </c>
      <c r="I44" s="410" t="s">
        <v>439</v>
      </c>
      <c r="J44" s="344">
        <v>103</v>
      </c>
      <c r="K44" s="344" t="s">
        <v>520</v>
      </c>
      <c r="L44" s="413" t="str">
        <f t="shared" si="0"/>
        <v/>
      </c>
      <c r="M44" s="356" t="str">
        <f t="shared" si="1"/>
        <v/>
      </c>
      <c r="N44" s="90"/>
      <c r="O44" s="90"/>
      <c r="P44" s="90"/>
      <c r="Q44" s="90"/>
      <c r="R44" s="90"/>
      <c r="S44" s="90"/>
      <c r="T44" s="90"/>
      <c r="U44" s="90"/>
      <c r="V44" s="90"/>
      <c r="W44" s="90"/>
      <c r="X44" s="90"/>
      <c r="Y44" s="90"/>
      <c r="Z44" s="90"/>
    </row>
    <row r="45" spans="1:26" ht="11.25" customHeight="1">
      <c r="A45" s="90"/>
      <c r="B45" s="409" t="s">
        <v>570</v>
      </c>
      <c r="C45" s="344" t="s">
        <v>322</v>
      </c>
      <c r="D45" s="344">
        <v>19.5</v>
      </c>
      <c r="E45" s="344" t="s">
        <v>517</v>
      </c>
      <c r="F45" s="344"/>
      <c r="G45" s="344"/>
      <c r="H45" s="411">
        <f t="shared" si="3"/>
        <v>1.9636500000000001</v>
      </c>
      <c r="I45" s="412" t="s">
        <v>519</v>
      </c>
      <c r="J45" s="344">
        <v>100.7</v>
      </c>
      <c r="K45" s="344" t="s">
        <v>520</v>
      </c>
      <c r="L45" s="413" t="str">
        <f t="shared" si="0"/>
        <v/>
      </c>
      <c r="M45" s="356" t="str">
        <f t="shared" si="1"/>
        <v/>
      </c>
      <c r="N45" s="90"/>
      <c r="O45" s="81"/>
      <c r="P45" s="90"/>
      <c r="Q45" s="90"/>
      <c r="R45" s="90"/>
      <c r="S45" s="90"/>
      <c r="T45" s="90"/>
      <c r="U45" s="90"/>
      <c r="V45" s="90"/>
      <c r="W45" s="90"/>
      <c r="X45" s="90"/>
      <c r="Y45" s="90"/>
      <c r="Z45" s="90"/>
    </row>
    <row r="46" spans="1:26" ht="11.25" customHeight="1">
      <c r="A46" s="90"/>
      <c r="B46" s="409" t="s">
        <v>571</v>
      </c>
      <c r="C46" s="344" t="s">
        <v>183</v>
      </c>
      <c r="D46" s="344">
        <v>20.7</v>
      </c>
      <c r="E46" s="344" t="s">
        <v>518</v>
      </c>
      <c r="F46" s="344"/>
      <c r="G46" s="344"/>
      <c r="H46" s="411">
        <f t="shared" si="3"/>
        <v>1.9892699999999996</v>
      </c>
      <c r="I46" s="410" t="s">
        <v>439</v>
      </c>
      <c r="J46" s="344">
        <v>96.1</v>
      </c>
      <c r="K46" s="344" t="s">
        <v>520</v>
      </c>
      <c r="L46" s="413" t="str">
        <f t="shared" si="0"/>
        <v/>
      </c>
      <c r="M46" s="356" t="str">
        <f t="shared" si="1"/>
        <v/>
      </c>
      <c r="N46" s="90"/>
      <c r="O46" s="81"/>
      <c r="P46" s="90"/>
      <c r="Q46" s="90"/>
      <c r="R46" s="90"/>
      <c r="S46" s="90"/>
      <c r="T46" s="90"/>
      <c r="U46" s="90"/>
      <c r="V46" s="90"/>
      <c r="W46" s="90"/>
      <c r="X46" s="90"/>
      <c r="Y46" s="90"/>
      <c r="Z46" s="90"/>
    </row>
    <row r="47" spans="1:26" ht="11.25" customHeight="1">
      <c r="A47" s="90"/>
      <c r="B47" s="409" t="s">
        <v>572</v>
      </c>
      <c r="C47" s="344" t="s">
        <v>183</v>
      </c>
      <c r="D47" s="344">
        <v>10.8</v>
      </c>
      <c r="E47" s="344" t="s">
        <v>518</v>
      </c>
      <c r="F47" s="344"/>
      <c r="G47" s="344"/>
      <c r="H47" s="411">
        <f t="shared" si="3"/>
        <v>1.1448000000000003</v>
      </c>
      <c r="I47" s="410" t="s">
        <v>439</v>
      </c>
      <c r="J47" s="344">
        <v>106</v>
      </c>
      <c r="K47" s="344" t="s">
        <v>520</v>
      </c>
      <c r="L47" s="413" t="str">
        <f t="shared" si="0"/>
        <v/>
      </c>
      <c r="M47" s="356" t="str">
        <f t="shared" si="1"/>
        <v/>
      </c>
      <c r="N47" s="90"/>
      <c r="O47" s="81"/>
      <c r="P47" s="90"/>
      <c r="Q47" s="90"/>
      <c r="R47" s="90"/>
      <c r="S47" s="90"/>
      <c r="T47" s="90"/>
      <c r="U47" s="90"/>
      <c r="V47" s="90"/>
      <c r="W47" s="90"/>
      <c r="X47" s="90"/>
      <c r="Y47" s="90"/>
      <c r="Z47" s="90"/>
    </row>
    <row r="48" spans="1:26" ht="11.25" customHeight="1">
      <c r="A48" s="90"/>
      <c r="B48" s="409" t="s">
        <v>573</v>
      </c>
      <c r="C48" s="344" t="s">
        <v>574</v>
      </c>
      <c r="D48" s="414">
        <v>1110</v>
      </c>
      <c r="E48" s="344" t="s">
        <v>560</v>
      </c>
      <c r="F48" s="344"/>
      <c r="G48" s="344"/>
      <c r="H48" s="410">
        <f t="shared" si="3"/>
        <v>62.271000000000001</v>
      </c>
      <c r="I48" s="344" t="s">
        <v>561</v>
      </c>
      <c r="J48" s="344">
        <v>56.1</v>
      </c>
      <c r="K48" s="344" t="s">
        <v>520</v>
      </c>
      <c r="L48" s="413" t="str">
        <f t="shared" si="0"/>
        <v/>
      </c>
      <c r="M48" s="356" t="str">
        <f t="shared" si="1"/>
        <v/>
      </c>
      <c r="N48" s="90"/>
      <c r="O48" s="81"/>
      <c r="P48" s="90"/>
      <c r="Q48" s="90"/>
      <c r="R48" s="90"/>
      <c r="S48" s="90"/>
      <c r="T48" s="90"/>
      <c r="U48" s="90"/>
      <c r="V48" s="90"/>
      <c r="W48" s="90"/>
      <c r="X48" s="90"/>
      <c r="Y48" s="90"/>
      <c r="Z48" s="90"/>
    </row>
    <row r="49" spans="1:26" ht="11.25" customHeight="1">
      <c r="A49" s="90"/>
      <c r="B49" s="409" t="s">
        <v>575</v>
      </c>
      <c r="C49" s="344" t="s">
        <v>183</v>
      </c>
      <c r="D49" s="344">
        <v>10.8</v>
      </c>
      <c r="E49" s="344" t="s">
        <v>517</v>
      </c>
      <c r="F49" s="344">
        <v>117</v>
      </c>
      <c r="G49" s="344" t="s">
        <v>518</v>
      </c>
      <c r="H49" s="411">
        <f t="shared" si="3"/>
        <v>0</v>
      </c>
      <c r="I49" s="412" t="s">
        <v>519</v>
      </c>
      <c r="J49" s="344">
        <v>0</v>
      </c>
      <c r="K49" s="344" t="s">
        <v>520</v>
      </c>
      <c r="L49" s="413" t="str">
        <f t="shared" si="0"/>
        <v/>
      </c>
      <c r="M49" s="356" t="str">
        <f t="shared" si="1"/>
        <v/>
      </c>
      <c r="N49" s="90"/>
      <c r="O49" s="81"/>
      <c r="P49" s="90"/>
      <c r="Q49" s="90"/>
      <c r="R49" s="90"/>
      <c r="S49" s="90"/>
      <c r="T49" s="90"/>
      <c r="U49" s="90"/>
      <c r="V49" s="90"/>
      <c r="W49" s="90"/>
      <c r="X49" s="90"/>
      <c r="Y49" s="90"/>
      <c r="Z49" s="90"/>
    </row>
    <row r="50" spans="1:26" ht="11.25" customHeight="1">
      <c r="A50" s="90"/>
      <c r="B50" s="415" t="s">
        <v>576</v>
      </c>
      <c r="C50" s="416" t="s">
        <v>539</v>
      </c>
      <c r="D50" s="417">
        <f>41*0.98</f>
        <v>40.18</v>
      </c>
      <c r="E50" s="416" t="s">
        <v>540</v>
      </c>
      <c r="F50" s="417">
        <v>41</v>
      </c>
      <c r="G50" s="416" t="s">
        <v>518</v>
      </c>
      <c r="H50" s="417">
        <f t="shared" si="3"/>
        <v>3.1099320000000001</v>
      </c>
      <c r="I50" s="418" t="s">
        <v>541</v>
      </c>
      <c r="J50" s="416">
        <v>77.400000000000006</v>
      </c>
      <c r="K50" s="416" t="s">
        <v>520</v>
      </c>
      <c r="L50" s="419" t="str">
        <f t="shared" si="0"/>
        <v/>
      </c>
      <c r="M50" s="420" t="str">
        <f t="shared" si="1"/>
        <v/>
      </c>
      <c r="N50" s="90"/>
      <c r="O50" s="90"/>
      <c r="P50" s="90"/>
      <c r="Q50" s="90"/>
      <c r="R50" s="90"/>
      <c r="S50" s="90"/>
      <c r="T50" s="90"/>
      <c r="U50" s="90"/>
      <c r="V50" s="90"/>
      <c r="W50" s="90"/>
      <c r="X50" s="90"/>
      <c r="Y50" s="90"/>
      <c r="Z50" s="90"/>
    </row>
    <row r="51" spans="1:26" ht="11.25" customHeight="1">
      <c r="A51" s="90"/>
      <c r="B51" s="90" t="s">
        <v>577</v>
      </c>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1.25"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1.2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1.25"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1.25"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1.2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1.25"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1.25" customHeight="1">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1.2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1.25" customHeight="1">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1.25"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1.2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1.2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1.2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1.2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1.2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1.25" customHeight="1">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1.2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1.2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1.2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1.25"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1.2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1.25" customHeight="1">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1.2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1.25" customHeight="1">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1.2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1.2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1.2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1.2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1.2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1.2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1.2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1.25"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1.25" customHeight="1">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1.2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1.2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1.2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1.2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1.25" customHeight="1">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1.2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1.25"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1.25" customHeight="1">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1.25" customHeight="1">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1.25" customHeight="1">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1.25" customHeight="1">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1.25" customHeight="1">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1.2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1.25" customHeight="1">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1.25" customHeight="1">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1.25" customHeight="1">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1.25" customHeight="1">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1.2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1.25" customHeight="1">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1.25" customHeight="1">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1.25" customHeight="1">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1.2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1.25" customHeight="1">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1.25" customHeight="1">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1.25" customHeight="1">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1.25" customHeight="1">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1.2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1.25" customHeight="1">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1.2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1.25" customHeight="1">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1.2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1.25" customHeight="1">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1.2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1.25" customHeight="1">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1.25" customHeight="1">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1.2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1.25" customHeight="1">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1.25" customHeigh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1.25" customHeight="1">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1.25" customHeight="1">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1.2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1.2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1.2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1.2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1.2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1.2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1.2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1.2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1.2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1.2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1.2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1.25" customHeight="1">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1.2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1.2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1.2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1.2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1.2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1.2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1.2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1.2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1.2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1.25" customHeight="1">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1.2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1.2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1.2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1.2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1.2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1.2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1.2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1.2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1.2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1.2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1.2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1.2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1.2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1.2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1.2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1.2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1.2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1.2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1.2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1.2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1.2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1.2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1.2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1.2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1.2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1.2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1.2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1.2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1.2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1.2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1.2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1.2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1.2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1.2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1.2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1.2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1.2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1.2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1.2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1.2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1.2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1.2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1.2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1.2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1.2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1.2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1.2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1.2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1.2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1.2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1.2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1.2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1.2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1.2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1.2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1.2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1.2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1.2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1.2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1.2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1.2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1.2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1.2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1.2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1.2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1.2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1.2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1.2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1.2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1.2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1.2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1.2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1.2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1.2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1.2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1.2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1.2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1.2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1.2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1.2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1.2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1.2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1.2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1.2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1.2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1.2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1.2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1.2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1.2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1.2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1.2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1.2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1.2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1.2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1.2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1.2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1.2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1.2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1.2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1.2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1.2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1.2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1.2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1.2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1.2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1.2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1.2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1.2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1.2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1.2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1.2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1.2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1.2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1.2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1.2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1.2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1.2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1.2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1.2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1.2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1.2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1.2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1.2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1.2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1.2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1.2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1.2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1.2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1.2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1.2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1.2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1.2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1.2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1.2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1.2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1.2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1.2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1.2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1.2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1.2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1.2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1.2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1.2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1.2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1.2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1.2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1.2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1.2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1.2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1.2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1.2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1.2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1.2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1.2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1.2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1.2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1.2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1.2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1.2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1.2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1.2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1.2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1.2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1.2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1.2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1.2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1.2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1.2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1.2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1.2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1.2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1.2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1.2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1.2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1.2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1.2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1.2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1.2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1.2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1.2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1.2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1.2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1.2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1.2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1.2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1.2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1.2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1.2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1.2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1.2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1.2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1.2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1.2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1.2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1.2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1.2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1.2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1.2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1.2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1.2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1.2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1.2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1.2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1.2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1.2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1.2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1.2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1.2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1.2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1.2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1.2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1.2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1.2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1.2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1.2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1.2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1.2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1.2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1.2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1.2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1.2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1.2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1.2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1.2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1.2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1.2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1.2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1.2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1.2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1.2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1.2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1.2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1.2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1.2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1.2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1.2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1.2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1.2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1.2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1.2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1.2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1.2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1.2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1.2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1.2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1.2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1.2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1.2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1.2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1.2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1.2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1.2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1.2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1.2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1.2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1.2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1.2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1.2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1.2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1.2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1.2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1.2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1.2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1.2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1.2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1.2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1.2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1.2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1.2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1.2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1.2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1.2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1.2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1.2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1.2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1.2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1.2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1.2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1.2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1.2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1.2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1.2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1.2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1.2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1.2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1.2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1.2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1.2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1.2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1.2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1.2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1.2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1.2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1.2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1.2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1.2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1.2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1.2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1.2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1.2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1.2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1.2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1.2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1.2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1.2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1.2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1.2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1.2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1.2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1.2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1.2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1.2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1.2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1.2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1.2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1.2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1.2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1.2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1.2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1.2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1.2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1.2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1.2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1.2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1.2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1.2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1.2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1.2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1.2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1.2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1.2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1.2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1.2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1.2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1.2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1.2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1.2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1.2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1.2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1.2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1.2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1.2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1.2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1.2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1.2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1.2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1.2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1.2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1.2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1.2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1.2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1.2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1.2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1.2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1.2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1.2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1.2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1.2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1.2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1.2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1.2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1.2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1.2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1.2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1.2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1.2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1.2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1.2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1.2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1.2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1.2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1.2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1.2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1.2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1.2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1.2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1.2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1.2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1.2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1.2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1.2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1.2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1.2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1.2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1.2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1.2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1.2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1.2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1.2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1.2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1.2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1.2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1.2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1.2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1.2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1.2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1.2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1.2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1.2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1.2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1.2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1.2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1.2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1.2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1.2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1.2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1.2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1.2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1.2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1.2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1.2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1.2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1.2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1.2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1.2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1.2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1.2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1.2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1.2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1.2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1.2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1.2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1.2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1.2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1.2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1.2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1.2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1.2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1.2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1.2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1.2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1.2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1.2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1.2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1.2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1.2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1.2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1.2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1.2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1.2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1.2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1.2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1.2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1.2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1.2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1.2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1.2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1.2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1.2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1.2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1.2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1.2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1.2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1.2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1.2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1.2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1.2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1.2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1.2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1.2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1.2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1.2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1.2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1.2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1.2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1.2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1.2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1.2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1.2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1.2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1.2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1.2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1.2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1.2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1.2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1.2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1.2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1.2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1.2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1.2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1.2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1.2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1.2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1.2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1.2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1.2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1.2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1.2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1.2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1.2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1.2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1.2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1.2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1.2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1.2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1.2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1.2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1.2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1.2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1.2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1.2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1.2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1.2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1.2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1.2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1.2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1.2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1.2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1.2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1.2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1.2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1.2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1.2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1.2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1.2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1.2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1.2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1.2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1.2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1.2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1.2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1.2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1.2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1.2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1.2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1.2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1.2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1.2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1.2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1.2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1.2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1.2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1.2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1.2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1.2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1.2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1.2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1.2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1.2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1.2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1.2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1.2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1.2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1.2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1.2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1.2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1.2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1.2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1.2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1.2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1.2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1.2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1.2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1.2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1.2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1.2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1.2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1.2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1.2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1.2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1.2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1.2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1.2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1.2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1.2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1.2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1.2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1.2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1.2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1.2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1.2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1.2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1.2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1.2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1.2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1.2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1.2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1.2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1.2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1.2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1.2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1.2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1.2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1.2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1.2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1.2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1.2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1.2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1.2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1.2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1.2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1.2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1.2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1.2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1.2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1.2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1.2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1.2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1.2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1.2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1.2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1.2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1.2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1.2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1.2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1.2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1.2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1.2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1.2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1.2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1.2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1.2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1.2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1.2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1.2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1.2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1.2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1.2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1.2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1.2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1.2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1.2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1.2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1.2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1.2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1.2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1.2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1.2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1.2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1.2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1.2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1.2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1.2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1.2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1.2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1.2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1.2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1.2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1.2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1.2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1.2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1.2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1.2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1.2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1.2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1.2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1.2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1.2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1.2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1.2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1.2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1.2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1.2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1.2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1.2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1.2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1.2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1.2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1.2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1.2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1.2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1.2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1.2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1.2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1.2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1.2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1.2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1.2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1.2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1.2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1.2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1.2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1.2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1.2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1.2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1.2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1.2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1.2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1.2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1.2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1.2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1.2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1.2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1.2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1.2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1.2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1.2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1.2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1.2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1.2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1.2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1.2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1.2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1.2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1.2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1.2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1.2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1.2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1.2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1.2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1.2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1.2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1.2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1.2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1.2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1.2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1.2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1.2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1.2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1.2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1.2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1.2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1.2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1.2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1.2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1.2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1.2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1.2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1.2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1.2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1.2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1.2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1.2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1.2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1.2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1.2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1.2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1.2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1.2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1.2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1.2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1.2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1.2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1.2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1.2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1.2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1.2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1.2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1.2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1.2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1.2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1.2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1.2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1.2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1.2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1.2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1.2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1.2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1.2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1.2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1.2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1.2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1.2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1.2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1.2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1.2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1.2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1.2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1.2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1.2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1.2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1.2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1.2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1.2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1.2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1.2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1.2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1.2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1.2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1.2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1.2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1.2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1.2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1.2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1.2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1.2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1.2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1.2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1.2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1.2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1.2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1.2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1.2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1.2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1.2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1.2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1.2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1.2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1.2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1.2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1.2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1.2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1.2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1.2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1.2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1.2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1.2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1.2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1.2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1.2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1.2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1.2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1.2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1.2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1.2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1.2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1.2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1.2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1.2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1.2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1.2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1.2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1.2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1.2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1.2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1.2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1.2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1.2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1.2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1.2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1.2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1.2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1.2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1.2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1.2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1.2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1.2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1.2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1.2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1.2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1.2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1.2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1.2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1.2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1.2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1.2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1.2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1.2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1.2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1.2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1.2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1.2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1.2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1.2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1.2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1.2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1.2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1.2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1.2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1.2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1.2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1.2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1.2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1.2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sheetProtection algorithmName="SHA-512" hashValue="TzIWEVZ0ggx9NnfhtB5bKtxbJ29SOe6VsIO6lYV60P7+Zw1pLyrlEQKOr71DKk6DUbYIwmyR4YMF7CjjPiNajQ==" saltValue="vhjaTPo04Mvd5tcX0xuhVQ==" spinCount="100000" sheet="1" objects="1" scenarios="1"/>
  <pageMargins left="0.6692913385826772" right="0.78740157480314965" top="0.78740157480314965" bottom="0.78740157480314965" header="0" footer="0"/>
  <pageSetup paperSize="9" orientation="portrait"/>
  <headerFooter>
    <oddHeader>&amp;C&amp;A</oddHeader>
    <oddFooter>&amp;C&amp;P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7CAAC"/>
  </sheetPr>
  <dimension ref="B1:H1000"/>
  <sheetViews>
    <sheetView showGridLines="0" workbookViewId="0">
      <selection activeCell="H155" sqref="H155"/>
    </sheetView>
  </sheetViews>
  <sheetFormatPr defaultColWidth="16.7109375" defaultRowHeight="15" customHeight="1"/>
  <cols>
    <col min="1" max="1" width="2" customWidth="1"/>
    <col min="2" max="2" width="39.28515625" customWidth="1"/>
    <col min="3" max="3" width="14.28515625" customWidth="1"/>
    <col min="4" max="4" width="15.42578125" customWidth="1"/>
    <col min="5" max="5" width="20.28515625" customWidth="1"/>
    <col min="6" max="6" width="37" customWidth="1"/>
    <col min="7" max="7" width="2" customWidth="1"/>
    <col min="8" max="8" width="39.28515625" customWidth="1"/>
    <col min="9" max="26" width="10.28515625" customWidth="1"/>
  </cols>
  <sheetData>
    <row r="1" spans="2:8" ht="8.25" customHeight="1"/>
    <row r="2" spans="2:8" ht="9.75" customHeight="1">
      <c r="B2" s="789" t="s">
        <v>578</v>
      </c>
      <c r="C2" s="738"/>
      <c r="D2" s="739"/>
    </row>
    <row r="3" spans="2:8" ht="9.75" customHeight="1">
      <c r="B3" s="342" t="s">
        <v>200</v>
      </c>
      <c r="C3" s="421" t="s">
        <v>63</v>
      </c>
      <c r="D3" s="422" t="s">
        <v>200</v>
      </c>
    </row>
    <row r="4" spans="2:8" ht="9.75" customHeight="1">
      <c r="B4" s="409" t="s">
        <v>579</v>
      </c>
      <c r="C4" s="411">
        <v>3.6</v>
      </c>
      <c r="D4" s="356" t="s">
        <v>580</v>
      </c>
    </row>
    <row r="5" spans="2:8" ht="9.75" customHeight="1">
      <c r="B5" s="409" t="s">
        <v>581</v>
      </c>
      <c r="C5" s="412">
        <f>1/C4</f>
        <v>0.27777777777777779</v>
      </c>
      <c r="D5" s="356" t="s">
        <v>533</v>
      </c>
    </row>
    <row r="6" spans="2:8" ht="9.75" customHeight="1">
      <c r="B6" s="409" t="s">
        <v>582</v>
      </c>
      <c r="C6" s="411">
        <v>4.1867999999999999</v>
      </c>
      <c r="D6" s="356" t="s">
        <v>583</v>
      </c>
    </row>
    <row r="7" spans="2:8" ht="9.75" customHeight="1">
      <c r="B7" s="409" t="s">
        <v>584</v>
      </c>
      <c r="C7" s="412">
        <f>1/C6</f>
        <v>0.23884589662749595</v>
      </c>
      <c r="D7" s="356" t="s">
        <v>585</v>
      </c>
      <c r="H7" s="76"/>
    </row>
    <row r="8" spans="2:8" ht="9.75" customHeight="1">
      <c r="B8" s="409" t="s">
        <v>586</v>
      </c>
      <c r="C8" s="411">
        <f>C6/3.6</f>
        <v>1.163</v>
      </c>
      <c r="D8" s="356" t="s">
        <v>587</v>
      </c>
      <c r="H8" s="81"/>
    </row>
    <row r="9" spans="2:8" ht="9.75" customHeight="1">
      <c r="B9" s="415" t="s">
        <v>588</v>
      </c>
      <c r="C9" s="423">
        <f>1/C8</f>
        <v>0.85984522785898532</v>
      </c>
      <c r="D9" s="420" t="s">
        <v>589</v>
      </c>
      <c r="H9" s="509"/>
    </row>
    <row r="10" spans="2:8" ht="9.75" customHeight="1">
      <c r="H10" s="509"/>
    </row>
    <row r="11" spans="2:8" ht="9.75" customHeight="1">
      <c r="B11" s="789" t="s">
        <v>590</v>
      </c>
      <c r="C11" s="738"/>
      <c r="D11" s="738"/>
      <c r="E11" s="739"/>
      <c r="H11" s="81"/>
    </row>
    <row r="12" spans="2:8" ht="9.75" customHeight="1">
      <c r="B12" s="424" t="s">
        <v>591</v>
      </c>
      <c r="C12" s="421" t="s">
        <v>63</v>
      </c>
      <c r="D12" s="355" t="s">
        <v>200</v>
      </c>
      <c r="E12" s="422" t="s">
        <v>592</v>
      </c>
      <c r="H12" s="81"/>
    </row>
    <row r="13" spans="2:8" ht="9.75" customHeight="1">
      <c r="B13" s="409" t="s">
        <v>593</v>
      </c>
      <c r="C13" s="425">
        <f>25.4/1000000</f>
        <v>2.5399999999999997E-5</v>
      </c>
      <c r="D13" s="344" t="s">
        <v>594</v>
      </c>
      <c r="E13" s="356" t="s">
        <v>595</v>
      </c>
      <c r="H13" s="81"/>
    </row>
    <row r="14" spans="2:8" ht="9.75" customHeight="1">
      <c r="B14" s="409" t="s">
        <v>596</v>
      </c>
      <c r="C14" s="414">
        <f>1/C13</f>
        <v>39370.078740157485</v>
      </c>
      <c r="D14" s="344" t="s">
        <v>595</v>
      </c>
      <c r="E14" s="356"/>
      <c r="H14" s="509"/>
    </row>
    <row r="15" spans="2:8" ht="9.75" customHeight="1">
      <c r="B15" s="409" t="s">
        <v>597</v>
      </c>
      <c r="C15" s="344">
        <f>25.4/1000</f>
        <v>2.5399999999999999E-2</v>
      </c>
      <c r="D15" s="344" t="s">
        <v>598</v>
      </c>
      <c r="E15" s="356" t="s">
        <v>599</v>
      </c>
      <c r="H15" s="81"/>
    </row>
    <row r="16" spans="2:8" ht="9.75" customHeight="1">
      <c r="B16" s="409" t="s">
        <v>596</v>
      </c>
      <c r="C16" s="412">
        <f>1/(C15)</f>
        <v>39.370078740157481</v>
      </c>
      <c r="D16" s="344" t="s">
        <v>599</v>
      </c>
      <c r="E16" s="356"/>
      <c r="H16" s="509"/>
    </row>
    <row r="17" spans="2:8" ht="9.75" customHeight="1">
      <c r="B17" s="409" t="s">
        <v>600</v>
      </c>
      <c r="C17" s="412">
        <f>C16/100</f>
        <v>0.39370078740157483</v>
      </c>
      <c r="D17" s="344" t="s">
        <v>599</v>
      </c>
      <c r="E17" s="356"/>
      <c r="H17" s="90"/>
    </row>
    <row r="18" spans="2:8" ht="9.75" customHeight="1">
      <c r="B18" s="409" t="s">
        <v>601</v>
      </c>
      <c r="C18" s="344">
        <f>12*C15</f>
        <v>0.30479999999999996</v>
      </c>
      <c r="D18" s="344" t="s">
        <v>594</v>
      </c>
      <c r="E18" s="356" t="s">
        <v>602</v>
      </c>
      <c r="H18" s="91"/>
    </row>
    <row r="19" spans="2:8" ht="9.75" customHeight="1">
      <c r="B19" s="409" t="s">
        <v>596</v>
      </c>
      <c r="C19" s="411">
        <f>1/C18</f>
        <v>3.2808398950131239</v>
      </c>
      <c r="D19" s="344" t="s">
        <v>602</v>
      </c>
      <c r="E19" s="356"/>
      <c r="H19" s="509"/>
    </row>
    <row r="20" spans="2:8" ht="9.75" customHeight="1">
      <c r="B20" s="409" t="s">
        <v>603</v>
      </c>
      <c r="C20" s="412">
        <f>3*C18</f>
        <v>0.91439999999999988</v>
      </c>
      <c r="D20" s="344" t="s">
        <v>594</v>
      </c>
      <c r="E20" s="356" t="s">
        <v>604</v>
      </c>
      <c r="H20" s="509"/>
    </row>
    <row r="21" spans="2:8" ht="9.75" customHeight="1">
      <c r="B21" s="409" t="s">
        <v>596</v>
      </c>
      <c r="C21" s="411">
        <f>1/C20</f>
        <v>1.093613298337708</v>
      </c>
      <c r="D21" s="344" t="s">
        <v>604</v>
      </c>
      <c r="E21" s="356"/>
      <c r="H21" s="509"/>
    </row>
    <row r="22" spans="2:8" ht="9.75" customHeight="1">
      <c r="B22" s="409" t="s">
        <v>605</v>
      </c>
      <c r="C22" s="414">
        <f>1760*C20</f>
        <v>1609.3439999999998</v>
      </c>
      <c r="D22" s="344" t="s">
        <v>606</v>
      </c>
      <c r="E22" s="356" t="s">
        <v>607</v>
      </c>
      <c r="H22" s="509"/>
    </row>
    <row r="23" spans="2:8" ht="9.75" customHeight="1">
      <c r="B23" s="409" t="s">
        <v>608</v>
      </c>
      <c r="C23" s="412">
        <f>1000/C22</f>
        <v>0.62137119223733406</v>
      </c>
      <c r="D23" s="344" t="s">
        <v>609</v>
      </c>
      <c r="E23" s="356"/>
      <c r="H23" s="509"/>
    </row>
    <row r="24" spans="2:8" ht="9.75" customHeight="1">
      <c r="B24" s="424" t="s">
        <v>610</v>
      </c>
      <c r="C24" s="421" t="s">
        <v>63</v>
      </c>
      <c r="D24" s="355" t="s">
        <v>200</v>
      </c>
      <c r="E24" s="422" t="s">
        <v>592</v>
      </c>
      <c r="H24" s="509"/>
    </row>
    <row r="25" spans="2:8" ht="9.75" customHeight="1">
      <c r="B25" s="409" t="s">
        <v>611</v>
      </c>
      <c r="C25" s="414">
        <v>4046.86</v>
      </c>
      <c r="D25" s="344" t="s">
        <v>612</v>
      </c>
      <c r="E25" s="356" t="s">
        <v>613</v>
      </c>
      <c r="H25" s="509"/>
    </row>
    <row r="26" spans="2:8" ht="9.75" customHeight="1">
      <c r="B26" s="409" t="s">
        <v>614</v>
      </c>
      <c r="C26" s="411">
        <f>10000/C25</f>
        <v>2.4710516301527603</v>
      </c>
      <c r="D26" s="344" t="s">
        <v>613</v>
      </c>
      <c r="E26" s="356"/>
      <c r="H26" s="509"/>
    </row>
    <row r="27" spans="2:8" ht="9.75" customHeight="1">
      <c r="B27" s="409" t="s">
        <v>615</v>
      </c>
      <c r="C27" s="426">
        <f>C18^2</f>
        <v>9.2903039999999978E-2</v>
      </c>
      <c r="D27" s="344" t="s">
        <v>616</v>
      </c>
      <c r="E27" s="356" t="s">
        <v>617</v>
      </c>
      <c r="H27" s="509"/>
    </row>
    <row r="28" spans="2:8" ht="9.75" customHeight="1">
      <c r="B28" s="409" t="s">
        <v>618</v>
      </c>
      <c r="C28" s="410">
        <f>1/C27</f>
        <v>10.763910416709725</v>
      </c>
      <c r="D28" s="344" t="s">
        <v>619</v>
      </c>
      <c r="E28" s="356"/>
      <c r="H28" s="509"/>
    </row>
    <row r="29" spans="2:8" ht="9.75" customHeight="1">
      <c r="B29" s="424" t="s">
        <v>620</v>
      </c>
      <c r="C29" s="421" t="s">
        <v>63</v>
      </c>
      <c r="D29" s="355" t="s">
        <v>200</v>
      </c>
      <c r="E29" s="422" t="s">
        <v>592</v>
      </c>
      <c r="H29" s="509"/>
    </row>
    <row r="30" spans="2:8" ht="9.75" customHeight="1">
      <c r="B30" s="409" t="s">
        <v>621</v>
      </c>
      <c r="C30" s="427">
        <f>28.4131/1000000</f>
        <v>2.8413100000000001E-5</v>
      </c>
      <c r="D30" s="344" t="s">
        <v>622</v>
      </c>
      <c r="E30" s="356" t="s">
        <v>623</v>
      </c>
      <c r="H30" s="509"/>
    </row>
    <row r="31" spans="2:8" ht="9.75" customHeight="1">
      <c r="B31" s="409" t="s">
        <v>624</v>
      </c>
      <c r="C31" s="414">
        <f>1/C30</f>
        <v>35195.03327690396</v>
      </c>
      <c r="D31" s="344" t="s">
        <v>623</v>
      </c>
      <c r="E31" s="356"/>
      <c r="H31" s="509"/>
    </row>
    <row r="32" spans="2:8" ht="9.75" customHeight="1">
      <c r="B32" s="409" t="s">
        <v>625</v>
      </c>
      <c r="C32" s="428">
        <f>4.54609/1000</f>
        <v>4.54609E-3</v>
      </c>
      <c r="D32" s="344" t="s">
        <v>626</v>
      </c>
      <c r="E32" s="356" t="s">
        <v>627</v>
      </c>
      <c r="H32" s="509"/>
    </row>
    <row r="33" spans="2:8" ht="9.75" customHeight="1">
      <c r="B33" s="409" t="s">
        <v>624</v>
      </c>
      <c r="C33" s="414">
        <f>1/C32</f>
        <v>219.96924829908778</v>
      </c>
      <c r="D33" s="344" t="s">
        <v>627</v>
      </c>
      <c r="E33" s="356"/>
      <c r="H33" s="81"/>
    </row>
    <row r="34" spans="2:8" ht="9.75" customHeight="1">
      <c r="B34" s="409" t="s">
        <v>628</v>
      </c>
      <c r="C34" s="426">
        <f>8*C32</f>
        <v>3.636872E-2</v>
      </c>
      <c r="D34" s="344" t="s">
        <v>629</v>
      </c>
      <c r="E34" s="356" t="s">
        <v>630</v>
      </c>
      <c r="H34" s="91"/>
    </row>
    <row r="35" spans="2:8" ht="9.75" customHeight="1">
      <c r="B35" s="409" t="s">
        <v>624</v>
      </c>
      <c r="C35" s="429">
        <f>1/C34</f>
        <v>27.496156037385973</v>
      </c>
      <c r="D35" s="344" t="s">
        <v>630</v>
      </c>
      <c r="E35" s="356"/>
      <c r="H35" s="509"/>
    </row>
    <row r="36" spans="2:8" ht="9.75" customHeight="1">
      <c r="B36" s="409" t="s">
        <v>631</v>
      </c>
      <c r="C36" s="426">
        <v>2.8320000000000001E-2</v>
      </c>
      <c r="D36" s="344" t="s">
        <v>322</v>
      </c>
      <c r="E36" s="356" t="s">
        <v>632</v>
      </c>
      <c r="H36" s="509"/>
    </row>
    <row r="37" spans="2:8" ht="9.75" customHeight="1">
      <c r="B37" s="409" t="s">
        <v>624</v>
      </c>
      <c r="C37" s="429">
        <f>1/C36</f>
        <v>35.310734463276837</v>
      </c>
      <c r="D37" s="344" t="s">
        <v>633</v>
      </c>
      <c r="E37" s="356"/>
      <c r="H37" s="509"/>
    </row>
    <row r="38" spans="2:8" ht="9.75" customHeight="1">
      <c r="B38" s="424" t="s">
        <v>634</v>
      </c>
      <c r="C38" s="421" t="s">
        <v>63</v>
      </c>
      <c r="D38" s="355" t="s">
        <v>200</v>
      </c>
      <c r="E38" s="422" t="s">
        <v>592</v>
      </c>
      <c r="F38" s="509" t="s">
        <v>635</v>
      </c>
      <c r="H38" s="81"/>
    </row>
    <row r="39" spans="2:8" ht="9.75" customHeight="1">
      <c r="B39" s="409" t="s">
        <v>621</v>
      </c>
      <c r="C39" s="427">
        <f>29.5735/1000000</f>
        <v>2.9573500000000001E-5</v>
      </c>
      <c r="D39" s="344" t="s">
        <v>636</v>
      </c>
      <c r="E39" s="356" t="s">
        <v>623</v>
      </c>
      <c r="H39" s="91"/>
    </row>
    <row r="40" spans="2:8" ht="9.75" customHeight="1">
      <c r="B40" s="409" t="s">
        <v>624</v>
      </c>
      <c r="C40" s="414">
        <f>1/C39</f>
        <v>33814.056503288419</v>
      </c>
      <c r="D40" s="344" t="s">
        <v>623</v>
      </c>
      <c r="E40" s="356"/>
      <c r="H40" s="509"/>
    </row>
    <row r="41" spans="2:8" ht="9.75" customHeight="1">
      <c r="B41" s="409" t="s">
        <v>637</v>
      </c>
      <c r="C41" s="430">
        <f>3.78541/1000</f>
        <v>3.7854100000000003E-3</v>
      </c>
      <c r="D41" s="344" t="s">
        <v>638</v>
      </c>
      <c r="E41" s="356" t="s">
        <v>639</v>
      </c>
    </row>
    <row r="42" spans="2:8" ht="9.75" customHeight="1">
      <c r="B42" s="409" t="s">
        <v>624</v>
      </c>
      <c r="C42" s="414">
        <f>1/C41</f>
        <v>264.17217685798892</v>
      </c>
      <c r="D42" s="344" t="s">
        <v>639</v>
      </c>
      <c r="E42" s="356"/>
    </row>
    <row r="43" spans="2:8" ht="9.75" customHeight="1">
      <c r="B43" s="409" t="s">
        <v>640</v>
      </c>
      <c r="C43" s="412">
        <v>0.15898699999999999</v>
      </c>
      <c r="D43" s="344" t="s">
        <v>322</v>
      </c>
      <c r="E43" s="356" t="s">
        <v>641</v>
      </c>
    </row>
    <row r="44" spans="2:8" ht="9.75" customHeight="1">
      <c r="B44" s="409" t="s">
        <v>624</v>
      </c>
      <c r="C44" s="411">
        <f>1/C43</f>
        <v>6.2898224383125667</v>
      </c>
      <c r="D44" s="344" t="s">
        <v>641</v>
      </c>
      <c r="E44" s="356"/>
    </row>
    <row r="45" spans="2:8" ht="9.75" customHeight="1">
      <c r="B45" s="424" t="s">
        <v>642</v>
      </c>
      <c r="C45" s="421" t="s">
        <v>63</v>
      </c>
      <c r="D45" s="355" t="s">
        <v>200</v>
      </c>
      <c r="E45" s="422" t="s">
        <v>592</v>
      </c>
    </row>
    <row r="46" spans="2:8" ht="9.75" customHeight="1">
      <c r="B46" s="409" t="s">
        <v>643</v>
      </c>
      <c r="C46" s="427">
        <f>0.55061/1000000</f>
        <v>5.5061000000000003E-7</v>
      </c>
      <c r="D46" s="344" t="s">
        <v>644</v>
      </c>
      <c r="E46" s="356" t="s">
        <v>645</v>
      </c>
    </row>
    <row r="47" spans="2:8" ht="9.75" customHeight="1">
      <c r="B47" s="409" t="s">
        <v>624</v>
      </c>
      <c r="C47" s="414">
        <f>1/C46</f>
        <v>1816167.5232923485</v>
      </c>
      <c r="D47" s="344" t="s">
        <v>645</v>
      </c>
      <c r="E47" s="356"/>
    </row>
    <row r="48" spans="2:8" ht="9.75" customHeight="1">
      <c r="B48" s="431" t="s">
        <v>646</v>
      </c>
      <c r="C48" s="427">
        <f>4.40488/1000000</f>
        <v>4.4048800000000003E-6</v>
      </c>
      <c r="D48" s="344" t="s">
        <v>647</v>
      </c>
      <c r="E48" s="356" t="s">
        <v>648</v>
      </c>
    </row>
    <row r="49" spans="2:5" ht="9.75" customHeight="1">
      <c r="B49" s="431" t="s">
        <v>624</v>
      </c>
      <c r="C49" s="414">
        <f>1/C48</f>
        <v>227020.94041154356</v>
      </c>
      <c r="D49" s="344" t="s">
        <v>648</v>
      </c>
      <c r="E49" s="356"/>
    </row>
    <row r="50" spans="2:5" ht="9.75" customHeight="1">
      <c r="B50" s="431" t="s">
        <v>649</v>
      </c>
      <c r="C50" s="427">
        <f>2*C48</f>
        <v>8.8097600000000005E-6</v>
      </c>
      <c r="D50" s="344" t="s">
        <v>650</v>
      </c>
      <c r="E50" s="356" t="s">
        <v>651</v>
      </c>
    </row>
    <row r="51" spans="2:5" ht="9.75" customHeight="1">
      <c r="B51" s="431" t="s">
        <v>624</v>
      </c>
      <c r="C51" s="414">
        <f>1/C50</f>
        <v>113510.47020577178</v>
      </c>
      <c r="D51" s="344" t="s">
        <v>651</v>
      </c>
      <c r="E51" s="356"/>
    </row>
    <row r="52" spans="2:5" ht="9.75" customHeight="1">
      <c r="B52" s="431" t="s">
        <v>652</v>
      </c>
      <c r="C52" s="427">
        <f>4*C50</f>
        <v>3.5239040000000002E-5</v>
      </c>
      <c r="D52" s="344" t="s">
        <v>653</v>
      </c>
      <c r="E52" s="356" t="s">
        <v>630</v>
      </c>
    </row>
    <row r="53" spans="2:5" ht="9.75" customHeight="1">
      <c r="B53" s="431" t="s">
        <v>624</v>
      </c>
      <c r="C53" s="414">
        <f>1/C52</f>
        <v>28377.617551442945</v>
      </c>
      <c r="D53" s="344" t="s">
        <v>630</v>
      </c>
      <c r="E53" s="356"/>
    </row>
    <row r="54" spans="2:5" ht="9.75" customHeight="1">
      <c r="B54" s="424" t="s">
        <v>654</v>
      </c>
      <c r="C54" s="421" t="s">
        <v>63</v>
      </c>
      <c r="D54" s="355" t="s">
        <v>200</v>
      </c>
      <c r="E54" s="422" t="s">
        <v>592</v>
      </c>
    </row>
    <row r="55" spans="2:5" ht="9.75" customHeight="1">
      <c r="B55" s="431" t="s">
        <v>655</v>
      </c>
      <c r="C55" s="432">
        <f>28.3495/1000</f>
        <v>2.83495E-2</v>
      </c>
      <c r="D55" s="344" t="s">
        <v>656</v>
      </c>
      <c r="E55" s="356" t="s">
        <v>657</v>
      </c>
    </row>
    <row r="56" spans="2:5" ht="9.75" customHeight="1">
      <c r="B56" s="431" t="s">
        <v>658</v>
      </c>
      <c r="C56" s="429">
        <f>1/C55</f>
        <v>35.273990722940439</v>
      </c>
      <c r="D56" s="344" t="s">
        <v>657</v>
      </c>
      <c r="E56" s="356"/>
    </row>
    <row r="57" spans="2:5" ht="9.75" customHeight="1">
      <c r="B57" s="431" t="s">
        <v>659</v>
      </c>
      <c r="C57" s="433">
        <v>0.45359237000000002</v>
      </c>
      <c r="D57" s="344" t="s">
        <v>183</v>
      </c>
      <c r="E57" s="356" t="s">
        <v>660</v>
      </c>
    </row>
    <row r="58" spans="2:5" ht="9.75" customHeight="1">
      <c r="B58" s="431"/>
      <c r="C58" s="413">
        <f>1/C57</f>
        <v>2.2046226218487757</v>
      </c>
      <c r="D58" s="344" t="s">
        <v>660</v>
      </c>
      <c r="E58" s="356"/>
    </row>
    <row r="59" spans="2:5" ht="9.75" customHeight="1">
      <c r="B59" s="431" t="s">
        <v>661</v>
      </c>
      <c r="C59" s="429">
        <f>100*C57</f>
        <v>45.359237</v>
      </c>
      <c r="D59" s="344" t="s">
        <v>183</v>
      </c>
      <c r="E59" s="356" t="s">
        <v>662</v>
      </c>
    </row>
    <row r="60" spans="2:5" ht="9.75" customHeight="1">
      <c r="B60" s="431" t="s">
        <v>658</v>
      </c>
      <c r="C60" s="432">
        <f>1/C59</f>
        <v>2.2046226218487758E-2</v>
      </c>
      <c r="D60" s="344" t="s">
        <v>662</v>
      </c>
      <c r="E60" s="356"/>
    </row>
    <row r="61" spans="2:5" ht="9.75" customHeight="1">
      <c r="B61" s="431" t="s">
        <v>663</v>
      </c>
      <c r="C61" s="429">
        <f>112*C57</f>
        <v>50.802345440000003</v>
      </c>
      <c r="D61" s="344" t="s">
        <v>183</v>
      </c>
      <c r="E61" s="356" t="s">
        <v>664</v>
      </c>
    </row>
    <row r="62" spans="2:5" ht="9.75" customHeight="1">
      <c r="B62" s="431" t="s">
        <v>658</v>
      </c>
      <c r="C62" s="432">
        <f>1/C61</f>
        <v>1.9684130552221211E-2</v>
      </c>
      <c r="D62" s="344" t="s">
        <v>664</v>
      </c>
      <c r="E62" s="356"/>
    </row>
    <row r="63" spans="2:5" ht="9.75" customHeight="1">
      <c r="B63" s="431" t="s">
        <v>665</v>
      </c>
      <c r="C63" s="429">
        <f>112*C57</f>
        <v>50.802345440000003</v>
      </c>
      <c r="D63" s="344" t="s">
        <v>183</v>
      </c>
      <c r="E63" s="356" t="s">
        <v>666</v>
      </c>
    </row>
    <row r="64" spans="2:5" ht="9.75" customHeight="1">
      <c r="B64" s="431" t="s">
        <v>658</v>
      </c>
      <c r="C64" s="432">
        <f>1/C63</f>
        <v>1.9684130552221211E-2</v>
      </c>
      <c r="D64" s="344" t="s">
        <v>666</v>
      </c>
      <c r="E64" s="356"/>
    </row>
    <row r="65" spans="2:6" ht="9.75" customHeight="1">
      <c r="B65" s="409" t="s">
        <v>667</v>
      </c>
      <c r="C65" s="414">
        <f>2000*C57</f>
        <v>907.18474000000003</v>
      </c>
      <c r="D65" s="344" t="s">
        <v>183</v>
      </c>
      <c r="E65" s="356" t="s">
        <v>668</v>
      </c>
    </row>
    <row r="66" spans="2:6" ht="9.75" customHeight="1">
      <c r="B66" s="431" t="s">
        <v>658</v>
      </c>
      <c r="C66" s="430">
        <f>1/C65</f>
        <v>1.1023113109243879E-3</v>
      </c>
      <c r="D66" s="344" t="s">
        <v>668</v>
      </c>
      <c r="E66" s="356"/>
    </row>
    <row r="67" spans="2:6" ht="9.75" customHeight="1">
      <c r="B67" s="409" t="s">
        <v>669</v>
      </c>
      <c r="C67" s="414">
        <f>2240*C57</f>
        <v>1016.0469088000001</v>
      </c>
      <c r="D67" s="344" t="s">
        <v>183</v>
      </c>
      <c r="E67" s="356" t="s">
        <v>670</v>
      </c>
    </row>
    <row r="68" spans="2:6" ht="9.75" customHeight="1">
      <c r="B68" s="409"/>
      <c r="C68" s="434">
        <f>1/C67</f>
        <v>9.8420652761106058E-4</v>
      </c>
      <c r="D68" s="344" t="s">
        <v>670</v>
      </c>
      <c r="E68" s="356"/>
    </row>
    <row r="69" spans="2:6" ht="9.75" customHeight="1">
      <c r="B69" s="424" t="s">
        <v>671</v>
      </c>
      <c r="C69" s="421" t="s">
        <v>63</v>
      </c>
      <c r="D69" s="355" t="s">
        <v>200</v>
      </c>
      <c r="E69" s="422" t="s">
        <v>592</v>
      </c>
      <c r="F69" s="509" t="s">
        <v>635</v>
      </c>
    </row>
    <row r="70" spans="2:6" ht="9.75" customHeight="1">
      <c r="B70" s="409" t="s">
        <v>672</v>
      </c>
      <c r="C70" s="344">
        <v>0.31825500000000001</v>
      </c>
      <c r="D70" s="344" t="s">
        <v>673</v>
      </c>
      <c r="E70" s="356" t="s">
        <v>674</v>
      </c>
    </row>
    <row r="71" spans="2:6" ht="9.75" customHeight="1">
      <c r="B71" s="409" t="s">
        <v>675</v>
      </c>
      <c r="C71" s="344">
        <f>1/C70</f>
        <v>3.142134451933198</v>
      </c>
      <c r="D71" s="344"/>
      <c r="E71" s="356"/>
    </row>
    <row r="72" spans="2:6" ht="9.75" customHeight="1">
      <c r="B72" s="409" t="s">
        <v>676</v>
      </c>
      <c r="C72" s="411">
        <v>4.4482200000000001</v>
      </c>
      <c r="D72" s="344" t="s">
        <v>673</v>
      </c>
      <c r="E72" s="356" t="s">
        <v>677</v>
      </c>
    </row>
    <row r="73" spans="2:6" ht="9.75" customHeight="1">
      <c r="B73" s="409" t="s">
        <v>675</v>
      </c>
      <c r="C73" s="412">
        <f>1/C72</f>
        <v>0.2248090247334889</v>
      </c>
      <c r="D73" s="344"/>
      <c r="E73" s="356"/>
    </row>
    <row r="74" spans="2:6" ht="9.75" customHeight="1">
      <c r="B74" s="409" t="s">
        <v>678</v>
      </c>
      <c r="C74" s="412">
        <v>0.74570000000000003</v>
      </c>
      <c r="D74" s="344" t="s">
        <v>679</v>
      </c>
      <c r="E74" s="356" t="s">
        <v>680</v>
      </c>
    </row>
    <row r="75" spans="2:6" ht="9.75" customHeight="1">
      <c r="B75" s="409" t="s">
        <v>681</v>
      </c>
      <c r="C75" s="411">
        <f>1/C74</f>
        <v>1.3410218586562961</v>
      </c>
      <c r="D75" s="344"/>
      <c r="E75" s="356"/>
    </row>
    <row r="76" spans="2:6" ht="9.75" customHeight="1">
      <c r="B76" s="409" t="s">
        <v>682</v>
      </c>
      <c r="C76" s="413">
        <v>1.0550600000000001</v>
      </c>
      <c r="D76" s="344" t="s">
        <v>583</v>
      </c>
      <c r="E76" s="356" t="s">
        <v>683</v>
      </c>
    </row>
    <row r="77" spans="2:6" ht="9.75" customHeight="1">
      <c r="B77" s="409" t="s">
        <v>584</v>
      </c>
      <c r="C77" s="412">
        <f>1/C76</f>
        <v>0.94781339449889102</v>
      </c>
      <c r="D77" s="344" t="s">
        <v>683</v>
      </c>
      <c r="E77" s="356"/>
    </row>
    <row r="78" spans="2:6" ht="9.75" customHeight="1">
      <c r="B78" s="409" t="s">
        <v>684</v>
      </c>
      <c r="C78" s="414">
        <v>12000</v>
      </c>
      <c r="D78" s="344" t="s">
        <v>685</v>
      </c>
      <c r="E78" s="356" t="s">
        <v>686</v>
      </c>
    </row>
    <row r="79" spans="2:6" ht="9.75" customHeight="1">
      <c r="B79" s="409"/>
      <c r="C79" s="411">
        <f>C76*C78/(1000*3.6)</f>
        <v>3.516866666666667</v>
      </c>
      <c r="D79" s="344" t="s">
        <v>679</v>
      </c>
      <c r="E79" s="356"/>
    </row>
    <row r="80" spans="2:6" ht="9.75" customHeight="1">
      <c r="B80" s="409" t="s">
        <v>681</v>
      </c>
      <c r="C80" s="412">
        <f>1/C79</f>
        <v>0.28434401834966727</v>
      </c>
      <c r="D80" s="344" t="s">
        <v>686</v>
      </c>
      <c r="E80" s="356"/>
    </row>
    <row r="81" spans="2:6" ht="9.75" customHeight="1">
      <c r="B81" s="409" t="s">
        <v>687</v>
      </c>
      <c r="C81" s="414">
        <v>6894.76</v>
      </c>
      <c r="D81" s="344" t="s">
        <v>688</v>
      </c>
      <c r="E81" s="356" t="s">
        <v>689</v>
      </c>
    </row>
    <row r="82" spans="2:6" ht="9.75" customHeight="1">
      <c r="B82" s="409" t="s">
        <v>690</v>
      </c>
      <c r="C82" s="435">
        <f>1/C81</f>
        <v>1.4503768078946911E-4</v>
      </c>
      <c r="D82" s="344" t="s">
        <v>689</v>
      </c>
      <c r="E82" s="356"/>
    </row>
    <row r="83" spans="2:6" ht="9.75" customHeight="1">
      <c r="B83" s="409" t="s">
        <v>691</v>
      </c>
      <c r="C83" s="411">
        <v>1.3560000000000001</v>
      </c>
      <c r="D83" s="344" t="s">
        <v>692</v>
      </c>
      <c r="E83" s="356" t="s">
        <v>677</v>
      </c>
    </row>
    <row r="84" spans="2:6" ht="9.75" customHeight="1">
      <c r="B84" s="409" t="s">
        <v>693</v>
      </c>
      <c r="C84" s="412">
        <f>1/C83</f>
        <v>0.73746312684365778</v>
      </c>
      <c r="D84" s="344" t="s">
        <v>677</v>
      </c>
      <c r="E84" s="356"/>
    </row>
    <row r="85" spans="2:6" ht="9.75" customHeight="1">
      <c r="B85" s="424" t="s">
        <v>694</v>
      </c>
      <c r="C85" s="355" t="s">
        <v>63</v>
      </c>
      <c r="D85" s="355" t="s">
        <v>200</v>
      </c>
      <c r="E85" s="422" t="s">
        <v>592</v>
      </c>
    </row>
    <row r="86" spans="2:6" ht="9.75" customHeight="1">
      <c r="B86" s="409" t="s">
        <v>695</v>
      </c>
      <c r="C86" s="411">
        <v>1.609</v>
      </c>
      <c r="D86" s="344" t="s">
        <v>696</v>
      </c>
      <c r="E86" s="356" t="s">
        <v>697</v>
      </c>
    </row>
    <row r="87" spans="2:6" ht="9.75" customHeight="1">
      <c r="B87" s="409" t="s">
        <v>698</v>
      </c>
      <c r="C87" s="412">
        <f>1/C86</f>
        <v>0.62150403977625857</v>
      </c>
      <c r="D87" s="344" t="s">
        <v>697</v>
      </c>
      <c r="E87" s="356"/>
    </row>
    <row r="88" spans="2:6" ht="9.75" customHeight="1">
      <c r="B88" s="409" t="s">
        <v>699</v>
      </c>
      <c r="C88" s="413">
        <f>0.5144*3.6</f>
        <v>1.8518399999999999</v>
      </c>
      <c r="D88" s="344" t="s">
        <v>696</v>
      </c>
      <c r="E88" s="356" t="s">
        <v>700</v>
      </c>
    </row>
    <row r="89" spans="2:6" ht="9.75" customHeight="1">
      <c r="B89" s="409" t="s">
        <v>698</v>
      </c>
      <c r="C89" s="412">
        <f>1/C88</f>
        <v>0.54000345602211852</v>
      </c>
      <c r="D89" s="344" t="s">
        <v>700</v>
      </c>
      <c r="E89" s="356"/>
    </row>
    <row r="90" spans="2:6" ht="9.75" customHeight="1">
      <c r="B90" s="424" t="s">
        <v>305</v>
      </c>
      <c r="C90" s="355" t="s">
        <v>63</v>
      </c>
      <c r="D90" s="355" t="s">
        <v>200</v>
      </c>
      <c r="E90" s="422" t="s">
        <v>592</v>
      </c>
    </row>
    <row r="91" spans="2:6" ht="9.75" customHeight="1">
      <c r="B91" s="409" t="s">
        <v>701</v>
      </c>
      <c r="C91" s="344">
        <v>1</v>
      </c>
      <c r="D91" s="344" t="s">
        <v>702</v>
      </c>
      <c r="E91" s="356" t="s">
        <v>703</v>
      </c>
    </row>
    <row r="92" spans="2:6" ht="9.75" customHeight="1">
      <c r="B92" s="409" t="s">
        <v>704</v>
      </c>
      <c r="C92" s="426">
        <f>1/60</f>
        <v>1.6666666666666666E-2</v>
      </c>
      <c r="D92" s="344" t="s">
        <v>702</v>
      </c>
      <c r="E92" s="356" t="s">
        <v>705</v>
      </c>
    </row>
    <row r="93" spans="2:6" ht="9.75" customHeight="1">
      <c r="B93" s="415" t="s">
        <v>706</v>
      </c>
      <c r="C93" s="436">
        <f>1/C92</f>
        <v>60</v>
      </c>
      <c r="D93" s="416" t="s">
        <v>705</v>
      </c>
      <c r="E93" s="420"/>
      <c r="F93" s="509" t="s">
        <v>635</v>
      </c>
    </row>
    <row r="94" spans="2:6" ht="9.75" customHeight="1">
      <c r="C94" s="185"/>
    </row>
    <row r="95" spans="2:6" ht="9.75" customHeight="1">
      <c r="B95" s="789" t="s">
        <v>707</v>
      </c>
      <c r="C95" s="738"/>
      <c r="D95" s="738"/>
      <c r="E95" s="738"/>
      <c r="F95" s="739"/>
    </row>
    <row r="96" spans="2:6" ht="9.75" customHeight="1">
      <c r="B96" s="342" t="s">
        <v>708</v>
      </c>
      <c r="C96" s="421" t="s">
        <v>709</v>
      </c>
      <c r="D96" s="421" t="s">
        <v>592</v>
      </c>
      <c r="E96" s="355" t="s">
        <v>710</v>
      </c>
      <c r="F96" s="422" t="s">
        <v>711</v>
      </c>
    </row>
    <row r="97" spans="2:6" ht="9.75" customHeight="1">
      <c r="B97" s="409" t="s">
        <v>712</v>
      </c>
      <c r="C97" s="437" t="s">
        <v>713</v>
      </c>
      <c r="D97" s="438" t="s">
        <v>714</v>
      </c>
      <c r="E97" s="344" t="s">
        <v>715</v>
      </c>
      <c r="F97" s="439">
        <v>9.9999999999999998E+23</v>
      </c>
    </row>
    <row r="98" spans="2:6" ht="9.75" customHeight="1">
      <c r="B98" s="409" t="s">
        <v>716</v>
      </c>
      <c r="C98" s="437" t="s">
        <v>717</v>
      </c>
      <c r="D98" s="438" t="s">
        <v>718</v>
      </c>
      <c r="E98" s="344" t="s">
        <v>719</v>
      </c>
      <c r="F98" s="439">
        <v>1E+21</v>
      </c>
    </row>
    <row r="99" spans="2:6" ht="9.75" customHeight="1">
      <c r="B99" s="409" t="s">
        <v>720</v>
      </c>
      <c r="C99" s="437" t="s">
        <v>721</v>
      </c>
      <c r="D99" s="438" t="s">
        <v>722</v>
      </c>
      <c r="E99" s="344" t="s">
        <v>723</v>
      </c>
      <c r="F99" s="439">
        <v>1E+18</v>
      </c>
    </row>
    <row r="100" spans="2:6" ht="9.75" customHeight="1">
      <c r="B100" s="409" t="s">
        <v>724</v>
      </c>
      <c r="C100" s="437" t="s">
        <v>725</v>
      </c>
      <c r="D100" s="438" t="s">
        <v>726</v>
      </c>
      <c r="E100" s="344" t="s">
        <v>727</v>
      </c>
      <c r="F100" s="439">
        <v>1000000000000000</v>
      </c>
    </row>
    <row r="101" spans="2:6" ht="9.75" customHeight="1">
      <c r="B101" s="409" t="s">
        <v>728</v>
      </c>
      <c r="C101" s="437" t="s">
        <v>729</v>
      </c>
      <c r="D101" s="438" t="s">
        <v>730</v>
      </c>
      <c r="E101" s="344" t="s">
        <v>731</v>
      </c>
      <c r="F101" s="439">
        <v>1000000000000</v>
      </c>
    </row>
    <row r="102" spans="2:6" ht="9.75" customHeight="1">
      <c r="B102" s="409" t="s">
        <v>732</v>
      </c>
      <c r="C102" s="437" t="s">
        <v>733</v>
      </c>
      <c r="D102" s="438" t="s">
        <v>734</v>
      </c>
      <c r="E102" s="344" t="s">
        <v>735</v>
      </c>
      <c r="F102" s="439">
        <v>1000000000</v>
      </c>
    </row>
    <row r="103" spans="2:6" ht="9.75" customHeight="1">
      <c r="B103" s="409" t="s">
        <v>736</v>
      </c>
      <c r="C103" s="437" t="s">
        <v>737</v>
      </c>
      <c r="D103" s="438" t="s">
        <v>738</v>
      </c>
      <c r="E103" s="344" t="s">
        <v>739</v>
      </c>
      <c r="F103" s="439">
        <v>1000000</v>
      </c>
    </row>
    <row r="104" spans="2:6" ht="9.75" customHeight="1">
      <c r="B104" s="409" t="s">
        <v>740</v>
      </c>
      <c r="C104" s="437" t="s">
        <v>741</v>
      </c>
      <c r="D104" s="438" t="s">
        <v>742</v>
      </c>
      <c r="E104" s="344" t="s">
        <v>743</v>
      </c>
      <c r="F104" s="439">
        <v>1000</v>
      </c>
    </row>
    <row r="105" spans="2:6" ht="9.75" customHeight="1">
      <c r="B105" s="409" t="s">
        <v>744</v>
      </c>
      <c r="C105" s="437" t="s">
        <v>745</v>
      </c>
      <c r="D105" s="438" t="s">
        <v>746</v>
      </c>
      <c r="E105" s="344" t="s">
        <v>747</v>
      </c>
      <c r="F105" s="440">
        <v>100</v>
      </c>
    </row>
    <row r="106" spans="2:6" ht="9.75" customHeight="1">
      <c r="B106" s="409" t="s">
        <v>748</v>
      </c>
      <c r="C106" s="437" t="s">
        <v>749</v>
      </c>
      <c r="D106" s="438" t="s">
        <v>750</v>
      </c>
      <c r="E106" s="344" t="s">
        <v>751</v>
      </c>
      <c r="F106" s="440">
        <v>10</v>
      </c>
    </row>
    <row r="107" spans="2:6" ht="9.75" customHeight="1">
      <c r="B107" s="409" t="s">
        <v>752</v>
      </c>
      <c r="C107" s="437" t="s">
        <v>753</v>
      </c>
      <c r="D107" s="438" t="s">
        <v>754</v>
      </c>
      <c r="E107" s="344" t="s">
        <v>755</v>
      </c>
      <c r="F107" s="440">
        <v>0.1</v>
      </c>
    </row>
    <row r="108" spans="2:6" ht="9.75" customHeight="1">
      <c r="B108" s="409" t="s">
        <v>756</v>
      </c>
      <c r="C108" s="437" t="s">
        <v>757</v>
      </c>
      <c r="D108" s="438" t="s">
        <v>758</v>
      </c>
      <c r="E108" s="344" t="s">
        <v>759</v>
      </c>
      <c r="F108" s="440">
        <v>0.01</v>
      </c>
    </row>
    <row r="109" spans="2:6" ht="9.75" customHeight="1">
      <c r="B109" s="409" t="s">
        <v>760</v>
      </c>
      <c r="C109" s="437" t="s">
        <v>761</v>
      </c>
      <c r="D109" s="438" t="s">
        <v>762</v>
      </c>
      <c r="E109" s="344" t="s">
        <v>763</v>
      </c>
      <c r="F109" s="440">
        <v>1E-3</v>
      </c>
    </row>
    <row r="110" spans="2:6" ht="9.75" customHeight="1">
      <c r="B110" s="409" t="s">
        <v>764</v>
      </c>
      <c r="C110" s="437" t="s">
        <v>765</v>
      </c>
      <c r="D110" s="438" t="s">
        <v>766</v>
      </c>
      <c r="E110" s="344" t="s">
        <v>767</v>
      </c>
      <c r="F110" s="356" t="s">
        <v>768</v>
      </c>
    </row>
    <row r="111" spans="2:6" ht="9.75" customHeight="1">
      <c r="B111" s="409" t="s">
        <v>769</v>
      </c>
      <c r="C111" s="437" t="s">
        <v>770</v>
      </c>
      <c r="D111" s="438" t="s">
        <v>771</v>
      </c>
      <c r="E111" s="344" t="s">
        <v>772</v>
      </c>
      <c r="F111" s="356" t="s">
        <v>773</v>
      </c>
    </row>
    <row r="112" spans="2:6" ht="9.75" customHeight="1">
      <c r="B112" s="409" t="s">
        <v>774</v>
      </c>
      <c r="C112" s="437" t="s">
        <v>775</v>
      </c>
      <c r="D112" s="438" t="s">
        <v>776</v>
      </c>
      <c r="E112" s="344" t="s">
        <v>777</v>
      </c>
      <c r="F112" s="356" t="s">
        <v>778</v>
      </c>
    </row>
    <row r="113" spans="2:7" ht="9.75" customHeight="1">
      <c r="B113" s="409" t="s">
        <v>779</v>
      </c>
      <c r="C113" s="437" t="s">
        <v>780</v>
      </c>
      <c r="D113" s="438" t="s">
        <v>781</v>
      </c>
      <c r="E113" s="344" t="s">
        <v>782</v>
      </c>
      <c r="F113" s="356" t="s">
        <v>783</v>
      </c>
    </row>
    <row r="114" spans="2:7" ht="9.75" customHeight="1">
      <c r="B114" s="409" t="s">
        <v>784</v>
      </c>
      <c r="C114" s="437" t="s">
        <v>785</v>
      </c>
      <c r="D114" s="438" t="s">
        <v>786</v>
      </c>
      <c r="E114" s="344" t="s">
        <v>787</v>
      </c>
      <c r="F114" s="356" t="s">
        <v>788</v>
      </c>
    </row>
    <row r="115" spans="2:7" ht="9.75" customHeight="1">
      <c r="B115" s="409" t="s">
        <v>789</v>
      </c>
      <c r="C115" s="437" t="s">
        <v>790</v>
      </c>
      <c r="D115" s="438" t="s">
        <v>791</v>
      </c>
      <c r="E115" s="344" t="s">
        <v>792</v>
      </c>
      <c r="F115" s="356" t="s">
        <v>793</v>
      </c>
    </row>
    <row r="116" spans="2:7" ht="9.75" customHeight="1">
      <c r="B116" s="415" t="s">
        <v>794</v>
      </c>
      <c r="C116" s="441" t="s">
        <v>795</v>
      </c>
      <c r="D116" s="442" t="s">
        <v>796</v>
      </c>
      <c r="E116" s="416" t="s">
        <v>797</v>
      </c>
      <c r="F116" s="420" t="s">
        <v>798</v>
      </c>
      <c r="G116" s="509" t="s">
        <v>635</v>
      </c>
    </row>
    <row r="117" spans="2:7" ht="9.75" customHeight="1">
      <c r="B117" s="36"/>
    </row>
    <row r="118" spans="2:7" ht="9.75" customHeight="1">
      <c r="B118" s="789" t="s">
        <v>799</v>
      </c>
      <c r="C118" s="738"/>
      <c r="D118" s="738"/>
      <c r="E118" s="738"/>
      <c r="F118" s="739"/>
    </row>
    <row r="119" spans="2:7" ht="9.75" customHeight="1">
      <c r="B119" s="342" t="s">
        <v>200</v>
      </c>
      <c r="C119" s="421" t="s">
        <v>592</v>
      </c>
      <c r="D119" s="783" t="s">
        <v>800</v>
      </c>
      <c r="E119" s="735"/>
      <c r="F119" s="736"/>
    </row>
    <row r="120" spans="2:7" ht="9.75" customHeight="1">
      <c r="B120" s="409" t="s">
        <v>801</v>
      </c>
      <c r="C120" s="443" t="s">
        <v>802</v>
      </c>
      <c r="D120" s="790" t="s">
        <v>803</v>
      </c>
      <c r="E120" s="735"/>
      <c r="F120" s="736"/>
    </row>
    <row r="121" spans="2:7" ht="9.75" customHeight="1">
      <c r="B121" s="409" t="s">
        <v>804</v>
      </c>
      <c r="C121" s="443" t="s">
        <v>805</v>
      </c>
      <c r="D121" s="790" t="s">
        <v>806</v>
      </c>
      <c r="E121" s="735"/>
      <c r="F121" s="736"/>
    </row>
    <row r="122" spans="2:7" ht="9.75" customHeight="1">
      <c r="B122" s="409" t="s">
        <v>807</v>
      </c>
      <c r="C122" s="443" t="s">
        <v>808</v>
      </c>
      <c r="D122" s="790" t="s">
        <v>809</v>
      </c>
      <c r="E122" s="735"/>
      <c r="F122" s="736"/>
    </row>
    <row r="123" spans="2:7" ht="9.75" customHeight="1">
      <c r="B123" s="409" t="s">
        <v>810</v>
      </c>
      <c r="C123" s="443" t="s">
        <v>811</v>
      </c>
      <c r="D123" s="790" t="s">
        <v>812</v>
      </c>
      <c r="E123" s="735"/>
      <c r="F123" s="736"/>
    </row>
    <row r="124" spans="2:7" ht="9.75" customHeight="1">
      <c r="B124" s="409" t="s">
        <v>813</v>
      </c>
      <c r="C124" s="443" t="s">
        <v>814</v>
      </c>
      <c r="D124" s="790" t="s">
        <v>815</v>
      </c>
      <c r="E124" s="735"/>
      <c r="F124" s="736"/>
    </row>
    <row r="125" spans="2:7" ht="9.75" customHeight="1">
      <c r="B125" s="409" t="s">
        <v>816</v>
      </c>
      <c r="C125" s="443" t="s">
        <v>702</v>
      </c>
      <c r="D125" s="790" t="s">
        <v>817</v>
      </c>
      <c r="E125" s="735"/>
      <c r="F125" s="736"/>
    </row>
    <row r="126" spans="2:7" ht="9.75" customHeight="1">
      <c r="B126" s="409" t="s">
        <v>818</v>
      </c>
      <c r="C126" s="443" t="s">
        <v>819</v>
      </c>
      <c r="D126" s="790" t="s">
        <v>820</v>
      </c>
      <c r="E126" s="735"/>
      <c r="F126" s="736"/>
    </row>
    <row r="127" spans="2:7" ht="9.75" customHeight="1">
      <c r="B127" s="409" t="s">
        <v>821</v>
      </c>
      <c r="C127" s="443" t="s">
        <v>822</v>
      </c>
      <c r="D127" s="790" t="s">
        <v>823</v>
      </c>
      <c r="E127" s="735"/>
      <c r="F127" s="736"/>
    </row>
    <row r="128" spans="2:7" ht="9.75" customHeight="1">
      <c r="B128" s="409" t="s">
        <v>824</v>
      </c>
      <c r="C128" s="443" t="s">
        <v>825</v>
      </c>
      <c r="D128" s="790" t="s">
        <v>826</v>
      </c>
      <c r="E128" s="735"/>
      <c r="F128" s="736"/>
    </row>
    <row r="129" spans="2:7" ht="9.75" customHeight="1">
      <c r="B129" s="409" t="s">
        <v>827</v>
      </c>
      <c r="C129" s="443" t="s">
        <v>673</v>
      </c>
      <c r="D129" s="790" t="s">
        <v>828</v>
      </c>
      <c r="E129" s="735"/>
      <c r="F129" s="736"/>
    </row>
    <row r="130" spans="2:7" ht="9.75" customHeight="1">
      <c r="B130" s="409" t="s">
        <v>829</v>
      </c>
      <c r="C130" s="443" t="s">
        <v>688</v>
      </c>
      <c r="D130" s="790" t="s">
        <v>830</v>
      </c>
      <c r="E130" s="735"/>
      <c r="F130" s="736"/>
    </row>
    <row r="131" spans="2:7" ht="9.75" customHeight="1">
      <c r="B131" s="409" t="s">
        <v>831</v>
      </c>
      <c r="C131" s="443" t="s">
        <v>832</v>
      </c>
      <c r="D131" s="790" t="s">
        <v>833</v>
      </c>
      <c r="E131" s="735"/>
      <c r="F131" s="736"/>
    </row>
    <row r="132" spans="2:7" ht="9.75" customHeight="1">
      <c r="B132" s="409" t="s">
        <v>834</v>
      </c>
      <c r="C132" s="443" t="s">
        <v>835</v>
      </c>
      <c r="D132" s="790" t="s">
        <v>836</v>
      </c>
      <c r="E132" s="735"/>
      <c r="F132" s="736"/>
    </row>
    <row r="133" spans="2:7" ht="9.75" customHeight="1">
      <c r="B133" s="409" t="s">
        <v>837</v>
      </c>
      <c r="C133" s="443" t="s">
        <v>838</v>
      </c>
      <c r="D133" s="790" t="s">
        <v>839</v>
      </c>
      <c r="E133" s="735"/>
      <c r="F133" s="736"/>
    </row>
    <row r="134" spans="2:7" ht="9.75" customHeight="1">
      <c r="B134" s="409" t="s">
        <v>840</v>
      </c>
      <c r="C134" s="443" t="s">
        <v>841</v>
      </c>
      <c r="D134" s="790" t="s">
        <v>842</v>
      </c>
      <c r="E134" s="735"/>
      <c r="F134" s="736"/>
    </row>
    <row r="135" spans="2:7" ht="9.75" customHeight="1">
      <c r="B135" s="409" t="s">
        <v>843</v>
      </c>
      <c r="C135" s="443" t="s">
        <v>587</v>
      </c>
      <c r="D135" s="790" t="s">
        <v>844</v>
      </c>
      <c r="E135" s="735"/>
      <c r="F135" s="736"/>
    </row>
    <row r="136" spans="2:7" ht="9.75" customHeight="1">
      <c r="B136" s="409" t="s">
        <v>845</v>
      </c>
      <c r="C136" s="443" t="s">
        <v>846</v>
      </c>
      <c r="D136" s="790" t="s">
        <v>847</v>
      </c>
      <c r="E136" s="735"/>
      <c r="F136" s="736"/>
    </row>
    <row r="137" spans="2:7" ht="9.75" customHeight="1">
      <c r="B137" s="415" t="s">
        <v>848</v>
      </c>
      <c r="C137" s="444" t="s">
        <v>849</v>
      </c>
      <c r="D137" s="786" t="s">
        <v>850</v>
      </c>
      <c r="E137" s="787"/>
      <c r="F137" s="788"/>
      <c r="G137" s="509" t="s">
        <v>635</v>
      </c>
    </row>
    <row r="138" spans="2:7" ht="9.75" customHeight="1"/>
    <row r="139" spans="2:7" ht="9.75" customHeight="1">
      <c r="B139" s="789" t="s">
        <v>851</v>
      </c>
      <c r="C139" s="738"/>
      <c r="D139" s="738"/>
      <c r="E139" s="739"/>
    </row>
    <row r="140" spans="2:7" ht="9.75" customHeight="1">
      <c r="B140" s="342" t="s">
        <v>800</v>
      </c>
      <c r="C140" s="421" t="s">
        <v>592</v>
      </c>
      <c r="D140" s="355" t="s">
        <v>200</v>
      </c>
      <c r="E140" s="422" t="s">
        <v>852</v>
      </c>
    </row>
    <row r="141" spans="2:7" ht="9.75" customHeight="1">
      <c r="B141" s="409" t="s">
        <v>853</v>
      </c>
      <c r="C141" s="443" t="s">
        <v>854</v>
      </c>
      <c r="D141" s="344" t="s">
        <v>819</v>
      </c>
      <c r="E141" s="445" t="s">
        <v>855</v>
      </c>
    </row>
    <row r="142" spans="2:7" ht="9.75" customHeight="1">
      <c r="B142" s="409" t="s">
        <v>856</v>
      </c>
      <c r="C142" s="446" t="s">
        <v>857</v>
      </c>
      <c r="D142" s="344" t="s">
        <v>519</v>
      </c>
      <c r="E142" s="356"/>
    </row>
    <row r="143" spans="2:7" ht="9.75" customHeight="1">
      <c r="B143" s="409" t="s">
        <v>858</v>
      </c>
      <c r="C143" s="443" t="s">
        <v>859</v>
      </c>
      <c r="D143" s="344" t="s">
        <v>860</v>
      </c>
      <c r="E143" s="356"/>
    </row>
    <row r="144" spans="2:7" ht="9.75" customHeight="1">
      <c r="B144" s="409" t="s">
        <v>861</v>
      </c>
      <c r="C144" s="443" t="s">
        <v>862</v>
      </c>
      <c r="D144" s="344" t="s">
        <v>688</v>
      </c>
      <c r="E144" s="445" t="s">
        <v>863</v>
      </c>
    </row>
    <row r="145" spans="2:5" ht="9.75" customHeight="1">
      <c r="B145" s="409" t="s">
        <v>864</v>
      </c>
      <c r="C145" s="443" t="s">
        <v>865</v>
      </c>
      <c r="D145" s="344" t="s">
        <v>819</v>
      </c>
      <c r="E145" s="445" t="s">
        <v>855</v>
      </c>
    </row>
    <row r="146" spans="2:5" ht="9.75" customHeight="1">
      <c r="B146" s="409" t="s">
        <v>866</v>
      </c>
      <c r="C146" s="443" t="s">
        <v>867</v>
      </c>
      <c r="D146" s="344" t="s">
        <v>868</v>
      </c>
      <c r="E146" s="356"/>
    </row>
    <row r="147" spans="2:5" ht="9.75" customHeight="1">
      <c r="B147" s="409" t="s">
        <v>869</v>
      </c>
      <c r="C147" s="443" t="s">
        <v>870</v>
      </c>
      <c r="D147" s="344" t="s">
        <v>587</v>
      </c>
      <c r="E147" s="445" t="s">
        <v>871</v>
      </c>
    </row>
    <row r="148" spans="2:5" ht="9.75" customHeight="1">
      <c r="B148" s="409" t="s">
        <v>872</v>
      </c>
      <c r="C148" s="443" t="s">
        <v>873</v>
      </c>
      <c r="D148" s="344" t="s">
        <v>673</v>
      </c>
      <c r="E148" s="356"/>
    </row>
    <row r="149" spans="2:5" ht="9.75" customHeight="1">
      <c r="B149" s="409" t="s">
        <v>874</v>
      </c>
      <c r="C149" s="446" t="s">
        <v>875</v>
      </c>
      <c r="D149" s="344" t="s">
        <v>876</v>
      </c>
      <c r="E149" s="356"/>
    </row>
    <row r="150" spans="2:5" ht="9.75" customHeight="1">
      <c r="B150" s="409" t="s">
        <v>877</v>
      </c>
      <c r="C150" s="443" t="s">
        <v>862</v>
      </c>
      <c r="D150" s="344" t="s">
        <v>878</v>
      </c>
      <c r="E150" s="356"/>
    </row>
    <row r="151" spans="2:5" ht="9.75" customHeight="1">
      <c r="B151" s="409" t="s">
        <v>879</v>
      </c>
      <c r="C151" s="443" t="s">
        <v>880</v>
      </c>
      <c r="D151" s="344" t="s">
        <v>881</v>
      </c>
      <c r="E151" s="356"/>
    </row>
    <row r="152" spans="2:5" ht="9.75" customHeight="1">
      <c r="B152" s="409" t="s">
        <v>882</v>
      </c>
      <c r="C152" s="443" t="s">
        <v>883</v>
      </c>
      <c r="D152" s="344" t="s">
        <v>884</v>
      </c>
      <c r="E152" s="356"/>
    </row>
    <row r="153" spans="2:5" ht="9.75" customHeight="1">
      <c r="B153" s="409" t="s">
        <v>885</v>
      </c>
      <c r="C153" s="443" t="s">
        <v>838</v>
      </c>
      <c r="D153" s="344" t="s">
        <v>886</v>
      </c>
      <c r="E153" s="356"/>
    </row>
    <row r="154" spans="2:5" ht="9.75" customHeight="1">
      <c r="B154" s="409" t="s">
        <v>828</v>
      </c>
      <c r="C154" s="443" t="s">
        <v>808</v>
      </c>
      <c r="D154" s="344" t="s">
        <v>673</v>
      </c>
      <c r="E154" s="356"/>
    </row>
    <row r="155" spans="2:5" ht="9.75" customHeight="1">
      <c r="B155" s="409" t="s">
        <v>654</v>
      </c>
      <c r="C155" s="443" t="s">
        <v>594</v>
      </c>
      <c r="D155" s="344" t="s">
        <v>183</v>
      </c>
      <c r="E155" s="356"/>
    </row>
    <row r="156" spans="2:5" ht="9.75" customHeight="1">
      <c r="B156" s="409" t="s">
        <v>887</v>
      </c>
      <c r="C156" s="443" t="s">
        <v>888</v>
      </c>
      <c r="D156" s="344" t="s">
        <v>889</v>
      </c>
      <c r="E156" s="356"/>
    </row>
    <row r="157" spans="2:5" ht="9.75" customHeight="1">
      <c r="B157" s="409" t="s">
        <v>890</v>
      </c>
      <c r="C157" s="446" t="s">
        <v>808</v>
      </c>
      <c r="D157" s="344" t="s">
        <v>891</v>
      </c>
      <c r="E157" s="356"/>
    </row>
    <row r="158" spans="2:5" ht="9.75" customHeight="1">
      <c r="B158" s="409" t="s">
        <v>892</v>
      </c>
      <c r="C158" s="446" t="s">
        <v>893</v>
      </c>
      <c r="D158" s="344" t="s">
        <v>688</v>
      </c>
      <c r="E158" s="445" t="s">
        <v>894</v>
      </c>
    </row>
    <row r="159" spans="2:5" ht="9.75" customHeight="1">
      <c r="B159" s="409" t="s">
        <v>895</v>
      </c>
      <c r="C159" s="443" t="s">
        <v>896</v>
      </c>
      <c r="D159" s="344" t="s">
        <v>241</v>
      </c>
      <c r="E159" s="356"/>
    </row>
    <row r="160" spans="2:5" ht="9.75" customHeight="1">
      <c r="B160" s="409" t="s">
        <v>897</v>
      </c>
      <c r="C160" s="446" t="s">
        <v>898</v>
      </c>
      <c r="D160" s="344" t="s">
        <v>688</v>
      </c>
      <c r="E160" s="445" t="s">
        <v>894</v>
      </c>
    </row>
    <row r="161" spans="2:6" ht="9.75" customHeight="1">
      <c r="B161" s="409" t="s">
        <v>899</v>
      </c>
      <c r="C161" s="446" t="s">
        <v>900</v>
      </c>
      <c r="D161" s="344" t="s">
        <v>519</v>
      </c>
      <c r="E161" s="356"/>
    </row>
    <row r="162" spans="2:6" ht="9.75" customHeight="1">
      <c r="B162" s="409" t="s">
        <v>901</v>
      </c>
      <c r="C162" s="443" t="s">
        <v>902</v>
      </c>
      <c r="D162" s="344" t="s">
        <v>903</v>
      </c>
      <c r="E162" s="356"/>
    </row>
    <row r="163" spans="2:6" ht="9.75" customHeight="1">
      <c r="B163" s="409" t="s">
        <v>904</v>
      </c>
      <c r="C163" s="443" t="s">
        <v>905</v>
      </c>
      <c r="D163" s="344" t="s">
        <v>906</v>
      </c>
      <c r="E163" s="356"/>
    </row>
    <row r="164" spans="2:6" ht="9.75" customHeight="1">
      <c r="B164" s="409" t="s">
        <v>907</v>
      </c>
      <c r="C164" s="446" t="s">
        <v>908</v>
      </c>
      <c r="D164" s="344" t="s">
        <v>241</v>
      </c>
      <c r="E164" s="356"/>
    </row>
    <row r="165" spans="2:6" ht="9.75" customHeight="1">
      <c r="B165" s="415" t="s">
        <v>909</v>
      </c>
      <c r="C165" s="444" t="s">
        <v>875</v>
      </c>
      <c r="D165" s="416" t="s">
        <v>876</v>
      </c>
      <c r="E165" s="447" t="s">
        <v>910</v>
      </c>
      <c r="F165" s="509" t="s">
        <v>635</v>
      </c>
    </row>
    <row r="166" spans="2:6" ht="9.75" customHeight="1"/>
    <row r="167" spans="2:6" ht="9.75" customHeight="1">
      <c r="B167" s="789" t="s">
        <v>911</v>
      </c>
      <c r="C167" s="738"/>
      <c r="D167" s="738"/>
      <c r="E167" s="739"/>
    </row>
    <row r="168" spans="2:6" ht="9.75" customHeight="1">
      <c r="B168" s="342" t="s">
        <v>800</v>
      </c>
      <c r="C168" s="421" t="s">
        <v>592</v>
      </c>
      <c r="D168" s="355" t="s">
        <v>200</v>
      </c>
      <c r="E168" s="422" t="s">
        <v>852</v>
      </c>
    </row>
    <row r="169" spans="2:6" ht="9.75" customHeight="1">
      <c r="B169" s="409" t="s">
        <v>912</v>
      </c>
      <c r="C169" s="443" t="s">
        <v>814</v>
      </c>
      <c r="D169" s="344" t="s">
        <v>819</v>
      </c>
      <c r="E169" s="356"/>
    </row>
    <row r="170" spans="2:6" ht="9.75" customHeight="1">
      <c r="B170" s="409" t="s">
        <v>913</v>
      </c>
      <c r="C170" s="443" t="s">
        <v>832</v>
      </c>
      <c r="D170" s="344" t="s">
        <v>914</v>
      </c>
      <c r="E170" s="356"/>
    </row>
    <row r="171" spans="2:6" ht="9.75" customHeight="1">
      <c r="B171" s="409" t="s">
        <v>915</v>
      </c>
      <c r="C171" s="443" t="s">
        <v>916</v>
      </c>
      <c r="D171" s="344" t="s">
        <v>819</v>
      </c>
      <c r="E171" s="356"/>
    </row>
    <row r="172" spans="2:6" ht="9.75" customHeight="1">
      <c r="B172" s="409" t="s">
        <v>917</v>
      </c>
      <c r="C172" s="443" t="s">
        <v>918</v>
      </c>
      <c r="D172" s="344" t="s">
        <v>819</v>
      </c>
      <c r="E172" s="356"/>
    </row>
    <row r="173" spans="2:6" ht="9.75" customHeight="1">
      <c r="B173" s="409" t="s">
        <v>919</v>
      </c>
      <c r="C173" s="443" t="s">
        <v>883</v>
      </c>
      <c r="D173" s="344" t="s">
        <v>819</v>
      </c>
      <c r="E173" s="356"/>
    </row>
    <row r="174" spans="2:6" ht="9.75" customHeight="1">
      <c r="B174" s="409" t="s">
        <v>920</v>
      </c>
      <c r="C174" s="446" t="s">
        <v>921</v>
      </c>
      <c r="D174" s="344" t="s">
        <v>922</v>
      </c>
      <c r="E174" s="356"/>
    </row>
    <row r="175" spans="2:6" ht="9.75" customHeight="1">
      <c r="B175" s="409" t="s">
        <v>923</v>
      </c>
      <c r="C175" s="443"/>
      <c r="D175" s="344"/>
      <c r="E175" s="356"/>
    </row>
    <row r="176" spans="2:6" ht="9.75" customHeight="1">
      <c r="B176" s="448" t="s">
        <v>924</v>
      </c>
      <c r="C176" s="443" t="s">
        <v>925</v>
      </c>
      <c r="D176" s="344" t="s">
        <v>926</v>
      </c>
      <c r="E176" s="356"/>
    </row>
    <row r="177" spans="2:5" ht="9.75" customHeight="1">
      <c r="B177" s="448" t="s">
        <v>927</v>
      </c>
      <c r="C177" s="443" t="s">
        <v>893</v>
      </c>
      <c r="D177" s="344" t="s">
        <v>928</v>
      </c>
      <c r="E177" s="356"/>
    </row>
    <row r="178" spans="2:5" ht="9.75" customHeight="1">
      <c r="B178" s="448" t="s">
        <v>929</v>
      </c>
      <c r="C178" s="443" t="s">
        <v>930</v>
      </c>
      <c r="D178" s="344" t="s">
        <v>928</v>
      </c>
      <c r="E178" s="356"/>
    </row>
    <row r="179" spans="2:5" ht="9.75" customHeight="1">
      <c r="B179" s="448" t="s">
        <v>931</v>
      </c>
      <c r="C179" s="443" t="s">
        <v>539</v>
      </c>
      <c r="D179" s="344" t="s">
        <v>928</v>
      </c>
      <c r="E179" s="356"/>
    </row>
    <row r="180" spans="2:5" ht="9.75" customHeight="1">
      <c r="B180" s="409" t="s">
        <v>932</v>
      </c>
      <c r="C180" s="443" t="s">
        <v>933</v>
      </c>
      <c r="D180" s="344" t="s">
        <v>928</v>
      </c>
      <c r="E180" s="356"/>
    </row>
    <row r="181" spans="2:5" ht="9.75" customHeight="1">
      <c r="B181" s="409" t="s">
        <v>934</v>
      </c>
      <c r="C181" s="443" t="s">
        <v>875</v>
      </c>
      <c r="D181" s="344" t="s">
        <v>928</v>
      </c>
      <c r="E181" s="356"/>
    </row>
    <row r="182" spans="2:5" ht="9.75" customHeight="1">
      <c r="B182" s="409" t="s">
        <v>935</v>
      </c>
      <c r="C182" s="443" t="s">
        <v>474</v>
      </c>
      <c r="D182" s="344" t="s">
        <v>926</v>
      </c>
      <c r="E182" s="356"/>
    </row>
    <row r="183" spans="2:5" ht="9.75" customHeight="1">
      <c r="B183" s="409" t="s">
        <v>936</v>
      </c>
      <c r="C183" s="446" t="s">
        <v>937</v>
      </c>
      <c r="D183" s="449" t="s">
        <v>241</v>
      </c>
      <c r="E183" s="356" t="s">
        <v>938</v>
      </c>
    </row>
    <row r="184" spans="2:5" ht="9.75" customHeight="1">
      <c r="B184" s="409" t="s">
        <v>939</v>
      </c>
      <c r="C184" s="443" t="s">
        <v>838</v>
      </c>
      <c r="D184" s="344" t="s">
        <v>940</v>
      </c>
      <c r="E184" s="356" t="s">
        <v>941</v>
      </c>
    </row>
    <row r="185" spans="2:5" ht="9.75" customHeight="1">
      <c r="B185" s="409" t="s">
        <v>942</v>
      </c>
      <c r="C185" s="443" t="s">
        <v>472</v>
      </c>
      <c r="D185" s="344" t="s">
        <v>943</v>
      </c>
      <c r="E185" s="356" t="s">
        <v>944</v>
      </c>
    </row>
    <row r="186" spans="2:5" ht="9.75" customHeight="1">
      <c r="B186" s="409" t="s">
        <v>945</v>
      </c>
      <c r="C186" s="446" t="s">
        <v>946</v>
      </c>
      <c r="D186" s="344" t="s">
        <v>922</v>
      </c>
      <c r="E186" s="356"/>
    </row>
    <row r="187" spans="2:5" ht="9.75" customHeight="1">
      <c r="B187" s="409" t="s">
        <v>947</v>
      </c>
      <c r="C187" s="446" t="s">
        <v>948</v>
      </c>
      <c r="D187" s="344" t="s">
        <v>922</v>
      </c>
      <c r="E187" s="356"/>
    </row>
    <row r="188" spans="2:5" ht="9.75" customHeight="1">
      <c r="B188" s="409" t="s">
        <v>949</v>
      </c>
      <c r="C188" s="443" t="s">
        <v>870</v>
      </c>
      <c r="D188" s="344" t="s">
        <v>587</v>
      </c>
      <c r="E188" s="356"/>
    </row>
    <row r="189" spans="2:5" ht="9.75" customHeight="1">
      <c r="B189" s="409" t="s">
        <v>950</v>
      </c>
      <c r="C189" s="443" t="s">
        <v>808</v>
      </c>
      <c r="D189" s="344" t="s">
        <v>819</v>
      </c>
      <c r="E189" s="356"/>
    </row>
    <row r="190" spans="2:5" ht="9.75" customHeight="1">
      <c r="B190" s="409" t="s">
        <v>951</v>
      </c>
      <c r="C190" s="443" t="s">
        <v>873</v>
      </c>
      <c r="D190" s="344" t="s">
        <v>819</v>
      </c>
      <c r="E190" s="356"/>
    </row>
    <row r="191" spans="2:5" ht="9.75" customHeight="1">
      <c r="B191" s="409" t="s">
        <v>573</v>
      </c>
      <c r="C191" s="443"/>
      <c r="D191" s="344"/>
      <c r="E191" s="356"/>
    </row>
    <row r="192" spans="2:5" ht="9.75" customHeight="1">
      <c r="B192" s="448" t="s">
        <v>952</v>
      </c>
      <c r="C192" s="443" t="s">
        <v>805</v>
      </c>
      <c r="D192" s="344" t="s">
        <v>914</v>
      </c>
      <c r="E192" s="356"/>
    </row>
    <row r="193" spans="2:6" ht="9.75" customHeight="1">
      <c r="B193" s="448" t="s">
        <v>953</v>
      </c>
      <c r="C193" s="443" t="s">
        <v>940</v>
      </c>
      <c r="D193" s="344" t="s">
        <v>954</v>
      </c>
      <c r="E193" s="356"/>
    </row>
    <row r="194" spans="2:6" ht="9.75" customHeight="1">
      <c r="B194" s="448" t="s">
        <v>955</v>
      </c>
      <c r="C194" s="443" t="s">
        <v>873</v>
      </c>
      <c r="D194" s="344" t="s">
        <v>956</v>
      </c>
      <c r="E194" s="356"/>
    </row>
    <row r="195" spans="2:6" ht="9.75" customHeight="1">
      <c r="B195" s="448" t="s">
        <v>957</v>
      </c>
      <c r="C195" s="446" t="s">
        <v>539</v>
      </c>
      <c r="D195" s="344" t="s">
        <v>958</v>
      </c>
      <c r="E195" s="356"/>
    </row>
    <row r="196" spans="2:6" ht="9.75" customHeight="1">
      <c r="B196" s="448" t="s">
        <v>959</v>
      </c>
      <c r="C196" s="446" t="s">
        <v>960</v>
      </c>
      <c r="D196" s="344" t="s">
        <v>954</v>
      </c>
      <c r="E196" s="356"/>
    </row>
    <row r="197" spans="2:6" ht="9.75" customHeight="1">
      <c r="B197" s="448" t="s">
        <v>961</v>
      </c>
      <c r="C197" s="446" t="s">
        <v>933</v>
      </c>
      <c r="D197" s="344" t="s">
        <v>587</v>
      </c>
      <c r="E197" s="356"/>
    </row>
    <row r="198" spans="2:6" ht="9.75" customHeight="1">
      <c r="B198" s="448" t="s">
        <v>962</v>
      </c>
      <c r="C198" s="443" t="s">
        <v>963</v>
      </c>
      <c r="D198" s="344" t="s">
        <v>964</v>
      </c>
      <c r="E198" s="356"/>
    </row>
    <row r="199" spans="2:6" ht="9.75" customHeight="1">
      <c r="B199" s="450" t="s">
        <v>965</v>
      </c>
      <c r="C199" s="444" t="s">
        <v>900</v>
      </c>
      <c r="D199" s="416" t="s">
        <v>966</v>
      </c>
      <c r="E199" s="420"/>
      <c r="F199" s="516" t="s">
        <v>635</v>
      </c>
    </row>
    <row r="200" spans="2:6" ht="9.75" customHeight="1"/>
    <row r="201" spans="2:6" ht="9.75" customHeight="1">
      <c r="B201" s="789" t="s">
        <v>967</v>
      </c>
      <c r="C201" s="738"/>
      <c r="D201" s="738"/>
      <c r="E201" s="739"/>
    </row>
    <row r="202" spans="2:6" ht="9.75" customHeight="1">
      <c r="B202" s="342" t="s">
        <v>800</v>
      </c>
      <c r="C202" s="421" t="s">
        <v>592</v>
      </c>
      <c r="D202" s="355" t="s">
        <v>200</v>
      </c>
      <c r="E202" s="422" t="s">
        <v>852</v>
      </c>
    </row>
    <row r="203" spans="2:6" ht="9.75" customHeight="1">
      <c r="B203" s="409" t="s">
        <v>968</v>
      </c>
      <c r="C203" s="443" t="s">
        <v>473</v>
      </c>
      <c r="D203" s="344" t="s">
        <v>594</v>
      </c>
      <c r="E203" s="356"/>
    </row>
    <row r="204" spans="2:6" ht="9.75" customHeight="1">
      <c r="B204" s="409" t="s">
        <v>969</v>
      </c>
      <c r="C204" s="446" t="s">
        <v>970</v>
      </c>
      <c r="D204" s="344" t="s">
        <v>971</v>
      </c>
      <c r="E204" s="356"/>
    </row>
    <row r="205" spans="2:6" ht="9.75" customHeight="1">
      <c r="B205" s="409" t="s">
        <v>972</v>
      </c>
      <c r="C205" s="446" t="s">
        <v>973</v>
      </c>
      <c r="D205" s="344" t="s">
        <v>974</v>
      </c>
      <c r="E205" s="356"/>
    </row>
    <row r="206" spans="2:6" ht="9.75" customHeight="1">
      <c r="B206" s="409" t="s">
        <v>975</v>
      </c>
      <c r="C206" s="446" t="s">
        <v>976</v>
      </c>
      <c r="D206" s="344" t="s">
        <v>977</v>
      </c>
      <c r="E206" s="356"/>
    </row>
    <row r="207" spans="2:6" ht="9.75" customHeight="1">
      <c r="B207" s="409" t="s">
        <v>978</v>
      </c>
      <c r="C207" s="443" t="s">
        <v>979</v>
      </c>
      <c r="D207" s="344" t="s">
        <v>594</v>
      </c>
      <c r="E207" s="356"/>
    </row>
    <row r="208" spans="2:6" ht="9.75" customHeight="1">
      <c r="B208" s="409" t="s">
        <v>980</v>
      </c>
      <c r="C208" s="443" t="s">
        <v>981</v>
      </c>
      <c r="D208" s="344" t="s">
        <v>594</v>
      </c>
      <c r="E208" s="356"/>
    </row>
    <row r="209" spans="2:5" ht="9.75" customHeight="1">
      <c r="B209" s="409" t="s">
        <v>982</v>
      </c>
      <c r="C209" s="446" t="s">
        <v>983</v>
      </c>
      <c r="D209" s="344" t="s">
        <v>984</v>
      </c>
      <c r="E209" s="356"/>
    </row>
    <row r="210" spans="2:5" ht="9.75" customHeight="1">
      <c r="B210" s="409" t="s">
        <v>985</v>
      </c>
      <c r="C210" s="446" t="s">
        <v>473</v>
      </c>
      <c r="D210" s="344" t="s">
        <v>986</v>
      </c>
      <c r="E210" s="356"/>
    </row>
    <row r="211" spans="2:5" ht="9.75" customHeight="1">
      <c r="B211" s="409" t="s">
        <v>817</v>
      </c>
      <c r="C211" s="443" t="s">
        <v>933</v>
      </c>
      <c r="D211" s="344" t="s">
        <v>702</v>
      </c>
      <c r="E211" s="445" t="s">
        <v>987</v>
      </c>
    </row>
    <row r="212" spans="2:5" ht="9.75" customHeight="1">
      <c r="B212" s="409" t="s">
        <v>988</v>
      </c>
      <c r="C212" s="446" t="s">
        <v>893</v>
      </c>
      <c r="D212" s="344" t="s">
        <v>986</v>
      </c>
      <c r="E212" s="451" t="s">
        <v>989</v>
      </c>
    </row>
    <row r="213" spans="2:5" ht="9.75" customHeight="1">
      <c r="B213" s="409" t="s">
        <v>990</v>
      </c>
      <c r="C213" s="446" t="s">
        <v>539</v>
      </c>
      <c r="D213" s="344" t="s">
        <v>594</v>
      </c>
      <c r="E213" s="356"/>
    </row>
    <row r="214" spans="2:5" ht="9.75" customHeight="1">
      <c r="B214" s="409" t="s">
        <v>991</v>
      </c>
      <c r="C214" s="446" t="s">
        <v>992</v>
      </c>
      <c r="D214" s="344" t="s">
        <v>984</v>
      </c>
      <c r="E214" s="356"/>
    </row>
    <row r="215" spans="2:5" ht="9.75" customHeight="1">
      <c r="B215" s="409" t="s">
        <v>993</v>
      </c>
      <c r="C215" s="446" t="s">
        <v>472</v>
      </c>
      <c r="D215" s="344" t="s">
        <v>994</v>
      </c>
      <c r="E215" s="356"/>
    </row>
    <row r="216" spans="2:5" ht="9.75" customHeight="1">
      <c r="B216" s="409" t="s">
        <v>995</v>
      </c>
      <c r="C216" s="443" t="s">
        <v>925</v>
      </c>
      <c r="D216" s="344" t="s">
        <v>594</v>
      </c>
      <c r="E216" s="356"/>
    </row>
    <row r="217" spans="2:5" ht="9.75" customHeight="1">
      <c r="B217" s="409" t="s">
        <v>591</v>
      </c>
      <c r="C217" s="443" t="s">
        <v>539</v>
      </c>
      <c r="D217" s="344" t="s">
        <v>594</v>
      </c>
      <c r="E217" s="356"/>
    </row>
    <row r="218" spans="2:5" ht="9.75" customHeight="1">
      <c r="B218" s="409" t="s">
        <v>610</v>
      </c>
      <c r="C218" s="443" t="s">
        <v>996</v>
      </c>
      <c r="D218" s="344" t="s">
        <v>616</v>
      </c>
      <c r="E218" s="356"/>
    </row>
    <row r="219" spans="2:5" ht="9.75" customHeight="1">
      <c r="B219" s="409" t="s">
        <v>997</v>
      </c>
      <c r="C219" s="443" t="s">
        <v>838</v>
      </c>
      <c r="D219" s="344" t="s">
        <v>893</v>
      </c>
      <c r="E219" s="356"/>
    </row>
    <row r="220" spans="2:5" ht="9.75" customHeight="1">
      <c r="B220" s="409" t="s">
        <v>998</v>
      </c>
      <c r="C220" s="443" t="s">
        <v>999</v>
      </c>
      <c r="D220" s="344" t="s">
        <v>977</v>
      </c>
      <c r="E220" s="356"/>
    </row>
    <row r="221" spans="2:5" ht="9.75" customHeight="1">
      <c r="B221" s="409" t="s">
        <v>1000</v>
      </c>
      <c r="C221" s="446" t="s">
        <v>1001</v>
      </c>
      <c r="D221" s="344" t="s">
        <v>1002</v>
      </c>
      <c r="E221" s="356"/>
    </row>
    <row r="222" spans="2:5" ht="9.75" customHeight="1">
      <c r="B222" s="409" t="s">
        <v>694</v>
      </c>
      <c r="C222" s="443" t="s">
        <v>1003</v>
      </c>
      <c r="D222" s="344" t="s">
        <v>1004</v>
      </c>
      <c r="E222" s="356"/>
    </row>
    <row r="223" spans="2:5" ht="9.75" customHeight="1">
      <c r="B223" s="409" t="s">
        <v>1005</v>
      </c>
      <c r="C223" s="443" t="s">
        <v>1006</v>
      </c>
      <c r="D223" s="344" t="s">
        <v>594</v>
      </c>
      <c r="E223" s="356"/>
    </row>
    <row r="224" spans="2:5" ht="9.75" customHeight="1">
      <c r="B224" s="409" t="s">
        <v>1007</v>
      </c>
      <c r="C224" s="443" t="s">
        <v>898</v>
      </c>
      <c r="D224" s="344" t="s">
        <v>893</v>
      </c>
      <c r="E224" s="356"/>
    </row>
    <row r="225" spans="2:6" ht="9.75" customHeight="1">
      <c r="B225" s="409" t="s">
        <v>1008</v>
      </c>
      <c r="C225" s="446" t="s">
        <v>898</v>
      </c>
      <c r="D225" s="344" t="s">
        <v>893</v>
      </c>
      <c r="E225" s="356"/>
    </row>
    <row r="226" spans="2:6" ht="9.75" customHeight="1">
      <c r="B226" s="409" t="s">
        <v>1009</v>
      </c>
      <c r="C226" s="443" t="s">
        <v>472</v>
      </c>
      <c r="D226" s="344" t="s">
        <v>1010</v>
      </c>
      <c r="E226" s="356"/>
    </row>
    <row r="227" spans="2:6" ht="9.75" customHeight="1">
      <c r="B227" s="409" t="s">
        <v>1011</v>
      </c>
      <c r="C227" s="443" t="s">
        <v>875</v>
      </c>
      <c r="D227" s="344" t="s">
        <v>1010</v>
      </c>
      <c r="E227" s="356"/>
    </row>
    <row r="228" spans="2:6" ht="9.75" customHeight="1">
      <c r="B228" s="409" t="s">
        <v>1012</v>
      </c>
      <c r="C228" s="443" t="s">
        <v>841</v>
      </c>
      <c r="D228" s="344" t="s">
        <v>322</v>
      </c>
      <c r="E228" s="356"/>
    </row>
    <row r="229" spans="2:6" ht="9.75" customHeight="1">
      <c r="B229" s="409" t="s">
        <v>1013</v>
      </c>
      <c r="C229" s="443" t="s">
        <v>1014</v>
      </c>
      <c r="D229" s="344" t="s">
        <v>1015</v>
      </c>
      <c r="E229" s="356"/>
    </row>
    <row r="230" spans="2:6" ht="9.75" customHeight="1">
      <c r="B230" s="409" t="s">
        <v>1016</v>
      </c>
      <c r="C230" s="446" t="s">
        <v>875</v>
      </c>
      <c r="D230" s="344" t="s">
        <v>986</v>
      </c>
      <c r="E230" s="356"/>
    </row>
    <row r="231" spans="2:6" ht="9.75" customHeight="1">
      <c r="B231" s="415" t="s">
        <v>1017</v>
      </c>
      <c r="C231" s="444" t="s">
        <v>893</v>
      </c>
      <c r="D231" s="416" t="s">
        <v>594</v>
      </c>
      <c r="E231" s="420"/>
      <c r="F231" s="509" t="s">
        <v>635</v>
      </c>
    </row>
    <row r="232" spans="2:6" ht="9.75" customHeight="1"/>
    <row r="233" spans="2:6" ht="9.75" customHeight="1"/>
    <row r="234" spans="2:6" ht="9.75" customHeight="1"/>
    <row r="235" spans="2:6" ht="9.75" customHeight="1"/>
    <row r="236" spans="2:6" ht="9.75" customHeight="1"/>
    <row r="237" spans="2:6" ht="9.75" customHeight="1"/>
    <row r="238" spans="2:6" ht="9.75" customHeight="1"/>
    <row r="239" spans="2:6" ht="9.75" customHeight="1"/>
    <row r="240" spans="2:6"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sheetData>
  <sheetProtection algorithmName="SHA-512" hashValue="N1iEOPIldGGn6buxYNsXDMStqkeMFp9yaoojwki1ManxXX4yB9rYzH821EkKwwLwt5T3OmfoJpi/GoyrMkC63w==" saltValue="5DwKlzxLOmlMk3SkThk6Ag==" spinCount="100000" sheet="1" objects="1" scenarios="1"/>
  <mergeCells count="26">
    <mergeCell ref="B2:D2"/>
    <mergeCell ref="B11:E11"/>
    <mergeCell ref="B95:F95"/>
    <mergeCell ref="B118:F118"/>
    <mergeCell ref="D119:F119"/>
    <mergeCell ref="D120:F120"/>
    <mergeCell ref="D121:F121"/>
    <mergeCell ref="D122:F122"/>
    <mergeCell ref="D123:F123"/>
    <mergeCell ref="D124:F124"/>
    <mergeCell ref="D125:F125"/>
    <mergeCell ref="D126:F126"/>
    <mergeCell ref="D127:F127"/>
    <mergeCell ref="D128:F128"/>
    <mergeCell ref="D136:F136"/>
    <mergeCell ref="D137:F137"/>
    <mergeCell ref="B139:E139"/>
    <mergeCell ref="B167:E167"/>
    <mergeCell ref="B201:E201"/>
    <mergeCell ref="D129:F129"/>
    <mergeCell ref="D130:F130"/>
    <mergeCell ref="D131:F131"/>
    <mergeCell ref="D132:F132"/>
    <mergeCell ref="D133:F133"/>
    <mergeCell ref="D134:F134"/>
    <mergeCell ref="D135:F135"/>
  </mergeCells>
  <hyperlinks>
    <hyperlink ref="F38" location="Conversie!$F$38" display="Naar boven" xr:uid="{00000000-0004-0000-0C00-000000000000}"/>
    <hyperlink ref="F69" location="Conversie!$F$69" display="Naar boven" xr:uid="{00000000-0004-0000-0C00-000001000000}"/>
    <hyperlink ref="F93" location="Conversie!$F$93" display="Naar boven" xr:uid="{00000000-0004-0000-0C00-000002000000}"/>
    <hyperlink ref="G116" location="Conversie!$G$116" display="Naar boven" xr:uid="{00000000-0004-0000-0C00-000003000000}"/>
    <hyperlink ref="G137" location="Conversie!$G$137" display="Naar boven" xr:uid="{00000000-0004-0000-0C00-000004000000}"/>
    <hyperlink ref="F165" location="Conversie!$F$165" display="Naar boven" xr:uid="{00000000-0004-0000-0C00-000005000000}"/>
    <hyperlink ref="F199" location="Conversie!$F$199" display="Naar boven" xr:uid="{00000000-0004-0000-0C00-000006000000}"/>
    <hyperlink ref="F231" location="Conversie!$F$231" display="Naar boven" xr:uid="{00000000-0004-0000-0C00-000007000000}"/>
  </hyperlinks>
  <pageMargins left="0.7" right="0.7" top="0.75" bottom="0.75" header="0" footer="0"/>
  <pageSetup paperSize="9" orientation="portrait"/>
  <headerFooter>
    <oddHeader>&amp;C&amp;A</oddHeader>
    <oddFooter>&amp;C&amp;P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7CAAC"/>
  </sheetPr>
  <dimension ref="A1:Z1000"/>
  <sheetViews>
    <sheetView showGridLines="0" topLeftCell="A163" workbookViewId="0">
      <selection activeCell="C188" sqref="C188"/>
    </sheetView>
  </sheetViews>
  <sheetFormatPr defaultColWidth="16.7109375" defaultRowHeight="15" customHeight="1"/>
  <cols>
    <col min="1" max="1" width="2.7109375" customWidth="1"/>
    <col min="2" max="2" width="58" customWidth="1"/>
    <col min="3" max="3" width="48.28515625" customWidth="1"/>
    <col min="4" max="4" width="31.42578125" customWidth="1"/>
    <col min="5" max="5" width="21" customWidth="1"/>
    <col min="6" max="6" width="36.28515625" customWidth="1"/>
    <col min="7" max="7" width="16.7109375" customWidth="1"/>
    <col min="8" max="8" width="10.7109375" customWidth="1"/>
    <col min="9" max="9" width="14.28515625" customWidth="1"/>
    <col min="10" max="10" width="10.7109375" customWidth="1"/>
    <col min="11" max="26" width="10.28515625" customWidth="1"/>
  </cols>
  <sheetData>
    <row r="1" spans="1:26" ht="9.75" customHeight="1">
      <c r="A1" s="90"/>
      <c r="B1" s="90"/>
      <c r="C1" s="90"/>
      <c r="D1" s="90"/>
      <c r="E1" s="90"/>
      <c r="F1" s="90"/>
      <c r="G1" s="90"/>
      <c r="H1" s="90"/>
      <c r="I1" s="90"/>
      <c r="J1" s="90"/>
      <c r="K1" s="90"/>
      <c r="L1" s="90"/>
      <c r="M1" s="90"/>
      <c r="N1" s="90"/>
      <c r="O1" s="90"/>
      <c r="P1" s="90"/>
      <c r="Q1" s="90"/>
      <c r="R1" s="90"/>
      <c r="S1" s="90"/>
      <c r="T1" s="90"/>
      <c r="U1" s="90"/>
      <c r="V1" s="90"/>
      <c r="W1" s="90"/>
      <c r="X1" s="90"/>
      <c r="Y1" s="90"/>
      <c r="Z1" s="90"/>
    </row>
    <row r="2" spans="1:26" ht="9.75" customHeight="1">
      <c r="A2" s="90"/>
      <c r="B2" s="452" t="s">
        <v>1018</v>
      </c>
      <c r="C2" s="453"/>
      <c r="D2" s="454"/>
      <c r="E2" s="90"/>
      <c r="F2" s="90"/>
      <c r="G2" s="90"/>
      <c r="H2" s="90"/>
      <c r="I2" s="90"/>
      <c r="J2" s="90"/>
      <c r="K2" s="90"/>
      <c r="L2" s="90"/>
      <c r="M2" s="90"/>
      <c r="N2" s="90"/>
      <c r="O2" s="90"/>
      <c r="P2" s="90"/>
      <c r="Q2" s="90"/>
      <c r="R2" s="90"/>
      <c r="S2" s="90"/>
      <c r="T2" s="90"/>
      <c r="U2" s="90"/>
      <c r="V2" s="90"/>
      <c r="W2" s="90"/>
      <c r="X2" s="90"/>
      <c r="Y2" s="90"/>
      <c r="Z2" s="90"/>
    </row>
    <row r="3" spans="1:26" ht="9.75" customHeight="1">
      <c r="A3" s="90"/>
      <c r="B3" s="190"/>
      <c r="C3" s="191" t="s">
        <v>1019</v>
      </c>
      <c r="D3" s="282" t="s">
        <v>1020</v>
      </c>
      <c r="E3" s="90"/>
      <c r="F3" s="90"/>
      <c r="G3" s="90"/>
      <c r="H3" s="90"/>
      <c r="I3" s="90"/>
      <c r="J3" s="90"/>
      <c r="K3" s="90"/>
      <c r="L3" s="90"/>
      <c r="M3" s="90"/>
      <c r="N3" s="90"/>
      <c r="O3" s="90"/>
      <c r="P3" s="90"/>
      <c r="Q3" s="90"/>
      <c r="R3" s="90"/>
      <c r="S3" s="90"/>
      <c r="T3" s="90"/>
      <c r="U3" s="90"/>
      <c r="V3" s="90"/>
      <c r="W3" s="90"/>
      <c r="X3" s="90"/>
      <c r="Y3" s="90"/>
      <c r="Z3" s="90"/>
    </row>
    <row r="4" spans="1:26" ht="9.75" customHeight="1">
      <c r="A4" s="90"/>
      <c r="B4" s="455" t="str">
        <f>Model!D3</f>
        <v>HMA AC BIN/BASE</v>
      </c>
      <c r="C4" s="249">
        <v>0.75</v>
      </c>
      <c r="D4" s="456">
        <v>0.25</v>
      </c>
      <c r="E4" s="90"/>
      <c r="F4" s="90"/>
      <c r="G4" s="90"/>
      <c r="H4" s="90"/>
      <c r="I4" s="90"/>
      <c r="J4" s="90"/>
      <c r="K4" s="90"/>
      <c r="L4" s="90"/>
      <c r="M4" s="90"/>
      <c r="N4" s="90"/>
      <c r="O4" s="90"/>
      <c r="P4" s="90"/>
      <c r="Q4" s="90"/>
      <c r="R4" s="90"/>
      <c r="S4" s="90"/>
      <c r="T4" s="90"/>
      <c r="U4" s="90"/>
      <c r="V4" s="90"/>
      <c r="W4" s="90"/>
      <c r="X4" s="90"/>
      <c r="Y4" s="90"/>
      <c r="Z4" s="90"/>
    </row>
    <row r="5" spans="1:26" ht="9.75" customHeight="1">
      <c r="A5" s="90"/>
      <c r="B5" s="455" t="str">
        <f>Model!E3</f>
        <v>HMA AG</v>
      </c>
      <c r="C5" s="249">
        <v>0.75</v>
      </c>
      <c r="D5" s="456">
        <v>0.25</v>
      </c>
      <c r="E5" s="90"/>
      <c r="F5" s="90"/>
      <c r="G5" s="90"/>
      <c r="H5" s="90"/>
      <c r="I5" s="90"/>
      <c r="J5" s="90"/>
      <c r="K5" s="90"/>
      <c r="L5" s="90"/>
      <c r="M5" s="90"/>
      <c r="N5" s="90"/>
      <c r="O5" s="90"/>
      <c r="P5" s="90"/>
      <c r="Q5" s="90"/>
      <c r="R5" s="90"/>
      <c r="S5" s="90"/>
      <c r="T5" s="90"/>
      <c r="U5" s="90"/>
      <c r="V5" s="90"/>
      <c r="W5" s="90"/>
      <c r="X5" s="90"/>
      <c r="Y5" s="90"/>
      <c r="Z5" s="90"/>
    </row>
    <row r="6" spans="1:26" ht="9.75" customHeight="1">
      <c r="A6" s="90"/>
      <c r="B6" s="455" t="str">
        <f>Model!F3</f>
        <v>HMA AC SURF</v>
      </c>
      <c r="C6" s="249">
        <v>0.75</v>
      </c>
      <c r="D6" s="456">
        <v>0.25</v>
      </c>
      <c r="E6" s="90"/>
      <c r="F6" s="90"/>
      <c r="G6" s="90"/>
      <c r="H6" s="90"/>
      <c r="I6" s="90"/>
      <c r="J6" s="90"/>
      <c r="K6" s="90"/>
      <c r="L6" s="90"/>
      <c r="M6" s="90"/>
      <c r="N6" s="90"/>
      <c r="O6" s="90"/>
      <c r="P6" s="90"/>
      <c r="Q6" s="90"/>
      <c r="R6" s="90"/>
      <c r="S6" s="90"/>
      <c r="T6" s="90"/>
      <c r="U6" s="90"/>
      <c r="V6" s="90"/>
      <c r="W6" s="90"/>
      <c r="X6" s="90"/>
      <c r="Y6" s="90"/>
      <c r="Z6" s="90"/>
    </row>
    <row r="7" spans="1:26" ht="9.75" customHeight="1">
      <c r="A7" s="90"/>
      <c r="B7" s="455" t="str">
        <f>Model!G3</f>
        <v>HMA SMA</v>
      </c>
      <c r="C7" s="249">
        <v>0.5</v>
      </c>
      <c r="D7" s="456">
        <v>0.5</v>
      </c>
      <c r="E7" s="90"/>
      <c r="F7" s="90"/>
      <c r="G7" s="90"/>
      <c r="H7" s="90"/>
      <c r="I7" s="90"/>
      <c r="J7" s="90"/>
      <c r="K7" s="90"/>
      <c r="L7" s="90"/>
      <c r="M7" s="90"/>
      <c r="N7" s="90"/>
      <c r="O7" s="90"/>
      <c r="P7" s="90"/>
      <c r="Q7" s="90"/>
      <c r="R7" s="90"/>
      <c r="S7" s="90"/>
      <c r="T7" s="90"/>
      <c r="U7" s="90"/>
      <c r="V7" s="90"/>
      <c r="W7" s="90"/>
      <c r="X7" s="90"/>
      <c r="Y7" s="90"/>
      <c r="Z7" s="90"/>
    </row>
    <row r="8" spans="1:26" ht="9.75" customHeight="1">
      <c r="A8" s="90"/>
      <c r="B8" s="455" t="str">
        <f>Model!H3</f>
        <v>HMA PA</v>
      </c>
      <c r="C8" s="249">
        <v>1</v>
      </c>
      <c r="D8" s="456">
        <v>0</v>
      </c>
      <c r="E8" s="90"/>
      <c r="F8" s="90"/>
      <c r="G8" s="90"/>
      <c r="H8" s="90"/>
      <c r="I8" s="90"/>
      <c r="J8" s="90"/>
      <c r="K8" s="90"/>
      <c r="L8" s="90"/>
      <c r="M8" s="90"/>
      <c r="N8" s="90"/>
      <c r="O8" s="90"/>
      <c r="P8" s="90"/>
      <c r="Q8" s="90"/>
      <c r="R8" s="90"/>
      <c r="S8" s="90"/>
      <c r="T8" s="90"/>
      <c r="U8" s="90"/>
      <c r="V8" s="90"/>
      <c r="W8" s="90"/>
      <c r="X8" s="90"/>
      <c r="Y8" s="90"/>
      <c r="Z8" s="90"/>
    </row>
    <row r="9" spans="1:26" ht="9.75" customHeight="1">
      <c r="A9" s="90"/>
      <c r="B9" s="457" t="str">
        <f>Model!I3</f>
        <v>HMA HRA</v>
      </c>
      <c r="C9" s="458">
        <v>0.75</v>
      </c>
      <c r="D9" s="459">
        <v>0.25</v>
      </c>
      <c r="E9" s="90"/>
      <c r="F9" s="90"/>
      <c r="G9" s="90"/>
      <c r="H9" s="90"/>
      <c r="I9" s="90"/>
      <c r="J9" s="90"/>
      <c r="K9" s="90"/>
      <c r="L9" s="90"/>
      <c r="M9" s="90"/>
      <c r="N9" s="90"/>
      <c r="O9" s="90"/>
      <c r="P9" s="90"/>
      <c r="Q9" s="90"/>
      <c r="R9" s="90"/>
      <c r="S9" s="90"/>
      <c r="T9" s="90"/>
      <c r="U9" s="90"/>
      <c r="V9" s="90"/>
      <c r="W9" s="90"/>
      <c r="X9" s="90"/>
      <c r="Y9" s="90"/>
      <c r="Z9" s="90"/>
    </row>
    <row r="10" spans="1:26" ht="9.75" customHeight="1">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row>
    <row r="11" spans="1:26" ht="9.75" customHeight="1">
      <c r="A11" s="90"/>
      <c r="B11" s="452" t="s">
        <v>1021</v>
      </c>
      <c r="C11" s="454"/>
      <c r="D11" s="90"/>
      <c r="E11" s="90"/>
      <c r="F11" s="90"/>
      <c r="G11" s="90"/>
      <c r="H11" s="90"/>
      <c r="I11" s="90"/>
      <c r="J11" s="90"/>
      <c r="K11" s="90"/>
      <c r="L11" s="90"/>
      <c r="M11" s="90"/>
      <c r="N11" s="90"/>
      <c r="O11" s="90"/>
      <c r="P11" s="90"/>
      <c r="Q11" s="90"/>
      <c r="R11" s="90"/>
      <c r="S11" s="90"/>
      <c r="T11" s="90"/>
      <c r="U11" s="90"/>
      <c r="V11" s="90"/>
      <c r="W11" s="90"/>
      <c r="X11" s="90"/>
      <c r="Y11" s="90"/>
      <c r="Z11" s="90"/>
    </row>
    <row r="12" spans="1:26" ht="9.75" customHeight="1">
      <c r="A12" s="90"/>
      <c r="B12" s="190" t="s">
        <v>1022</v>
      </c>
      <c r="C12" s="282">
        <v>210</v>
      </c>
      <c r="D12" s="90"/>
      <c r="E12" s="90"/>
      <c r="F12" s="90"/>
      <c r="G12" s="90"/>
      <c r="H12" s="90"/>
      <c r="I12" s="90"/>
      <c r="J12" s="90"/>
      <c r="K12" s="90"/>
      <c r="L12" s="90"/>
      <c r="M12" s="90"/>
      <c r="N12" s="90"/>
      <c r="O12" s="90"/>
      <c r="P12" s="90"/>
      <c r="Q12" s="90"/>
      <c r="R12" s="90"/>
      <c r="S12" s="90"/>
      <c r="T12" s="90"/>
      <c r="U12" s="90"/>
      <c r="V12" s="90"/>
      <c r="W12" s="90"/>
      <c r="X12" s="90"/>
      <c r="Y12" s="90"/>
      <c r="Z12" s="90"/>
    </row>
    <row r="13" spans="1:26" ht="9.75" customHeight="1">
      <c r="A13" s="90"/>
      <c r="B13" s="190" t="s">
        <v>1023</v>
      </c>
      <c r="C13" s="282">
        <v>175</v>
      </c>
      <c r="D13" s="90"/>
      <c r="E13" s="90"/>
      <c r="F13" s="90"/>
      <c r="G13" s="90"/>
      <c r="H13" s="90"/>
      <c r="I13" s="90"/>
      <c r="J13" s="90"/>
      <c r="K13" s="90"/>
      <c r="L13" s="90"/>
      <c r="M13" s="90"/>
      <c r="N13" s="90"/>
      <c r="O13" s="90"/>
      <c r="P13" s="90"/>
      <c r="Q13" s="90"/>
      <c r="R13" s="90"/>
      <c r="S13" s="90"/>
      <c r="T13" s="90"/>
      <c r="U13" s="90"/>
      <c r="V13" s="90"/>
      <c r="W13" s="90"/>
      <c r="X13" s="90"/>
      <c r="Y13" s="90"/>
      <c r="Z13" s="90"/>
    </row>
    <row r="14" spans="1:26" ht="9.75" customHeight="1">
      <c r="A14" s="90"/>
      <c r="B14" s="274" t="s">
        <v>1024</v>
      </c>
      <c r="C14" s="288">
        <f>(C12-C13)/50</f>
        <v>0.7</v>
      </c>
      <c r="D14" s="90"/>
      <c r="E14" s="90"/>
      <c r="F14" s="90"/>
      <c r="G14" s="90"/>
      <c r="H14" s="90"/>
      <c r="I14" s="90"/>
      <c r="J14" s="90"/>
      <c r="K14" s="90"/>
      <c r="L14" s="90"/>
      <c r="M14" s="90"/>
      <c r="N14" s="90"/>
      <c r="O14" s="90"/>
      <c r="P14" s="90"/>
      <c r="Q14" s="90"/>
      <c r="R14" s="90"/>
      <c r="S14" s="90"/>
      <c r="T14" s="90"/>
      <c r="U14" s="90"/>
      <c r="V14" s="90"/>
      <c r="W14" s="90"/>
      <c r="X14" s="90"/>
      <c r="Y14" s="90"/>
      <c r="Z14" s="90"/>
    </row>
    <row r="15" spans="1:26" ht="9.75" customHeight="1">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row>
    <row r="16" spans="1:26" ht="22.5" customHeight="1">
      <c r="A16" s="90"/>
      <c r="B16" s="460" t="s">
        <v>1025</v>
      </c>
      <c r="C16" s="453" t="s">
        <v>880</v>
      </c>
      <c r="D16" s="453" t="s">
        <v>1026</v>
      </c>
      <c r="E16" s="453" t="s">
        <v>1027</v>
      </c>
      <c r="F16" s="454" t="s">
        <v>1028</v>
      </c>
      <c r="G16" s="90"/>
      <c r="H16" s="90"/>
      <c r="I16" s="90"/>
      <c r="J16" s="90"/>
      <c r="K16" s="90"/>
      <c r="L16" s="90"/>
      <c r="M16" s="90"/>
      <c r="N16" s="90"/>
      <c r="O16" s="90"/>
      <c r="P16" s="90"/>
      <c r="Q16" s="90"/>
      <c r="R16" s="90"/>
      <c r="S16" s="90"/>
      <c r="T16" s="90"/>
      <c r="U16" s="90"/>
      <c r="V16" s="90"/>
      <c r="W16" s="90"/>
      <c r="X16" s="90"/>
      <c r="Y16" s="90"/>
      <c r="Z16" s="90"/>
    </row>
    <row r="17" spans="1:26" ht="9.75" customHeight="1">
      <c r="A17" s="90"/>
      <c r="B17" s="190" t="s">
        <v>1029</v>
      </c>
      <c r="C17" s="197">
        <f>D17</f>
        <v>200000</v>
      </c>
      <c r="D17" s="197">
        <f t="shared" ref="D17:F17" si="0">D18/D19</f>
        <v>200000</v>
      </c>
      <c r="E17" s="197">
        <f t="shared" si="0"/>
        <v>200000</v>
      </c>
      <c r="F17" s="461">
        <f t="shared" si="0"/>
        <v>200000</v>
      </c>
      <c r="G17" s="90"/>
      <c r="H17" s="90"/>
      <c r="I17" s="90"/>
      <c r="J17" s="90"/>
      <c r="K17" s="90"/>
      <c r="L17" s="90"/>
      <c r="M17" s="90"/>
      <c r="N17" s="90"/>
      <c r="O17" s="90"/>
      <c r="P17" s="90"/>
      <c r="Q17" s="90"/>
      <c r="R17" s="90"/>
      <c r="S17" s="90"/>
      <c r="T17" s="90"/>
      <c r="U17" s="90"/>
      <c r="V17" s="90"/>
      <c r="W17" s="90"/>
      <c r="X17" s="90"/>
      <c r="Y17" s="90"/>
      <c r="Z17" s="90"/>
    </row>
    <row r="18" spans="1:26" ht="9.75" customHeight="1">
      <c r="A18" s="90"/>
      <c r="B18" s="190" t="s">
        <v>1030</v>
      </c>
      <c r="C18" s="197">
        <v>0</v>
      </c>
      <c r="D18" s="197">
        <v>21500</v>
      </c>
      <c r="E18" s="197">
        <v>46000</v>
      </c>
      <c r="F18" s="461">
        <v>59000</v>
      </c>
      <c r="G18" s="90"/>
      <c r="H18" s="90"/>
      <c r="I18" s="90"/>
      <c r="J18" s="90"/>
      <c r="K18" s="90"/>
      <c r="L18" s="90"/>
      <c r="M18" s="90"/>
      <c r="N18" s="90"/>
      <c r="O18" s="90"/>
      <c r="P18" s="90"/>
      <c r="Q18" s="90"/>
      <c r="R18" s="90"/>
      <c r="S18" s="90"/>
      <c r="T18" s="90"/>
      <c r="U18" s="90"/>
      <c r="V18" s="90"/>
      <c r="W18" s="90"/>
      <c r="X18" s="90"/>
      <c r="Y18" s="90"/>
      <c r="Z18" s="90"/>
    </row>
    <row r="19" spans="1:26" ht="9.75" customHeight="1">
      <c r="A19" s="90"/>
      <c r="B19" s="190" t="s">
        <v>1031</v>
      </c>
      <c r="C19" s="257">
        <v>0</v>
      </c>
      <c r="D19" s="257">
        <v>0.1075</v>
      </c>
      <c r="E19" s="257">
        <v>0.23</v>
      </c>
      <c r="F19" s="462">
        <v>0.29499999999999998</v>
      </c>
      <c r="G19" s="90"/>
      <c r="H19" s="90"/>
      <c r="I19" s="90"/>
      <c r="J19" s="90"/>
      <c r="K19" s="90"/>
      <c r="L19" s="90"/>
      <c r="M19" s="90"/>
      <c r="N19" s="90"/>
      <c r="O19" s="90"/>
      <c r="P19" s="90"/>
      <c r="Q19" s="90"/>
      <c r="R19" s="90"/>
      <c r="S19" s="90"/>
      <c r="T19" s="90"/>
      <c r="U19" s="90"/>
      <c r="V19" s="90"/>
      <c r="W19" s="90"/>
      <c r="X19" s="90"/>
      <c r="Y19" s="90"/>
      <c r="Z19" s="90"/>
    </row>
    <row r="20" spans="1:26" ht="9.75" customHeight="1">
      <c r="A20" s="90"/>
      <c r="B20" s="190" t="s">
        <v>1032</v>
      </c>
      <c r="C20" s="191">
        <v>90</v>
      </c>
      <c r="D20" s="191">
        <v>95</v>
      </c>
      <c r="E20" s="191">
        <v>100</v>
      </c>
      <c r="F20" s="282">
        <v>105</v>
      </c>
      <c r="G20" s="90"/>
      <c r="H20" s="90"/>
      <c r="I20" s="90"/>
      <c r="J20" s="90"/>
      <c r="K20" s="90"/>
      <c r="L20" s="90"/>
      <c r="M20" s="90"/>
      <c r="N20" s="90"/>
      <c r="O20" s="90"/>
      <c r="P20" s="90"/>
      <c r="Q20" s="90"/>
      <c r="R20" s="90"/>
      <c r="S20" s="90"/>
      <c r="T20" s="90"/>
      <c r="U20" s="90"/>
      <c r="V20" s="90"/>
      <c r="W20" s="90"/>
      <c r="X20" s="90"/>
      <c r="Y20" s="90"/>
      <c r="Z20" s="90"/>
    </row>
    <row r="21" spans="1:26" ht="9.75" customHeight="1">
      <c r="A21" s="90"/>
      <c r="B21" s="190" t="s">
        <v>1033</v>
      </c>
      <c r="C21" s="257">
        <v>0.14000000000000001</v>
      </c>
      <c r="D21" s="257">
        <v>0.14499999999999999</v>
      </c>
      <c r="E21" s="257">
        <v>0.15</v>
      </c>
      <c r="F21" s="462">
        <v>0.152</v>
      </c>
      <c r="G21" s="90"/>
      <c r="H21" s="90"/>
      <c r="I21" s="90"/>
      <c r="J21" s="90"/>
      <c r="K21" s="90"/>
      <c r="L21" s="90"/>
      <c r="M21" s="90"/>
      <c r="N21" s="90"/>
      <c r="O21" s="90"/>
      <c r="P21" s="90"/>
      <c r="Q21" s="90"/>
      <c r="R21" s="90"/>
      <c r="S21" s="90"/>
      <c r="T21" s="90"/>
      <c r="U21" s="90"/>
      <c r="V21" s="90"/>
      <c r="W21" s="90"/>
      <c r="X21" s="90"/>
      <c r="Y21" s="90"/>
      <c r="Z21" s="90"/>
    </row>
    <row r="22" spans="1:26" ht="9.75" customHeight="1">
      <c r="A22" s="90"/>
      <c r="B22" s="190" t="s">
        <v>1034</v>
      </c>
      <c r="C22" s="195">
        <f t="array" ref="C22">(TREND(C20:F20,C19:F19,D19)-TREND(C20:F20,C19:F19,C19))/D19*Projectinformatie!C78</f>
        <v>23.326601213855039</v>
      </c>
      <c r="D22" s="191"/>
      <c r="E22" s="191"/>
      <c r="F22" s="282"/>
      <c r="G22" s="90"/>
      <c r="H22" s="90"/>
      <c r="I22" s="90"/>
      <c r="J22" s="90"/>
      <c r="K22" s="90"/>
      <c r="L22" s="90"/>
      <c r="M22" s="90"/>
      <c r="N22" s="90"/>
      <c r="O22" s="90"/>
      <c r="P22" s="90"/>
      <c r="Q22" s="90"/>
      <c r="R22" s="90"/>
      <c r="S22" s="90"/>
      <c r="T22" s="90"/>
      <c r="U22" s="90"/>
      <c r="V22" s="90"/>
      <c r="W22" s="90"/>
      <c r="X22" s="90"/>
      <c r="Y22" s="90"/>
      <c r="Z22" s="90"/>
    </row>
    <row r="23" spans="1:26" ht="9.75" customHeight="1">
      <c r="A23" s="90"/>
      <c r="B23" s="274" t="s">
        <v>1035</v>
      </c>
      <c r="C23" s="463">
        <f t="array" ref="C23">(TREND(C21:F21,C19:F19,D19)-TREND(C21:F21,C19:F19,C19))/D19*Projectinformatie!C78</f>
        <v>1.9523728509760023E-2</v>
      </c>
      <c r="D23" s="275"/>
      <c r="E23" s="275"/>
      <c r="F23" s="288"/>
      <c r="G23" s="90"/>
      <c r="H23" s="90"/>
      <c r="I23" s="90"/>
      <c r="J23" s="90"/>
      <c r="K23" s="90"/>
      <c r="L23" s="90"/>
      <c r="M23" s="90"/>
      <c r="N23" s="90"/>
      <c r="O23" s="90"/>
      <c r="P23" s="90"/>
      <c r="Q23" s="90"/>
      <c r="R23" s="90"/>
      <c r="S23" s="90"/>
      <c r="T23" s="90"/>
      <c r="U23" s="90"/>
      <c r="V23" s="90"/>
      <c r="W23" s="90"/>
      <c r="X23" s="90"/>
      <c r="Y23" s="90"/>
      <c r="Z23" s="90"/>
    </row>
    <row r="24" spans="1:26" ht="9.75" customHeight="1">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ht="9.75" customHeight="1">
      <c r="A25" s="90"/>
      <c r="B25" s="167" t="s">
        <v>1036</v>
      </c>
      <c r="C25" s="464" t="s">
        <v>1037</v>
      </c>
      <c r="D25" s="465">
        <v>50</v>
      </c>
      <c r="E25" s="90"/>
      <c r="F25" s="90"/>
      <c r="G25" s="90"/>
      <c r="H25" s="90"/>
      <c r="I25" s="90"/>
      <c r="J25" s="90"/>
      <c r="K25" s="90"/>
      <c r="L25" s="90"/>
      <c r="M25" s="90"/>
      <c r="N25" s="90"/>
      <c r="O25" s="90"/>
      <c r="P25" s="90"/>
      <c r="Q25" s="90"/>
      <c r="R25" s="90"/>
      <c r="S25" s="90"/>
      <c r="T25" s="90"/>
      <c r="U25" s="90"/>
      <c r="V25" s="90"/>
      <c r="W25" s="90"/>
      <c r="X25" s="90"/>
      <c r="Y25" s="90"/>
      <c r="Z25" s="90"/>
    </row>
    <row r="26" spans="1:26" ht="9.75" customHeight="1">
      <c r="A26" s="90"/>
      <c r="B26" s="183"/>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9.75" customHeight="1">
      <c r="A27" s="90"/>
      <c r="B27" s="452" t="s">
        <v>1038</v>
      </c>
      <c r="C27" s="454"/>
      <c r="D27" s="90"/>
      <c r="E27" s="90"/>
      <c r="F27" s="90"/>
      <c r="G27" s="90"/>
      <c r="H27" s="90"/>
      <c r="I27" s="90"/>
      <c r="J27" s="90"/>
      <c r="K27" s="90"/>
      <c r="L27" s="90"/>
      <c r="M27" s="90"/>
      <c r="N27" s="90"/>
      <c r="O27" s="90"/>
      <c r="P27" s="90"/>
      <c r="Q27" s="90"/>
      <c r="R27" s="90"/>
      <c r="S27" s="90"/>
      <c r="T27" s="90"/>
      <c r="U27" s="90"/>
      <c r="V27" s="90"/>
      <c r="W27" s="90"/>
      <c r="X27" s="90"/>
      <c r="Y27" s="90"/>
      <c r="Z27" s="90"/>
    </row>
    <row r="28" spans="1:26" ht="9.75" customHeight="1">
      <c r="A28" s="90"/>
      <c r="B28" s="210" t="s">
        <v>1039</v>
      </c>
      <c r="C28" s="282" t="s">
        <v>1040</v>
      </c>
      <c r="D28" s="90"/>
      <c r="E28" s="90"/>
      <c r="F28" s="90"/>
      <c r="G28" s="90"/>
      <c r="H28" s="90"/>
      <c r="I28" s="90"/>
      <c r="J28" s="90"/>
      <c r="K28" s="90"/>
      <c r="L28" s="90"/>
      <c r="M28" s="90"/>
      <c r="N28" s="90"/>
      <c r="O28" s="90"/>
      <c r="P28" s="90"/>
      <c r="Q28" s="90"/>
      <c r="R28" s="90"/>
      <c r="S28" s="90"/>
      <c r="T28" s="90"/>
      <c r="U28" s="90"/>
      <c r="V28" s="90"/>
      <c r="W28" s="90"/>
      <c r="X28" s="90"/>
      <c r="Y28" s="90"/>
      <c r="Z28" s="90"/>
    </row>
    <row r="29" spans="1:26" ht="9.75" customHeight="1">
      <c r="A29" s="90"/>
      <c r="B29" s="190">
        <v>0</v>
      </c>
      <c r="C29" s="282">
        <v>14.9</v>
      </c>
      <c r="D29" s="90"/>
      <c r="E29" s="90"/>
      <c r="F29" s="90"/>
      <c r="G29" s="90"/>
      <c r="H29" s="90"/>
      <c r="I29" s="90"/>
      <c r="J29" s="90"/>
      <c r="K29" s="90"/>
      <c r="L29" s="90"/>
      <c r="M29" s="90"/>
      <c r="N29" s="90"/>
      <c r="O29" s="90"/>
      <c r="P29" s="90"/>
      <c r="Q29" s="90"/>
      <c r="R29" s="90"/>
      <c r="S29" s="90"/>
      <c r="T29" s="90"/>
      <c r="U29" s="90"/>
      <c r="V29" s="90"/>
      <c r="W29" s="90"/>
      <c r="X29" s="90"/>
      <c r="Y29" s="90"/>
      <c r="Z29" s="90"/>
    </row>
    <row r="30" spans="1:26" ht="9.75" customHeight="1">
      <c r="A30" s="90"/>
      <c r="B30" s="190">
        <v>1</v>
      </c>
      <c r="C30" s="282">
        <v>14.9</v>
      </c>
      <c r="D30" s="90"/>
      <c r="E30" s="90"/>
      <c r="F30" s="90"/>
      <c r="G30" s="90"/>
      <c r="H30" s="90"/>
      <c r="I30" s="90"/>
      <c r="J30" s="90"/>
      <c r="K30" s="90"/>
      <c r="L30" s="90"/>
      <c r="M30" s="90"/>
      <c r="N30" s="90"/>
      <c r="O30" s="90"/>
      <c r="P30" s="90"/>
      <c r="Q30" s="90"/>
      <c r="R30" s="90"/>
      <c r="S30" s="90"/>
      <c r="T30" s="90"/>
      <c r="U30" s="90"/>
      <c r="V30" s="90"/>
      <c r="W30" s="90"/>
      <c r="X30" s="90"/>
      <c r="Y30" s="90"/>
      <c r="Z30" s="90"/>
    </row>
    <row r="31" spans="1:26" ht="9.75" customHeight="1">
      <c r="A31" s="90"/>
      <c r="B31" s="190">
        <v>2</v>
      </c>
      <c r="C31" s="282">
        <v>14.9</v>
      </c>
      <c r="D31" s="90"/>
      <c r="E31" s="90"/>
      <c r="F31" s="90"/>
      <c r="G31" s="90"/>
      <c r="H31" s="90"/>
      <c r="I31" s="90"/>
      <c r="J31" s="90"/>
      <c r="K31" s="90"/>
      <c r="L31" s="90"/>
      <c r="M31" s="90"/>
      <c r="N31" s="90"/>
      <c r="O31" s="90"/>
      <c r="P31" s="90"/>
      <c r="Q31" s="90"/>
      <c r="R31" s="90"/>
      <c r="S31" s="90"/>
      <c r="T31" s="90"/>
      <c r="U31" s="90"/>
      <c r="V31" s="90"/>
      <c r="W31" s="90"/>
      <c r="X31" s="90"/>
      <c r="Y31" s="90"/>
      <c r="Z31" s="90"/>
    </row>
    <row r="32" spans="1:26" ht="9.75" customHeight="1">
      <c r="A32" s="90"/>
      <c r="B32" s="190">
        <v>3</v>
      </c>
      <c r="C32" s="282">
        <v>14.85</v>
      </c>
      <c r="D32" s="90"/>
      <c r="E32" s="90"/>
      <c r="F32" s="90"/>
      <c r="G32" s="90"/>
      <c r="H32" s="90"/>
      <c r="I32" s="90"/>
      <c r="J32" s="90"/>
      <c r="K32" s="90"/>
      <c r="L32" s="90"/>
      <c r="M32" s="90"/>
      <c r="N32" s="90"/>
      <c r="O32" s="90"/>
      <c r="P32" s="90"/>
      <c r="Q32" s="90"/>
      <c r="R32" s="90"/>
      <c r="S32" s="90"/>
      <c r="T32" s="90"/>
      <c r="U32" s="90"/>
      <c r="V32" s="90"/>
      <c r="W32" s="90"/>
      <c r="X32" s="90"/>
      <c r="Y32" s="90"/>
      <c r="Z32" s="90"/>
    </row>
    <row r="33" spans="1:26" ht="9.75" customHeight="1">
      <c r="A33" s="90"/>
      <c r="B33" s="190">
        <v>4</v>
      </c>
      <c r="C33" s="282">
        <v>14.8</v>
      </c>
      <c r="D33" s="90"/>
      <c r="E33" s="90"/>
      <c r="F33" s="90"/>
      <c r="G33" s="90"/>
      <c r="H33" s="90"/>
      <c r="I33" s="90"/>
      <c r="J33" s="90"/>
      <c r="K33" s="90"/>
      <c r="L33" s="90"/>
      <c r="M33" s="90"/>
      <c r="N33" s="90"/>
      <c r="O33" s="90"/>
      <c r="P33" s="90"/>
      <c r="Q33" s="90"/>
      <c r="R33" s="90"/>
      <c r="S33" s="90"/>
      <c r="T33" s="90"/>
      <c r="U33" s="90"/>
      <c r="V33" s="90"/>
      <c r="W33" s="90"/>
      <c r="X33" s="90"/>
      <c r="Y33" s="90"/>
      <c r="Z33" s="90"/>
    </row>
    <row r="34" spans="1:26" ht="9.75" customHeight="1">
      <c r="A34" s="90"/>
      <c r="B34" s="190">
        <v>5</v>
      </c>
      <c r="C34" s="282">
        <v>14.75</v>
      </c>
      <c r="D34" s="90"/>
      <c r="E34" s="90"/>
      <c r="F34" s="90"/>
      <c r="G34" s="90"/>
      <c r="H34" s="90"/>
      <c r="I34" s="90"/>
      <c r="J34" s="90"/>
      <c r="K34" s="90"/>
      <c r="L34" s="90"/>
      <c r="M34" s="90"/>
      <c r="N34" s="90"/>
      <c r="O34" s="90"/>
      <c r="P34" s="90"/>
      <c r="Q34" s="90"/>
      <c r="R34" s="90"/>
      <c r="S34" s="90"/>
      <c r="T34" s="90"/>
      <c r="U34" s="90"/>
      <c r="V34" s="90"/>
      <c r="W34" s="90"/>
      <c r="X34" s="90"/>
      <c r="Y34" s="90"/>
      <c r="Z34" s="90"/>
    </row>
    <row r="35" spans="1:26" ht="9.75" customHeight="1">
      <c r="A35" s="90"/>
      <c r="B35" s="190">
        <v>6</v>
      </c>
      <c r="C35" s="282">
        <v>14.7</v>
      </c>
      <c r="D35" s="90"/>
      <c r="E35" s="90"/>
      <c r="F35" s="90"/>
      <c r="G35" s="90"/>
      <c r="H35" s="90"/>
      <c r="I35" s="90"/>
      <c r="J35" s="90"/>
      <c r="K35" s="90"/>
      <c r="L35" s="90"/>
      <c r="M35" s="90"/>
      <c r="N35" s="90"/>
      <c r="O35" s="90"/>
      <c r="P35" s="90"/>
      <c r="Q35" s="90"/>
      <c r="R35" s="90"/>
      <c r="S35" s="90"/>
      <c r="T35" s="90"/>
      <c r="U35" s="90"/>
      <c r="V35" s="90"/>
      <c r="W35" s="90"/>
      <c r="X35" s="90"/>
      <c r="Y35" s="90"/>
      <c r="Z35" s="90"/>
    </row>
    <row r="36" spans="1:26" ht="9.75" customHeight="1">
      <c r="A36" s="90"/>
      <c r="B36" s="190">
        <v>7</v>
      </c>
      <c r="C36" s="282">
        <v>14.65</v>
      </c>
      <c r="D36" s="90"/>
      <c r="E36" s="90"/>
      <c r="F36" s="90"/>
      <c r="G36" s="90"/>
      <c r="H36" s="90"/>
      <c r="I36" s="90"/>
      <c r="J36" s="90"/>
      <c r="K36" s="90"/>
      <c r="L36" s="90"/>
      <c r="M36" s="90"/>
      <c r="N36" s="90"/>
      <c r="O36" s="90"/>
      <c r="P36" s="90"/>
      <c r="Q36" s="90"/>
      <c r="R36" s="90"/>
      <c r="S36" s="90"/>
      <c r="T36" s="90"/>
      <c r="U36" s="90"/>
      <c r="V36" s="90"/>
      <c r="W36" s="90"/>
      <c r="X36" s="90"/>
      <c r="Y36" s="90"/>
      <c r="Z36" s="90"/>
    </row>
    <row r="37" spans="1:26" ht="9.75" customHeight="1">
      <c r="A37" s="90"/>
      <c r="B37" s="190">
        <v>8</v>
      </c>
      <c r="C37" s="282">
        <v>14.6</v>
      </c>
      <c r="D37" s="90"/>
      <c r="E37" s="90"/>
      <c r="F37" s="90"/>
      <c r="G37" s="90"/>
      <c r="H37" s="90"/>
      <c r="I37" s="90"/>
      <c r="J37" s="90"/>
      <c r="K37" s="90"/>
      <c r="L37" s="90"/>
      <c r="M37" s="90"/>
      <c r="N37" s="90"/>
      <c r="O37" s="90"/>
      <c r="P37" s="90"/>
      <c r="Q37" s="90"/>
      <c r="R37" s="90"/>
      <c r="S37" s="90"/>
      <c r="T37" s="90"/>
      <c r="U37" s="90"/>
      <c r="V37" s="90"/>
      <c r="W37" s="90"/>
      <c r="X37" s="90"/>
      <c r="Y37" s="90"/>
      <c r="Z37" s="90"/>
    </row>
    <row r="38" spans="1:26" ht="9.75" customHeight="1">
      <c r="A38" s="90"/>
      <c r="B38" s="190">
        <v>9</v>
      </c>
      <c r="C38" s="282">
        <v>14.6</v>
      </c>
      <c r="D38" s="90"/>
      <c r="E38" s="90"/>
      <c r="F38" s="90"/>
      <c r="G38" s="90"/>
      <c r="H38" s="90"/>
      <c r="I38" s="90"/>
      <c r="J38" s="90"/>
      <c r="K38" s="90"/>
      <c r="L38" s="90"/>
      <c r="M38" s="90"/>
      <c r="N38" s="90"/>
      <c r="O38" s="90"/>
      <c r="P38" s="90"/>
      <c r="Q38" s="90"/>
      <c r="R38" s="90"/>
      <c r="S38" s="90"/>
      <c r="T38" s="90"/>
      <c r="U38" s="90"/>
      <c r="V38" s="90"/>
      <c r="W38" s="90"/>
      <c r="X38" s="90"/>
      <c r="Y38" s="90"/>
      <c r="Z38" s="90"/>
    </row>
    <row r="39" spans="1:26" ht="9.75" customHeight="1">
      <c r="A39" s="90"/>
      <c r="B39" s="190">
        <v>10</v>
      </c>
      <c r="C39" s="282">
        <v>14.6</v>
      </c>
      <c r="D39" s="90"/>
      <c r="E39" s="90"/>
      <c r="F39" s="90"/>
      <c r="G39" s="90"/>
      <c r="H39" s="90"/>
      <c r="I39" s="90"/>
      <c r="J39" s="90"/>
      <c r="K39" s="90"/>
      <c r="L39" s="90"/>
      <c r="M39" s="90"/>
      <c r="N39" s="90"/>
      <c r="O39" s="90"/>
      <c r="P39" s="90"/>
      <c r="Q39" s="90"/>
      <c r="R39" s="90"/>
      <c r="S39" s="90"/>
      <c r="T39" s="90"/>
      <c r="U39" s="90"/>
      <c r="V39" s="90"/>
      <c r="W39" s="90"/>
      <c r="X39" s="90"/>
      <c r="Y39" s="90"/>
      <c r="Z39" s="90"/>
    </row>
    <row r="40" spans="1:26" ht="9.75" customHeight="1">
      <c r="A40" s="90"/>
      <c r="B40" s="190">
        <v>11</v>
      </c>
      <c r="C40" s="282">
        <f t="shared" ref="C40:C43" si="1">C39-($C$39-$C$44)/5</f>
        <v>14.56</v>
      </c>
      <c r="D40" s="90"/>
      <c r="E40" s="90"/>
      <c r="F40" s="90"/>
      <c r="G40" s="90"/>
      <c r="H40" s="90"/>
      <c r="I40" s="90"/>
      <c r="J40" s="90"/>
      <c r="K40" s="90"/>
      <c r="L40" s="90"/>
      <c r="M40" s="90"/>
      <c r="N40" s="90"/>
      <c r="O40" s="90"/>
      <c r="P40" s="90"/>
      <c r="Q40" s="90"/>
      <c r="R40" s="90"/>
      <c r="S40" s="90"/>
      <c r="T40" s="90"/>
      <c r="U40" s="90"/>
      <c r="V40" s="90"/>
      <c r="W40" s="90"/>
      <c r="X40" s="90"/>
      <c r="Y40" s="90"/>
      <c r="Z40" s="90"/>
    </row>
    <row r="41" spans="1:26" ht="9.75" customHeight="1">
      <c r="A41" s="90"/>
      <c r="B41" s="190">
        <v>12</v>
      </c>
      <c r="C41" s="282">
        <f t="shared" si="1"/>
        <v>14.520000000000001</v>
      </c>
      <c r="D41" s="90"/>
      <c r="E41" s="90"/>
      <c r="F41" s="90"/>
      <c r="G41" s="90"/>
      <c r="H41" s="90"/>
      <c r="I41" s="90"/>
      <c r="J41" s="90"/>
      <c r="K41" s="90"/>
      <c r="L41" s="90"/>
      <c r="M41" s="90"/>
      <c r="N41" s="90"/>
      <c r="O41" s="90"/>
      <c r="P41" s="90"/>
      <c r="Q41" s="90"/>
      <c r="R41" s="90"/>
      <c r="S41" s="90"/>
      <c r="T41" s="90"/>
      <c r="U41" s="90"/>
      <c r="V41" s="90"/>
      <c r="W41" s="90"/>
      <c r="X41" s="90"/>
      <c r="Y41" s="90"/>
      <c r="Z41" s="90"/>
    </row>
    <row r="42" spans="1:26" ht="9.75" customHeight="1">
      <c r="A42" s="90"/>
      <c r="B42" s="190">
        <v>13</v>
      </c>
      <c r="C42" s="282">
        <f t="shared" si="1"/>
        <v>14.480000000000002</v>
      </c>
      <c r="D42" s="90"/>
      <c r="E42" s="90"/>
      <c r="F42" s="90"/>
      <c r="G42" s="90"/>
      <c r="H42" s="90"/>
      <c r="I42" s="90"/>
      <c r="J42" s="90"/>
      <c r="K42" s="90"/>
      <c r="L42" s="90"/>
      <c r="M42" s="90"/>
      <c r="N42" s="90"/>
      <c r="O42" s="90"/>
      <c r="P42" s="90"/>
      <c r="Q42" s="90"/>
      <c r="R42" s="90"/>
      <c r="S42" s="90"/>
      <c r="T42" s="90"/>
      <c r="U42" s="90"/>
      <c r="V42" s="90"/>
      <c r="W42" s="90"/>
      <c r="X42" s="90"/>
      <c r="Y42" s="90"/>
      <c r="Z42" s="90"/>
    </row>
    <row r="43" spans="1:26" ht="9.75" customHeight="1">
      <c r="A43" s="90"/>
      <c r="B43" s="190">
        <v>14</v>
      </c>
      <c r="C43" s="282">
        <f t="shared" si="1"/>
        <v>14.440000000000003</v>
      </c>
      <c r="D43" s="90"/>
      <c r="E43" s="90"/>
      <c r="F43" s="90"/>
      <c r="G43" s="90"/>
      <c r="H43" s="90"/>
      <c r="I43" s="90"/>
      <c r="J43" s="90"/>
      <c r="K43" s="90"/>
      <c r="L43" s="90"/>
      <c r="M43" s="90"/>
      <c r="N43" s="90"/>
      <c r="O43" s="90"/>
      <c r="P43" s="90"/>
      <c r="Q43" s="90"/>
      <c r="R43" s="90"/>
      <c r="S43" s="90"/>
      <c r="T43" s="90"/>
      <c r="U43" s="90"/>
      <c r="V43" s="90"/>
      <c r="W43" s="90"/>
      <c r="X43" s="90"/>
      <c r="Y43" s="90"/>
      <c r="Z43" s="90"/>
    </row>
    <row r="44" spans="1:26" ht="9.75" customHeight="1">
      <c r="A44" s="90"/>
      <c r="B44" s="190">
        <v>15</v>
      </c>
      <c r="C44" s="282">
        <v>14.4</v>
      </c>
      <c r="D44" s="90"/>
      <c r="E44" s="90"/>
      <c r="F44" s="90"/>
      <c r="G44" s="90"/>
      <c r="H44" s="90"/>
      <c r="I44" s="90"/>
      <c r="J44" s="90"/>
      <c r="K44" s="90"/>
      <c r="L44" s="90"/>
      <c r="M44" s="90"/>
      <c r="N44" s="90"/>
      <c r="O44" s="90"/>
      <c r="P44" s="90"/>
      <c r="Q44" s="90"/>
      <c r="R44" s="90"/>
      <c r="S44" s="90"/>
      <c r="T44" s="90"/>
      <c r="U44" s="90"/>
      <c r="V44" s="90"/>
      <c r="W44" s="90"/>
      <c r="X44" s="90"/>
      <c r="Y44" s="90"/>
      <c r="Z44" s="90"/>
    </row>
    <row r="45" spans="1:26" ht="9.75" customHeight="1">
      <c r="A45" s="90"/>
      <c r="B45" s="190">
        <v>16</v>
      </c>
      <c r="C45" s="282">
        <f t="shared" ref="C45:C48" si="2">C44-($C$44-$C$49)/5</f>
        <v>14.36</v>
      </c>
      <c r="D45" s="90"/>
      <c r="E45" s="90"/>
      <c r="F45" s="90"/>
      <c r="G45" s="90"/>
      <c r="H45" s="90"/>
      <c r="I45" s="90"/>
      <c r="J45" s="90"/>
      <c r="K45" s="90"/>
      <c r="L45" s="90"/>
      <c r="M45" s="90"/>
      <c r="N45" s="90"/>
      <c r="O45" s="90"/>
      <c r="P45" s="90"/>
      <c r="Q45" s="90"/>
      <c r="R45" s="90"/>
      <c r="S45" s="90"/>
      <c r="T45" s="90"/>
      <c r="U45" s="90"/>
      <c r="V45" s="90"/>
      <c r="W45" s="90"/>
      <c r="X45" s="90"/>
      <c r="Y45" s="90"/>
      <c r="Z45" s="90"/>
    </row>
    <row r="46" spans="1:26" ht="9.75" customHeight="1">
      <c r="A46" s="90"/>
      <c r="B46" s="190">
        <v>17</v>
      </c>
      <c r="C46" s="282">
        <f t="shared" si="2"/>
        <v>14.319999999999999</v>
      </c>
      <c r="D46" s="90"/>
      <c r="E46" s="90"/>
      <c r="F46" s="90"/>
      <c r="G46" s="90"/>
      <c r="H46" s="90"/>
      <c r="I46" s="90"/>
      <c r="J46" s="90"/>
      <c r="K46" s="90"/>
      <c r="L46" s="90"/>
      <c r="M46" s="90"/>
      <c r="N46" s="90"/>
      <c r="O46" s="90"/>
      <c r="P46" s="90"/>
      <c r="Q46" s="90"/>
      <c r="R46" s="90"/>
      <c r="S46" s="90"/>
      <c r="T46" s="90"/>
      <c r="U46" s="90"/>
      <c r="V46" s="90"/>
      <c r="W46" s="90"/>
      <c r="X46" s="90"/>
      <c r="Y46" s="90"/>
      <c r="Z46" s="90"/>
    </row>
    <row r="47" spans="1:26" ht="9.75" customHeight="1">
      <c r="A47" s="90"/>
      <c r="B47" s="190">
        <v>18</v>
      </c>
      <c r="C47" s="282">
        <f t="shared" si="2"/>
        <v>14.279999999999998</v>
      </c>
      <c r="D47" s="90"/>
      <c r="E47" s="90"/>
      <c r="F47" s="90"/>
      <c r="G47" s="90"/>
      <c r="H47" s="90"/>
      <c r="I47" s="90"/>
      <c r="J47" s="90"/>
      <c r="K47" s="90"/>
      <c r="L47" s="90"/>
      <c r="M47" s="90"/>
      <c r="N47" s="90"/>
      <c r="O47" s="90"/>
      <c r="P47" s="90"/>
      <c r="Q47" s="90"/>
      <c r="R47" s="90"/>
      <c r="S47" s="90"/>
      <c r="T47" s="90"/>
      <c r="U47" s="90"/>
      <c r="V47" s="90"/>
      <c r="W47" s="90"/>
      <c r="X47" s="90"/>
      <c r="Y47" s="90"/>
      <c r="Z47" s="90"/>
    </row>
    <row r="48" spans="1:26" ht="9.75" customHeight="1">
      <c r="A48" s="90"/>
      <c r="B48" s="190">
        <v>19</v>
      </c>
      <c r="C48" s="282">
        <f t="shared" si="2"/>
        <v>14.239999999999997</v>
      </c>
      <c r="D48" s="90"/>
      <c r="E48" s="90"/>
      <c r="F48" s="90"/>
      <c r="G48" s="90"/>
      <c r="H48" s="90"/>
      <c r="I48" s="90"/>
      <c r="J48" s="90"/>
      <c r="K48" s="90"/>
      <c r="L48" s="90"/>
      <c r="M48" s="90"/>
      <c r="N48" s="90"/>
      <c r="O48" s="90"/>
      <c r="P48" s="90"/>
      <c r="Q48" s="90"/>
      <c r="R48" s="90"/>
      <c r="S48" s="90"/>
      <c r="T48" s="90"/>
      <c r="U48" s="90"/>
      <c r="V48" s="90"/>
      <c r="W48" s="90"/>
      <c r="X48" s="90"/>
      <c r="Y48" s="90"/>
      <c r="Z48" s="90"/>
    </row>
    <row r="49" spans="1:26" ht="9.75" customHeight="1">
      <c r="A49" s="90"/>
      <c r="B49" s="190">
        <v>20</v>
      </c>
      <c r="C49" s="282">
        <v>14.2</v>
      </c>
      <c r="D49" s="90"/>
      <c r="E49" s="90"/>
      <c r="F49" s="90"/>
      <c r="G49" s="90"/>
      <c r="H49" s="90"/>
      <c r="I49" s="90"/>
      <c r="J49" s="90"/>
      <c r="K49" s="90"/>
      <c r="L49" s="90"/>
      <c r="M49" s="90"/>
      <c r="N49" s="90"/>
      <c r="O49" s="90"/>
      <c r="P49" s="90"/>
      <c r="Q49" s="90"/>
      <c r="R49" s="90"/>
      <c r="S49" s="90"/>
      <c r="T49" s="90"/>
      <c r="U49" s="90"/>
      <c r="V49" s="90"/>
      <c r="W49" s="90"/>
      <c r="X49" s="90"/>
      <c r="Y49" s="90"/>
      <c r="Z49" s="90"/>
    </row>
    <row r="50" spans="1:26" ht="9.75" customHeight="1">
      <c r="A50" s="90"/>
      <c r="B50" s="190">
        <v>21</v>
      </c>
      <c r="C50" s="282">
        <f t="shared" ref="C50:C53" si="3">C49-($C$49-$C$54)/5</f>
        <v>14.18</v>
      </c>
      <c r="D50" s="90"/>
      <c r="E50" s="90"/>
      <c r="F50" s="90"/>
      <c r="G50" s="90"/>
      <c r="H50" s="90"/>
      <c r="I50" s="90"/>
      <c r="J50" s="90"/>
      <c r="K50" s="90"/>
      <c r="L50" s="90"/>
      <c r="M50" s="90"/>
      <c r="N50" s="90"/>
      <c r="O50" s="90"/>
      <c r="P50" s="90"/>
      <c r="Q50" s="90"/>
      <c r="R50" s="90"/>
      <c r="S50" s="90"/>
      <c r="T50" s="90"/>
      <c r="U50" s="90"/>
      <c r="V50" s="90"/>
      <c r="W50" s="90"/>
      <c r="X50" s="90"/>
      <c r="Y50" s="90"/>
      <c r="Z50" s="90"/>
    </row>
    <row r="51" spans="1:26" ht="9.75" customHeight="1">
      <c r="A51" s="90"/>
      <c r="B51" s="190">
        <v>22</v>
      </c>
      <c r="C51" s="282">
        <f t="shared" si="3"/>
        <v>14.16</v>
      </c>
      <c r="D51" s="90"/>
      <c r="E51" s="90"/>
      <c r="F51" s="90"/>
      <c r="G51" s="90"/>
      <c r="H51" s="90"/>
      <c r="I51" s="90"/>
      <c r="J51" s="90"/>
      <c r="K51" s="90"/>
      <c r="L51" s="90"/>
      <c r="M51" s="90"/>
      <c r="N51" s="90"/>
      <c r="O51" s="90"/>
      <c r="P51" s="90"/>
      <c r="Q51" s="90"/>
      <c r="R51" s="90"/>
      <c r="S51" s="90"/>
      <c r="T51" s="90"/>
      <c r="U51" s="90"/>
      <c r="V51" s="90"/>
      <c r="W51" s="90"/>
      <c r="X51" s="90"/>
      <c r="Y51" s="90"/>
      <c r="Z51" s="90"/>
    </row>
    <row r="52" spans="1:26" ht="9.75" customHeight="1">
      <c r="A52" s="90"/>
      <c r="B52" s="190">
        <v>23</v>
      </c>
      <c r="C52" s="282">
        <f t="shared" si="3"/>
        <v>14.14</v>
      </c>
      <c r="D52" s="90"/>
      <c r="E52" s="90"/>
      <c r="F52" s="90"/>
      <c r="G52" s="90"/>
      <c r="H52" s="90"/>
      <c r="I52" s="90"/>
      <c r="J52" s="90"/>
      <c r="K52" s="90"/>
      <c r="L52" s="90"/>
      <c r="M52" s="90"/>
      <c r="N52" s="90"/>
      <c r="O52" s="90"/>
      <c r="P52" s="90"/>
      <c r="Q52" s="90"/>
      <c r="R52" s="90"/>
      <c r="S52" s="90"/>
      <c r="T52" s="90"/>
      <c r="U52" s="90"/>
      <c r="V52" s="90"/>
      <c r="W52" s="90"/>
      <c r="X52" s="90"/>
      <c r="Y52" s="90"/>
      <c r="Z52" s="90"/>
    </row>
    <row r="53" spans="1:26" ht="9.75" customHeight="1">
      <c r="A53" s="90"/>
      <c r="B53" s="190">
        <v>24</v>
      </c>
      <c r="C53" s="282">
        <f t="shared" si="3"/>
        <v>14.120000000000001</v>
      </c>
      <c r="D53" s="90"/>
      <c r="E53" s="90"/>
      <c r="F53" s="90"/>
      <c r="G53" s="90"/>
      <c r="H53" s="90"/>
      <c r="I53" s="90"/>
      <c r="J53" s="90"/>
      <c r="K53" s="90"/>
      <c r="L53" s="90"/>
      <c r="M53" s="90"/>
      <c r="N53" s="90"/>
      <c r="O53" s="90"/>
      <c r="P53" s="90"/>
      <c r="Q53" s="90"/>
      <c r="R53" s="90"/>
      <c r="S53" s="90"/>
      <c r="T53" s="90"/>
      <c r="U53" s="90"/>
      <c r="V53" s="90"/>
      <c r="W53" s="90"/>
      <c r="X53" s="90"/>
      <c r="Y53" s="90"/>
      <c r="Z53" s="90"/>
    </row>
    <row r="54" spans="1:26" ht="9.75" customHeight="1">
      <c r="A54" s="90"/>
      <c r="B54" s="190">
        <v>25</v>
      </c>
      <c r="C54" s="282">
        <v>14.1</v>
      </c>
      <c r="D54" s="90"/>
      <c r="E54" s="90"/>
      <c r="F54" s="90"/>
      <c r="G54" s="90"/>
      <c r="H54" s="90"/>
      <c r="I54" s="90"/>
      <c r="J54" s="90"/>
      <c r="K54" s="90"/>
      <c r="L54" s="90"/>
      <c r="M54" s="90"/>
      <c r="N54" s="90"/>
      <c r="O54" s="90"/>
      <c r="P54" s="90"/>
      <c r="Q54" s="90"/>
      <c r="R54" s="90"/>
      <c r="S54" s="90"/>
      <c r="T54" s="90"/>
      <c r="U54" s="90"/>
      <c r="V54" s="90"/>
      <c r="W54" s="90"/>
      <c r="X54" s="90"/>
      <c r="Y54" s="90"/>
      <c r="Z54" s="90"/>
    </row>
    <row r="55" spans="1:26" ht="9.75" customHeight="1">
      <c r="A55" s="90"/>
      <c r="B55" s="190">
        <v>26</v>
      </c>
      <c r="C55" s="282">
        <f t="shared" ref="C55:C58" si="4">C54-($C$54-$C$59)/5</f>
        <v>14.06</v>
      </c>
      <c r="D55" s="90"/>
      <c r="E55" s="90"/>
      <c r="F55" s="90"/>
      <c r="G55" s="90"/>
      <c r="H55" s="90"/>
      <c r="I55" s="90"/>
      <c r="J55" s="90"/>
      <c r="K55" s="90"/>
      <c r="L55" s="90"/>
      <c r="M55" s="90"/>
      <c r="N55" s="90"/>
      <c r="O55" s="90"/>
      <c r="P55" s="90"/>
      <c r="Q55" s="90"/>
      <c r="R55" s="90"/>
      <c r="S55" s="90"/>
      <c r="T55" s="90"/>
      <c r="U55" s="90"/>
      <c r="V55" s="90"/>
      <c r="W55" s="90"/>
      <c r="X55" s="90"/>
      <c r="Y55" s="90"/>
      <c r="Z55" s="90"/>
    </row>
    <row r="56" spans="1:26" ht="9.75" customHeight="1">
      <c r="A56" s="90"/>
      <c r="B56" s="190">
        <v>27</v>
      </c>
      <c r="C56" s="282">
        <f t="shared" si="4"/>
        <v>14.020000000000001</v>
      </c>
      <c r="D56" s="90"/>
      <c r="E56" s="90"/>
      <c r="F56" s="90"/>
      <c r="G56" s="90"/>
      <c r="H56" s="90"/>
      <c r="I56" s="90"/>
      <c r="J56" s="90"/>
      <c r="K56" s="90"/>
      <c r="L56" s="90"/>
      <c r="M56" s="90"/>
      <c r="N56" s="90"/>
      <c r="O56" s="90"/>
      <c r="P56" s="90"/>
      <c r="Q56" s="90"/>
      <c r="R56" s="90"/>
      <c r="S56" s="90"/>
      <c r="T56" s="90"/>
      <c r="U56" s="90"/>
      <c r="V56" s="90"/>
      <c r="W56" s="90"/>
      <c r="X56" s="90"/>
      <c r="Y56" s="90"/>
      <c r="Z56" s="90"/>
    </row>
    <row r="57" spans="1:26" ht="9.75" customHeight="1">
      <c r="A57" s="90"/>
      <c r="B57" s="190">
        <v>28</v>
      </c>
      <c r="C57" s="282">
        <f t="shared" si="4"/>
        <v>13.980000000000002</v>
      </c>
      <c r="D57" s="90"/>
      <c r="E57" s="90"/>
      <c r="F57" s="90"/>
      <c r="G57" s="90"/>
      <c r="H57" s="90"/>
      <c r="I57" s="90"/>
      <c r="J57" s="90"/>
      <c r="K57" s="90"/>
      <c r="L57" s="90"/>
      <c r="M57" s="90"/>
      <c r="N57" s="90"/>
      <c r="O57" s="90"/>
      <c r="P57" s="90"/>
      <c r="Q57" s="90"/>
      <c r="R57" s="90"/>
      <c r="S57" s="90"/>
      <c r="T57" s="90"/>
      <c r="U57" s="90"/>
      <c r="V57" s="90"/>
      <c r="W57" s="90"/>
      <c r="X57" s="90"/>
      <c r="Y57" s="90"/>
      <c r="Z57" s="90"/>
    </row>
    <row r="58" spans="1:26" ht="9.75" customHeight="1">
      <c r="A58" s="90"/>
      <c r="B58" s="190">
        <v>29</v>
      </c>
      <c r="C58" s="282">
        <f t="shared" si="4"/>
        <v>13.940000000000003</v>
      </c>
      <c r="D58" s="90"/>
      <c r="E58" s="90"/>
      <c r="F58" s="90"/>
      <c r="G58" s="90"/>
      <c r="H58" s="90"/>
      <c r="I58" s="90"/>
      <c r="J58" s="90"/>
      <c r="K58" s="90"/>
      <c r="L58" s="90"/>
      <c r="M58" s="90"/>
      <c r="N58" s="90"/>
      <c r="O58" s="90"/>
      <c r="P58" s="90"/>
      <c r="Q58" s="90"/>
      <c r="R58" s="90"/>
      <c r="S58" s="90"/>
      <c r="T58" s="90"/>
      <c r="U58" s="90"/>
      <c r="V58" s="90"/>
      <c r="W58" s="90"/>
      <c r="X58" s="90"/>
      <c r="Y58" s="90"/>
      <c r="Z58" s="90"/>
    </row>
    <row r="59" spans="1:26" ht="9.75" customHeight="1">
      <c r="A59" s="90"/>
      <c r="B59" s="190">
        <v>30</v>
      </c>
      <c r="C59" s="282">
        <v>13.9</v>
      </c>
      <c r="D59" s="90"/>
      <c r="E59" s="90"/>
      <c r="F59" s="90"/>
      <c r="G59" s="90"/>
      <c r="H59" s="90"/>
      <c r="I59" s="90"/>
      <c r="J59" s="90"/>
      <c r="K59" s="90"/>
      <c r="L59" s="90"/>
      <c r="M59" s="90"/>
      <c r="N59" s="90"/>
      <c r="O59" s="90"/>
      <c r="P59" s="90"/>
      <c r="Q59" s="90"/>
      <c r="R59" s="90"/>
      <c r="S59" s="90"/>
      <c r="T59" s="90"/>
      <c r="U59" s="90"/>
      <c r="V59" s="90"/>
      <c r="W59" s="90"/>
      <c r="X59" s="90"/>
      <c r="Y59" s="90"/>
      <c r="Z59" s="90"/>
    </row>
    <row r="60" spans="1:26" ht="9.75" customHeight="1">
      <c r="A60" s="90"/>
      <c r="B60" s="190">
        <v>31</v>
      </c>
      <c r="C60" s="282">
        <f t="shared" ref="C60:C63" si="5">C59-($C$59-$C$64)/5</f>
        <v>13.88</v>
      </c>
      <c r="D60" s="90"/>
      <c r="E60" s="90"/>
      <c r="F60" s="90"/>
      <c r="G60" s="90"/>
      <c r="H60" s="90"/>
      <c r="I60" s="90"/>
      <c r="J60" s="90"/>
      <c r="K60" s="90"/>
      <c r="L60" s="90"/>
      <c r="M60" s="90"/>
      <c r="N60" s="90"/>
      <c r="O60" s="90"/>
      <c r="P60" s="90"/>
      <c r="Q60" s="90"/>
      <c r="R60" s="90"/>
      <c r="S60" s="90"/>
      <c r="T60" s="90"/>
      <c r="U60" s="90"/>
      <c r="V60" s="90"/>
      <c r="W60" s="90"/>
      <c r="X60" s="90"/>
      <c r="Y60" s="90"/>
      <c r="Z60" s="90"/>
    </row>
    <row r="61" spans="1:26" ht="9.75" customHeight="1">
      <c r="A61" s="90"/>
      <c r="B61" s="190">
        <v>32</v>
      </c>
      <c r="C61" s="282">
        <f t="shared" si="5"/>
        <v>13.860000000000001</v>
      </c>
      <c r="D61" s="90"/>
      <c r="E61" s="90"/>
      <c r="F61" s="90"/>
      <c r="G61" s="90"/>
      <c r="H61" s="90"/>
      <c r="I61" s="90"/>
      <c r="J61" s="90"/>
      <c r="K61" s="90"/>
      <c r="L61" s="90"/>
      <c r="M61" s="90"/>
      <c r="N61" s="90"/>
      <c r="O61" s="90"/>
      <c r="P61" s="90"/>
      <c r="Q61" s="90"/>
      <c r="R61" s="90"/>
      <c r="S61" s="90"/>
      <c r="T61" s="90"/>
      <c r="U61" s="90"/>
      <c r="V61" s="90"/>
      <c r="W61" s="90"/>
      <c r="X61" s="90"/>
      <c r="Y61" s="90"/>
      <c r="Z61" s="90"/>
    </row>
    <row r="62" spans="1:26" ht="9.75" customHeight="1">
      <c r="A62" s="90"/>
      <c r="B62" s="190">
        <v>33</v>
      </c>
      <c r="C62" s="282">
        <f t="shared" si="5"/>
        <v>13.840000000000002</v>
      </c>
      <c r="D62" s="90"/>
      <c r="E62" s="90"/>
      <c r="F62" s="90"/>
      <c r="G62" s="90"/>
      <c r="H62" s="90"/>
      <c r="I62" s="90"/>
      <c r="J62" s="90"/>
      <c r="K62" s="90"/>
      <c r="L62" s="90"/>
      <c r="M62" s="90"/>
      <c r="N62" s="90"/>
      <c r="O62" s="90"/>
      <c r="P62" s="90"/>
      <c r="Q62" s="90"/>
      <c r="R62" s="90"/>
      <c r="S62" s="90"/>
      <c r="T62" s="90"/>
      <c r="U62" s="90"/>
      <c r="V62" s="90"/>
      <c r="W62" s="90"/>
      <c r="X62" s="90"/>
      <c r="Y62" s="90"/>
      <c r="Z62" s="90"/>
    </row>
    <row r="63" spans="1:26" ht="9.75" customHeight="1">
      <c r="A63" s="90"/>
      <c r="B63" s="190">
        <v>34</v>
      </c>
      <c r="C63" s="282">
        <f t="shared" si="5"/>
        <v>13.820000000000002</v>
      </c>
      <c r="D63" s="90"/>
      <c r="E63" s="90"/>
      <c r="F63" s="90"/>
      <c r="G63" s="90"/>
      <c r="H63" s="90"/>
      <c r="I63" s="90"/>
      <c r="J63" s="90"/>
      <c r="K63" s="90"/>
      <c r="L63" s="90"/>
      <c r="M63" s="90"/>
      <c r="N63" s="90"/>
      <c r="O63" s="90"/>
      <c r="P63" s="90"/>
      <c r="Q63" s="90"/>
      <c r="R63" s="90"/>
      <c r="S63" s="90"/>
      <c r="T63" s="90"/>
      <c r="U63" s="90"/>
      <c r="V63" s="90"/>
      <c r="W63" s="90"/>
      <c r="X63" s="90"/>
      <c r="Y63" s="90"/>
      <c r="Z63" s="90"/>
    </row>
    <row r="64" spans="1:26" ht="9.75" customHeight="1">
      <c r="A64" s="90"/>
      <c r="B64" s="190">
        <v>35</v>
      </c>
      <c r="C64" s="282">
        <v>13.8</v>
      </c>
      <c r="D64" s="90"/>
      <c r="E64" s="90"/>
      <c r="F64" s="90"/>
      <c r="G64" s="90"/>
      <c r="H64" s="90"/>
      <c r="I64" s="90"/>
      <c r="J64" s="90"/>
      <c r="K64" s="90"/>
      <c r="L64" s="90"/>
      <c r="M64" s="90"/>
      <c r="N64" s="90"/>
      <c r="O64" s="90"/>
      <c r="P64" s="90"/>
      <c r="Q64" s="90"/>
      <c r="R64" s="90"/>
      <c r="S64" s="90"/>
      <c r="T64" s="90"/>
      <c r="U64" s="90"/>
      <c r="V64" s="90"/>
      <c r="W64" s="90"/>
      <c r="X64" s="90"/>
      <c r="Y64" s="90"/>
      <c r="Z64" s="90"/>
    </row>
    <row r="65" spans="1:26" ht="9.75" customHeight="1">
      <c r="A65" s="90"/>
      <c r="B65" s="190">
        <v>36</v>
      </c>
      <c r="C65" s="282">
        <f t="shared" ref="C65:C68" si="6">C64-($C$64-$C$69)/5</f>
        <v>13.76</v>
      </c>
      <c r="D65" s="90"/>
      <c r="E65" s="90"/>
      <c r="F65" s="90"/>
      <c r="G65" s="90"/>
      <c r="H65" s="90"/>
      <c r="I65" s="90"/>
      <c r="J65" s="90"/>
      <c r="K65" s="90"/>
      <c r="L65" s="90"/>
      <c r="M65" s="90"/>
      <c r="N65" s="90"/>
      <c r="O65" s="90"/>
      <c r="P65" s="90"/>
      <c r="Q65" s="90"/>
      <c r="R65" s="90"/>
      <c r="S65" s="90"/>
      <c r="T65" s="90"/>
      <c r="U65" s="90"/>
      <c r="V65" s="90"/>
      <c r="W65" s="90"/>
      <c r="X65" s="90"/>
      <c r="Y65" s="90"/>
      <c r="Z65" s="90"/>
    </row>
    <row r="66" spans="1:26" ht="9.75" customHeight="1">
      <c r="A66" s="90"/>
      <c r="B66" s="190">
        <v>37</v>
      </c>
      <c r="C66" s="282">
        <f t="shared" si="6"/>
        <v>13.719999999999999</v>
      </c>
      <c r="D66" s="90"/>
      <c r="E66" s="90"/>
      <c r="F66" s="90"/>
      <c r="G66" s="90"/>
      <c r="H66" s="90"/>
      <c r="I66" s="90"/>
      <c r="J66" s="90"/>
      <c r="K66" s="90"/>
      <c r="L66" s="90"/>
      <c r="M66" s="90"/>
      <c r="N66" s="90"/>
      <c r="O66" s="90"/>
      <c r="P66" s="90"/>
      <c r="Q66" s="90"/>
      <c r="R66" s="90"/>
      <c r="S66" s="90"/>
      <c r="T66" s="90"/>
      <c r="U66" s="90"/>
      <c r="V66" s="90"/>
      <c r="W66" s="90"/>
      <c r="X66" s="90"/>
      <c r="Y66" s="90"/>
      <c r="Z66" s="90"/>
    </row>
    <row r="67" spans="1:26" ht="9.75" customHeight="1">
      <c r="A67" s="90"/>
      <c r="B67" s="190">
        <v>38</v>
      </c>
      <c r="C67" s="282">
        <f t="shared" si="6"/>
        <v>13.679999999999998</v>
      </c>
      <c r="D67" s="90"/>
      <c r="E67" s="90"/>
      <c r="F67" s="90"/>
      <c r="G67" s="90"/>
      <c r="H67" s="90"/>
      <c r="I67" s="90"/>
      <c r="J67" s="90"/>
      <c r="K67" s="90"/>
      <c r="L67" s="90"/>
      <c r="M67" s="90"/>
      <c r="N67" s="90"/>
      <c r="O67" s="90"/>
      <c r="P67" s="90"/>
      <c r="Q67" s="90"/>
      <c r="R67" s="90"/>
      <c r="S67" s="90"/>
      <c r="T67" s="90"/>
      <c r="U67" s="90"/>
      <c r="V67" s="90"/>
      <c r="W67" s="90"/>
      <c r="X67" s="90"/>
      <c r="Y67" s="90"/>
      <c r="Z67" s="90"/>
    </row>
    <row r="68" spans="1:26" ht="9.75" customHeight="1">
      <c r="A68" s="90"/>
      <c r="B68" s="190">
        <v>39</v>
      </c>
      <c r="C68" s="282">
        <f t="shared" si="6"/>
        <v>13.639999999999997</v>
      </c>
      <c r="D68" s="90"/>
      <c r="E68" s="90"/>
      <c r="F68" s="90"/>
      <c r="G68" s="90"/>
      <c r="H68" s="90"/>
      <c r="I68" s="90"/>
      <c r="J68" s="90"/>
      <c r="K68" s="90"/>
      <c r="L68" s="90"/>
      <c r="M68" s="90"/>
      <c r="N68" s="90"/>
      <c r="O68" s="90"/>
      <c r="P68" s="90"/>
      <c r="Q68" s="90"/>
      <c r="R68" s="90"/>
      <c r="S68" s="90"/>
      <c r="T68" s="90"/>
      <c r="U68" s="90"/>
      <c r="V68" s="90"/>
      <c r="W68" s="90"/>
      <c r="X68" s="90"/>
      <c r="Y68" s="90"/>
      <c r="Z68" s="90"/>
    </row>
    <row r="69" spans="1:26" ht="9.75" customHeight="1">
      <c r="A69" s="90"/>
      <c r="B69" s="190">
        <v>40</v>
      </c>
      <c r="C69" s="282">
        <v>13.6</v>
      </c>
      <c r="D69" s="90"/>
      <c r="E69" s="90"/>
      <c r="F69" s="90"/>
      <c r="G69" s="90"/>
      <c r="H69" s="90"/>
      <c r="I69" s="90"/>
      <c r="J69" s="90"/>
      <c r="K69" s="90"/>
      <c r="L69" s="90"/>
      <c r="M69" s="90"/>
      <c r="N69" s="90"/>
      <c r="O69" s="90"/>
      <c r="P69" s="90"/>
      <c r="Q69" s="90"/>
      <c r="R69" s="90"/>
      <c r="S69" s="90"/>
      <c r="T69" s="90"/>
      <c r="U69" s="90"/>
      <c r="V69" s="90"/>
      <c r="W69" s="90"/>
      <c r="X69" s="90"/>
      <c r="Y69" s="90"/>
      <c r="Z69" s="90"/>
    </row>
    <row r="70" spans="1:26" ht="9.75" customHeight="1">
      <c r="A70" s="90"/>
      <c r="B70" s="190">
        <v>41</v>
      </c>
      <c r="C70" s="282">
        <f t="shared" ref="C70:C78" si="7">C69-($C$69-$C$79)/10</f>
        <v>13.58</v>
      </c>
      <c r="D70" s="90"/>
      <c r="E70" s="90"/>
      <c r="F70" s="90"/>
      <c r="G70" s="90"/>
      <c r="H70" s="90"/>
      <c r="I70" s="90"/>
      <c r="J70" s="90"/>
      <c r="K70" s="90"/>
      <c r="L70" s="90"/>
      <c r="M70" s="90"/>
      <c r="N70" s="90"/>
      <c r="O70" s="90"/>
      <c r="P70" s="90"/>
      <c r="Q70" s="90"/>
      <c r="R70" s="90"/>
      <c r="S70" s="90"/>
      <c r="T70" s="90"/>
      <c r="U70" s="90"/>
      <c r="V70" s="90"/>
      <c r="W70" s="90"/>
      <c r="X70" s="90"/>
      <c r="Y70" s="90"/>
      <c r="Z70" s="90"/>
    </row>
    <row r="71" spans="1:26" ht="9.75" customHeight="1">
      <c r="A71" s="90"/>
      <c r="B71" s="190">
        <v>42</v>
      </c>
      <c r="C71" s="282">
        <f t="shared" si="7"/>
        <v>13.56</v>
      </c>
      <c r="D71" s="90"/>
      <c r="E71" s="90"/>
      <c r="F71" s="90"/>
      <c r="G71" s="90"/>
      <c r="H71" s="90"/>
      <c r="I71" s="90"/>
      <c r="J71" s="90"/>
      <c r="K71" s="90"/>
      <c r="L71" s="90"/>
      <c r="M71" s="90"/>
      <c r="N71" s="90"/>
      <c r="O71" s="90"/>
      <c r="P71" s="90"/>
      <c r="Q71" s="90"/>
      <c r="R71" s="90"/>
      <c r="S71" s="90"/>
      <c r="T71" s="90"/>
      <c r="U71" s="90"/>
      <c r="V71" s="90"/>
      <c r="W71" s="90"/>
      <c r="X71" s="90"/>
      <c r="Y71" s="90"/>
      <c r="Z71" s="90"/>
    </row>
    <row r="72" spans="1:26" ht="9.75" customHeight="1">
      <c r="A72" s="90"/>
      <c r="B72" s="190">
        <v>43</v>
      </c>
      <c r="C72" s="282">
        <f t="shared" si="7"/>
        <v>13.540000000000001</v>
      </c>
      <c r="D72" s="90"/>
      <c r="E72" s="90"/>
      <c r="F72" s="90"/>
      <c r="G72" s="90"/>
      <c r="H72" s="90"/>
      <c r="I72" s="90"/>
      <c r="J72" s="90"/>
      <c r="K72" s="90"/>
      <c r="L72" s="90"/>
      <c r="M72" s="90"/>
      <c r="N72" s="90"/>
      <c r="O72" s="90"/>
      <c r="P72" s="90"/>
      <c r="Q72" s="90"/>
      <c r="R72" s="90"/>
      <c r="S72" s="90"/>
      <c r="T72" s="90"/>
      <c r="U72" s="90"/>
      <c r="V72" s="90"/>
      <c r="W72" s="90"/>
      <c r="X72" s="90"/>
      <c r="Y72" s="90"/>
      <c r="Z72" s="90"/>
    </row>
    <row r="73" spans="1:26" ht="9.75" customHeight="1">
      <c r="A73" s="90"/>
      <c r="B73" s="190">
        <v>44</v>
      </c>
      <c r="C73" s="282">
        <f t="shared" si="7"/>
        <v>13.520000000000001</v>
      </c>
      <c r="D73" s="90"/>
      <c r="E73" s="90"/>
      <c r="F73" s="90"/>
      <c r="G73" s="90"/>
      <c r="H73" s="90"/>
      <c r="I73" s="90"/>
      <c r="J73" s="90"/>
      <c r="K73" s="90"/>
      <c r="L73" s="90"/>
      <c r="M73" s="90"/>
      <c r="N73" s="90"/>
      <c r="O73" s="90"/>
      <c r="P73" s="90"/>
      <c r="Q73" s="90"/>
      <c r="R73" s="90"/>
      <c r="S73" s="90"/>
      <c r="T73" s="90"/>
      <c r="U73" s="90"/>
      <c r="V73" s="90"/>
      <c r="W73" s="90"/>
      <c r="X73" s="90"/>
      <c r="Y73" s="90"/>
      <c r="Z73" s="90"/>
    </row>
    <row r="74" spans="1:26" ht="9.75" customHeight="1">
      <c r="A74" s="90"/>
      <c r="B74" s="190">
        <v>45</v>
      </c>
      <c r="C74" s="282">
        <f t="shared" si="7"/>
        <v>13.500000000000002</v>
      </c>
      <c r="D74" s="90"/>
      <c r="E74" s="90"/>
      <c r="F74" s="90"/>
      <c r="G74" s="90"/>
      <c r="H74" s="90"/>
      <c r="I74" s="90"/>
      <c r="J74" s="90"/>
      <c r="K74" s="90"/>
      <c r="L74" s="90"/>
      <c r="M74" s="90"/>
      <c r="N74" s="90"/>
      <c r="O74" s="90"/>
      <c r="P74" s="90"/>
      <c r="Q74" s="90"/>
      <c r="R74" s="90"/>
      <c r="S74" s="90"/>
      <c r="T74" s="90"/>
      <c r="U74" s="90"/>
      <c r="V74" s="90"/>
      <c r="W74" s="90"/>
      <c r="X74" s="90"/>
      <c r="Y74" s="90"/>
      <c r="Z74" s="90"/>
    </row>
    <row r="75" spans="1:26" ht="9.75" customHeight="1">
      <c r="A75" s="90"/>
      <c r="B75" s="190">
        <v>46</v>
      </c>
      <c r="C75" s="282">
        <f t="shared" si="7"/>
        <v>13.480000000000002</v>
      </c>
      <c r="D75" s="90"/>
      <c r="E75" s="90"/>
      <c r="F75" s="90"/>
      <c r="G75" s="90"/>
      <c r="H75" s="90"/>
      <c r="I75" s="90"/>
      <c r="J75" s="90"/>
      <c r="K75" s="90"/>
      <c r="L75" s="90"/>
      <c r="M75" s="90"/>
      <c r="N75" s="90"/>
      <c r="O75" s="90"/>
      <c r="P75" s="90"/>
      <c r="Q75" s="90"/>
      <c r="R75" s="90"/>
      <c r="S75" s="90"/>
      <c r="T75" s="90"/>
      <c r="U75" s="90"/>
      <c r="V75" s="90"/>
      <c r="W75" s="90"/>
      <c r="X75" s="90"/>
      <c r="Y75" s="90"/>
      <c r="Z75" s="90"/>
    </row>
    <row r="76" spans="1:26" ht="9.75" customHeight="1">
      <c r="A76" s="90"/>
      <c r="B76" s="190">
        <v>47</v>
      </c>
      <c r="C76" s="282">
        <f t="shared" si="7"/>
        <v>13.460000000000003</v>
      </c>
      <c r="D76" s="90"/>
      <c r="E76" s="90"/>
      <c r="F76" s="90"/>
      <c r="G76" s="90"/>
      <c r="H76" s="90"/>
      <c r="I76" s="90"/>
      <c r="J76" s="90"/>
      <c r="K76" s="90"/>
      <c r="L76" s="90"/>
      <c r="M76" s="90"/>
      <c r="N76" s="90"/>
      <c r="O76" s="90"/>
      <c r="P76" s="90"/>
      <c r="Q76" s="90"/>
      <c r="R76" s="90"/>
      <c r="S76" s="90"/>
      <c r="T76" s="90"/>
      <c r="U76" s="90"/>
      <c r="V76" s="90"/>
      <c r="W76" s="90"/>
      <c r="X76" s="90"/>
      <c r="Y76" s="90"/>
      <c r="Z76" s="90"/>
    </row>
    <row r="77" spans="1:26" ht="9.75" customHeight="1">
      <c r="A77" s="90"/>
      <c r="B77" s="190">
        <v>48</v>
      </c>
      <c r="C77" s="282">
        <f t="shared" si="7"/>
        <v>13.440000000000003</v>
      </c>
      <c r="D77" s="90"/>
      <c r="E77" s="90"/>
      <c r="F77" s="90"/>
      <c r="G77" s="90"/>
      <c r="H77" s="90"/>
      <c r="I77" s="90"/>
      <c r="J77" s="90"/>
      <c r="K77" s="90"/>
      <c r="L77" s="90"/>
      <c r="M77" s="90"/>
      <c r="N77" s="90"/>
      <c r="O77" s="90"/>
      <c r="P77" s="90"/>
      <c r="Q77" s="90"/>
      <c r="R77" s="90"/>
      <c r="S77" s="90"/>
      <c r="T77" s="90"/>
      <c r="U77" s="90"/>
      <c r="V77" s="90"/>
      <c r="W77" s="90"/>
      <c r="X77" s="90"/>
      <c r="Y77" s="90"/>
      <c r="Z77" s="90"/>
    </row>
    <row r="78" spans="1:26" ht="9.75" customHeight="1">
      <c r="A78" s="90"/>
      <c r="B78" s="190">
        <v>49</v>
      </c>
      <c r="C78" s="282">
        <f t="shared" si="7"/>
        <v>13.420000000000003</v>
      </c>
      <c r="D78" s="90"/>
      <c r="E78" s="90"/>
      <c r="F78" s="90"/>
      <c r="G78" s="90"/>
      <c r="H78" s="90"/>
      <c r="I78" s="90"/>
      <c r="J78" s="90"/>
      <c r="K78" s="90"/>
      <c r="L78" s="90"/>
      <c r="M78" s="90"/>
      <c r="N78" s="90"/>
      <c r="O78" s="90"/>
      <c r="P78" s="90"/>
      <c r="Q78" s="90"/>
      <c r="R78" s="90"/>
      <c r="S78" s="90"/>
      <c r="T78" s="90"/>
      <c r="U78" s="90"/>
      <c r="V78" s="90"/>
      <c r="W78" s="90"/>
      <c r="X78" s="90"/>
      <c r="Y78" s="90"/>
      <c r="Z78" s="90"/>
    </row>
    <row r="79" spans="1:26" ht="9.75" customHeight="1">
      <c r="A79" s="90"/>
      <c r="B79" s="190">
        <v>50</v>
      </c>
      <c r="C79" s="282">
        <v>13.4</v>
      </c>
      <c r="D79" s="90"/>
      <c r="E79" s="90"/>
      <c r="F79" s="90"/>
      <c r="G79" s="90"/>
      <c r="H79" s="90"/>
      <c r="I79" s="90"/>
      <c r="J79" s="90"/>
      <c r="K79" s="90"/>
      <c r="L79" s="90"/>
      <c r="M79" s="90"/>
      <c r="N79" s="90"/>
      <c r="O79" s="90"/>
      <c r="P79" s="90"/>
      <c r="Q79" s="90"/>
      <c r="R79" s="90"/>
      <c r="S79" s="90"/>
      <c r="T79" s="90"/>
      <c r="U79" s="90"/>
      <c r="V79" s="90"/>
      <c r="W79" s="90"/>
      <c r="X79" s="90"/>
      <c r="Y79" s="90"/>
      <c r="Z79" s="90"/>
    </row>
    <row r="80" spans="1:26" ht="9.75" customHeight="1">
      <c r="A80" s="90"/>
      <c r="B80" s="190">
        <v>51</v>
      </c>
      <c r="C80" s="282">
        <f t="shared" ref="C80:C88" si="8">C79-($C$79-$C$89)/10</f>
        <v>13.370000000000001</v>
      </c>
      <c r="D80" s="90"/>
      <c r="E80" s="90"/>
      <c r="F80" s="90"/>
      <c r="G80" s="90"/>
      <c r="H80" s="90"/>
      <c r="I80" s="90"/>
      <c r="J80" s="90"/>
      <c r="K80" s="90"/>
      <c r="L80" s="90"/>
      <c r="M80" s="90"/>
      <c r="N80" s="90"/>
      <c r="O80" s="90"/>
      <c r="P80" s="90"/>
      <c r="Q80" s="90"/>
      <c r="R80" s="90"/>
      <c r="S80" s="90"/>
      <c r="T80" s="90"/>
      <c r="U80" s="90"/>
      <c r="V80" s="90"/>
      <c r="W80" s="90"/>
      <c r="X80" s="90"/>
      <c r="Y80" s="90"/>
      <c r="Z80" s="90"/>
    </row>
    <row r="81" spans="1:26" ht="9.75" customHeight="1">
      <c r="A81" s="90"/>
      <c r="B81" s="190">
        <v>52</v>
      </c>
      <c r="C81" s="282">
        <f t="shared" si="8"/>
        <v>13.340000000000002</v>
      </c>
      <c r="D81" s="90"/>
      <c r="E81" s="90"/>
      <c r="F81" s="90"/>
      <c r="G81" s="90"/>
      <c r="H81" s="90"/>
      <c r="I81" s="90"/>
      <c r="J81" s="90"/>
      <c r="K81" s="90"/>
      <c r="L81" s="90"/>
      <c r="M81" s="90"/>
      <c r="N81" s="90"/>
      <c r="O81" s="90"/>
      <c r="P81" s="90"/>
      <c r="Q81" s="90"/>
      <c r="R81" s="90"/>
      <c r="S81" s="90"/>
      <c r="T81" s="90"/>
      <c r="U81" s="90"/>
      <c r="V81" s="90"/>
      <c r="W81" s="90"/>
      <c r="X81" s="90"/>
      <c r="Y81" s="90"/>
      <c r="Z81" s="90"/>
    </row>
    <row r="82" spans="1:26" ht="9.75" customHeight="1">
      <c r="A82" s="90"/>
      <c r="B82" s="190">
        <v>53</v>
      </c>
      <c r="C82" s="282">
        <f t="shared" si="8"/>
        <v>13.310000000000002</v>
      </c>
      <c r="D82" s="90"/>
      <c r="E82" s="90"/>
      <c r="F82" s="90"/>
      <c r="G82" s="90"/>
      <c r="H82" s="90"/>
      <c r="I82" s="90"/>
      <c r="J82" s="90"/>
      <c r="K82" s="90"/>
      <c r="L82" s="90"/>
      <c r="M82" s="90"/>
      <c r="N82" s="90"/>
      <c r="O82" s="90"/>
      <c r="P82" s="90"/>
      <c r="Q82" s="90"/>
      <c r="R82" s="90"/>
      <c r="S82" s="90"/>
      <c r="T82" s="90"/>
      <c r="U82" s="90"/>
      <c r="V82" s="90"/>
      <c r="W82" s="90"/>
      <c r="X82" s="90"/>
      <c r="Y82" s="90"/>
      <c r="Z82" s="90"/>
    </row>
    <row r="83" spans="1:26" ht="9.75" customHeight="1">
      <c r="A83" s="90"/>
      <c r="B83" s="190">
        <v>54</v>
      </c>
      <c r="C83" s="282">
        <f t="shared" si="8"/>
        <v>13.280000000000003</v>
      </c>
      <c r="D83" s="90"/>
      <c r="E83" s="90"/>
      <c r="F83" s="90"/>
      <c r="G83" s="90"/>
      <c r="H83" s="90"/>
      <c r="I83" s="90"/>
      <c r="J83" s="90"/>
      <c r="K83" s="90"/>
      <c r="L83" s="90"/>
      <c r="M83" s="90"/>
      <c r="N83" s="90"/>
      <c r="O83" s="90"/>
      <c r="P83" s="90"/>
      <c r="Q83" s="90"/>
      <c r="R83" s="90"/>
      <c r="S83" s="90"/>
      <c r="T83" s="90"/>
      <c r="U83" s="90"/>
      <c r="V83" s="90"/>
      <c r="W83" s="90"/>
      <c r="X83" s="90"/>
      <c r="Y83" s="90"/>
      <c r="Z83" s="90"/>
    </row>
    <row r="84" spans="1:26" ht="9.75" customHeight="1">
      <c r="A84" s="90"/>
      <c r="B84" s="190">
        <v>55</v>
      </c>
      <c r="C84" s="282">
        <f t="shared" si="8"/>
        <v>13.250000000000004</v>
      </c>
      <c r="D84" s="90"/>
      <c r="E84" s="90"/>
      <c r="F84" s="90"/>
      <c r="G84" s="90"/>
      <c r="H84" s="90"/>
      <c r="I84" s="90"/>
      <c r="J84" s="90"/>
      <c r="K84" s="90"/>
      <c r="L84" s="90"/>
      <c r="M84" s="90"/>
      <c r="N84" s="90"/>
      <c r="O84" s="90"/>
      <c r="P84" s="90"/>
      <c r="Q84" s="90"/>
      <c r="R84" s="90"/>
      <c r="S84" s="90"/>
      <c r="T84" s="90"/>
      <c r="U84" s="90"/>
      <c r="V84" s="90"/>
      <c r="W84" s="90"/>
      <c r="X84" s="90"/>
      <c r="Y84" s="90"/>
      <c r="Z84" s="90"/>
    </row>
    <row r="85" spans="1:26" ht="9.75" customHeight="1">
      <c r="A85" s="90"/>
      <c r="B85" s="190">
        <v>56</v>
      </c>
      <c r="C85" s="282">
        <f t="shared" si="8"/>
        <v>13.220000000000004</v>
      </c>
      <c r="D85" s="90"/>
      <c r="E85" s="90"/>
      <c r="F85" s="90"/>
      <c r="G85" s="90"/>
      <c r="H85" s="90"/>
      <c r="I85" s="90"/>
      <c r="J85" s="90"/>
      <c r="K85" s="90"/>
      <c r="L85" s="90"/>
      <c r="M85" s="90"/>
      <c r="N85" s="90"/>
      <c r="O85" s="90"/>
      <c r="P85" s="90"/>
      <c r="Q85" s="90"/>
      <c r="R85" s="90"/>
      <c r="S85" s="90"/>
      <c r="T85" s="90"/>
      <c r="U85" s="90"/>
      <c r="V85" s="90"/>
      <c r="W85" s="90"/>
      <c r="X85" s="90"/>
      <c r="Y85" s="90"/>
      <c r="Z85" s="90"/>
    </row>
    <row r="86" spans="1:26" ht="9.75" customHeight="1">
      <c r="A86" s="90"/>
      <c r="B86" s="190">
        <v>57</v>
      </c>
      <c r="C86" s="282">
        <f t="shared" si="8"/>
        <v>13.190000000000005</v>
      </c>
      <c r="D86" s="90"/>
      <c r="E86" s="90"/>
      <c r="F86" s="90"/>
      <c r="G86" s="90"/>
      <c r="H86" s="90"/>
      <c r="I86" s="90"/>
      <c r="J86" s="90"/>
      <c r="K86" s="90"/>
      <c r="L86" s="90"/>
      <c r="M86" s="90"/>
      <c r="N86" s="90"/>
      <c r="O86" s="90"/>
      <c r="P86" s="90"/>
      <c r="Q86" s="90"/>
      <c r="R86" s="90"/>
      <c r="S86" s="90"/>
      <c r="T86" s="90"/>
      <c r="U86" s="90"/>
      <c r="V86" s="90"/>
      <c r="W86" s="90"/>
      <c r="X86" s="90"/>
      <c r="Y86" s="90"/>
      <c r="Z86" s="90"/>
    </row>
    <row r="87" spans="1:26" ht="9.75" customHeight="1">
      <c r="A87" s="90"/>
      <c r="B87" s="190">
        <v>58</v>
      </c>
      <c r="C87" s="282">
        <f t="shared" si="8"/>
        <v>13.160000000000005</v>
      </c>
      <c r="D87" s="90"/>
      <c r="E87" s="90"/>
      <c r="F87" s="90"/>
      <c r="G87" s="90"/>
      <c r="H87" s="90"/>
      <c r="I87" s="90"/>
      <c r="J87" s="90"/>
      <c r="K87" s="90"/>
      <c r="L87" s="90"/>
      <c r="M87" s="90"/>
      <c r="N87" s="90"/>
      <c r="O87" s="90"/>
      <c r="P87" s="90"/>
      <c r="Q87" s="90"/>
      <c r="R87" s="90"/>
      <c r="S87" s="90"/>
      <c r="T87" s="90"/>
      <c r="U87" s="90"/>
      <c r="V87" s="90"/>
      <c r="W87" s="90"/>
      <c r="X87" s="90"/>
      <c r="Y87" s="90"/>
      <c r="Z87" s="90"/>
    </row>
    <row r="88" spans="1:26" ht="9.75" customHeight="1">
      <c r="A88" s="90"/>
      <c r="B88" s="190">
        <v>59</v>
      </c>
      <c r="C88" s="282">
        <f t="shared" si="8"/>
        <v>13.130000000000006</v>
      </c>
      <c r="D88" s="90"/>
      <c r="E88" s="90"/>
      <c r="F88" s="90"/>
      <c r="G88" s="90"/>
      <c r="H88" s="90"/>
      <c r="I88" s="90"/>
      <c r="J88" s="90"/>
      <c r="K88" s="90"/>
      <c r="L88" s="90"/>
      <c r="M88" s="90"/>
      <c r="N88" s="90"/>
      <c r="O88" s="90"/>
      <c r="P88" s="90"/>
      <c r="Q88" s="90"/>
      <c r="R88" s="90"/>
      <c r="S88" s="90"/>
      <c r="T88" s="90"/>
      <c r="U88" s="90"/>
      <c r="V88" s="90"/>
      <c r="W88" s="90"/>
      <c r="X88" s="90"/>
      <c r="Y88" s="90"/>
      <c r="Z88" s="90"/>
    </row>
    <row r="89" spans="1:26" ht="9.75" customHeight="1">
      <c r="A89" s="90"/>
      <c r="B89" s="190">
        <v>60</v>
      </c>
      <c r="C89" s="282">
        <v>13.1</v>
      </c>
      <c r="D89" s="90"/>
      <c r="E89" s="90"/>
      <c r="F89" s="90"/>
      <c r="G89" s="90"/>
      <c r="H89" s="90"/>
      <c r="I89" s="90"/>
      <c r="J89" s="90"/>
      <c r="K89" s="90"/>
      <c r="L89" s="90"/>
      <c r="M89" s="90"/>
      <c r="N89" s="90"/>
      <c r="O89" s="90"/>
      <c r="P89" s="90"/>
      <c r="Q89" s="90"/>
      <c r="R89" s="90"/>
      <c r="S89" s="90"/>
      <c r="T89" s="90"/>
      <c r="U89" s="90"/>
      <c r="V89" s="90"/>
      <c r="W89" s="90"/>
      <c r="X89" s="90"/>
      <c r="Y89" s="90"/>
      <c r="Z89" s="90"/>
    </row>
    <row r="90" spans="1:26" ht="9.75" customHeight="1">
      <c r="A90" s="90"/>
      <c r="B90" s="190">
        <v>61</v>
      </c>
      <c r="C90" s="282">
        <f t="shared" ref="C90:C98" si="9">C89-($C$89-$C$99)/10</f>
        <v>13.08</v>
      </c>
      <c r="D90" s="90"/>
      <c r="E90" s="90"/>
      <c r="F90" s="90"/>
      <c r="G90" s="90"/>
      <c r="H90" s="90"/>
      <c r="I90" s="90"/>
      <c r="J90" s="90"/>
      <c r="K90" s="90"/>
      <c r="L90" s="90"/>
      <c r="M90" s="90"/>
      <c r="N90" s="90"/>
      <c r="O90" s="90"/>
      <c r="P90" s="90"/>
      <c r="Q90" s="90"/>
      <c r="R90" s="90"/>
      <c r="S90" s="90"/>
      <c r="T90" s="90"/>
      <c r="U90" s="90"/>
      <c r="V90" s="90"/>
      <c r="W90" s="90"/>
      <c r="X90" s="90"/>
      <c r="Y90" s="90"/>
      <c r="Z90" s="90"/>
    </row>
    <row r="91" spans="1:26" ht="9.75" customHeight="1">
      <c r="A91" s="90"/>
      <c r="B91" s="190">
        <v>62</v>
      </c>
      <c r="C91" s="282">
        <f t="shared" si="9"/>
        <v>13.06</v>
      </c>
      <c r="D91" s="90"/>
      <c r="E91" s="466"/>
      <c r="F91" s="466"/>
      <c r="G91" s="90"/>
      <c r="H91" s="90"/>
      <c r="I91" s="90"/>
      <c r="J91" s="90"/>
      <c r="K91" s="90"/>
      <c r="L91" s="90"/>
      <c r="M91" s="90"/>
      <c r="N91" s="90"/>
      <c r="O91" s="90"/>
      <c r="P91" s="90"/>
      <c r="Q91" s="90"/>
      <c r="R91" s="90"/>
      <c r="S91" s="90"/>
      <c r="T91" s="90"/>
      <c r="U91" s="90"/>
      <c r="V91" s="90"/>
      <c r="W91" s="90"/>
      <c r="X91" s="90"/>
      <c r="Y91" s="90"/>
      <c r="Z91" s="90"/>
    </row>
    <row r="92" spans="1:26" ht="9.75" customHeight="1">
      <c r="A92" s="90"/>
      <c r="B92" s="190">
        <v>63</v>
      </c>
      <c r="C92" s="282">
        <f t="shared" si="9"/>
        <v>13.040000000000001</v>
      </c>
      <c r="D92" s="90"/>
      <c r="E92" s="467"/>
      <c r="F92" s="466"/>
      <c r="G92" s="90"/>
      <c r="H92" s="90"/>
      <c r="I92" s="90"/>
      <c r="J92" s="90"/>
      <c r="K92" s="90"/>
      <c r="L92" s="90"/>
      <c r="M92" s="90"/>
      <c r="N92" s="90"/>
      <c r="O92" s="90"/>
      <c r="P92" s="90"/>
      <c r="Q92" s="90"/>
      <c r="R92" s="90"/>
      <c r="S92" s="90"/>
      <c r="T92" s="90"/>
      <c r="U92" s="90"/>
      <c r="V92" s="90"/>
      <c r="W92" s="90"/>
      <c r="X92" s="90"/>
      <c r="Y92" s="90"/>
      <c r="Z92" s="90"/>
    </row>
    <row r="93" spans="1:26" ht="9.75" customHeight="1">
      <c r="A93" s="90"/>
      <c r="B93" s="190">
        <v>64</v>
      </c>
      <c r="C93" s="282">
        <f t="shared" si="9"/>
        <v>13.020000000000001</v>
      </c>
      <c r="D93" s="90"/>
      <c r="E93" s="466"/>
      <c r="F93" s="466"/>
      <c r="G93" s="90"/>
      <c r="H93" s="90"/>
      <c r="I93" s="90"/>
      <c r="J93" s="90"/>
      <c r="K93" s="90"/>
      <c r="L93" s="90"/>
      <c r="M93" s="90"/>
      <c r="N93" s="90"/>
      <c r="O93" s="90"/>
      <c r="P93" s="90"/>
      <c r="Q93" s="90"/>
      <c r="R93" s="90"/>
      <c r="S93" s="90"/>
      <c r="T93" s="90"/>
      <c r="U93" s="90"/>
      <c r="V93" s="90"/>
      <c r="W93" s="90"/>
      <c r="X93" s="90"/>
      <c r="Y93" s="90"/>
      <c r="Z93" s="90"/>
    </row>
    <row r="94" spans="1:26" ht="9.75" customHeight="1">
      <c r="A94" s="90"/>
      <c r="B94" s="190">
        <v>65</v>
      </c>
      <c r="C94" s="282">
        <f t="shared" si="9"/>
        <v>13.000000000000002</v>
      </c>
      <c r="D94" s="90"/>
      <c r="E94" s="90"/>
      <c r="F94" s="90"/>
      <c r="G94" s="90"/>
      <c r="H94" s="90"/>
      <c r="I94" s="90"/>
      <c r="J94" s="90"/>
      <c r="K94" s="90"/>
      <c r="L94" s="90"/>
      <c r="M94" s="90"/>
      <c r="N94" s="90"/>
      <c r="O94" s="90"/>
      <c r="P94" s="90"/>
      <c r="Q94" s="90"/>
      <c r="R94" s="90"/>
      <c r="S94" s="90"/>
      <c r="T94" s="90"/>
      <c r="U94" s="90"/>
      <c r="V94" s="90"/>
      <c r="W94" s="90"/>
      <c r="X94" s="90"/>
      <c r="Y94" s="90"/>
      <c r="Z94" s="90"/>
    </row>
    <row r="95" spans="1:26" ht="9.75" customHeight="1">
      <c r="A95" s="90"/>
      <c r="B95" s="190">
        <v>66</v>
      </c>
      <c r="C95" s="282">
        <f t="shared" si="9"/>
        <v>12.980000000000002</v>
      </c>
      <c r="D95" s="90"/>
      <c r="E95" s="90"/>
      <c r="F95" s="90"/>
      <c r="G95" s="90"/>
      <c r="H95" s="90"/>
      <c r="I95" s="90"/>
      <c r="J95" s="90"/>
      <c r="K95" s="90"/>
      <c r="L95" s="90"/>
      <c r="M95" s="90"/>
      <c r="N95" s="90"/>
      <c r="O95" s="90"/>
      <c r="P95" s="90"/>
      <c r="Q95" s="90"/>
      <c r="R95" s="90"/>
      <c r="S95" s="90"/>
      <c r="T95" s="90"/>
      <c r="U95" s="90"/>
      <c r="V95" s="90"/>
      <c r="W95" s="90"/>
      <c r="X95" s="90"/>
      <c r="Y95" s="90"/>
      <c r="Z95" s="90"/>
    </row>
    <row r="96" spans="1:26" ht="9.75" customHeight="1">
      <c r="A96" s="90"/>
      <c r="B96" s="190">
        <v>67</v>
      </c>
      <c r="C96" s="282">
        <f t="shared" si="9"/>
        <v>12.960000000000003</v>
      </c>
      <c r="D96" s="90"/>
      <c r="E96" s="90"/>
      <c r="F96" s="90"/>
      <c r="G96" s="90"/>
      <c r="H96" s="90"/>
      <c r="I96" s="90"/>
      <c r="J96" s="90"/>
      <c r="K96" s="90"/>
      <c r="L96" s="90"/>
      <c r="M96" s="90"/>
      <c r="N96" s="90"/>
      <c r="O96" s="90"/>
      <c r="P96" s="90"/>
      <c r="Q96" s="90"/>
      <c r="R96" s="90"/>
      <c r="S96" s="90"/>
      <c r="T96" s="90"/>
      <c r="U96" s="90"/>
      <c r="V96" s="90"/>
      <c r="W96" s="90"/>
      <c r="X96" s="90"/>
      <c r="Y96" s="90"/>
      <c r="Z96" s="90"/>
    </row>
    <row r="97" spans="1:26" ht="9.75" customHeight="1">
      <c r="A97" s="90"/>
      <c r="B97" s="190">
        <v>68</v>
      </c>
      <c r="C97" s="282">
        <f t="shared" si="9"/>
        <v>12.940000000000003</v>
      </c>
      <c r="D97" s="90"/>
      <c r="E97" s="90"/>
      <c r="F97" s="90"/>
      <c r="G97" s="90"/>
      <c r="H97" s="90"/>
      <c r="I97" s="90"/>
      <c r="J97" s="90"/>
      <c r="K97" s="90"/>
      <c r="L97" s="90"/>
      <c r="M97" s="90"/>
      <c r="N97" s="90"/>
      <c r="O97" s="90"/>
      <c r="P97" s="90"/>
      <c r="Q97" s="90"/>
      <c r="R97" s="90"/>
      <c r="S97" s="90"/>
      <c r="T97" s="90"/>
      <c r="U97" s="90"/>
      <c r="V97" s="90"/>
      <c r="W97" s="90"/>
      <c r="X97" s="90"/>
      <c r="Y97" s="90"/>
      <c r="Z97" s="90"/>
    </row>
    <row r="98" spans="1:26" ht="9.75" customHeight="1">
      <c r="A98" s="90"/>
      <c r="B98" s="190">
        <v>69</v>
      </c>
      <c r="C98" s="282">
        <f t="shared" si="9"/>
        <v>12.920000000000003</v>
      </c>
      <c r="D98" s="90"/>
      <c r="E98" s="90"/>
      <c r="F98" s="90"/>
      <c r="G98" s="90"/>
      <c r="H98" s="90"/>
      <c r="I98" s="90"/>
      <c r="J98" s="90"/>
      <c r="K98" s="90"/>
      <c r="L98" s="90"/>
      <c r="M98" s="90"/>
      <c r="N98" s="90"/>
      <c r="O98" s="90"/>
      <c r="P98" s="90"/>
      <c r="Q98" s="90"/>
      <c r="R98" s="90"/>
      <c r="S98" s="90"/>
      <c r="T98" s="90"/>
      <c r="U98" s="90"/>
      <c r="V98" s="90"/>
      <c r="W98" s="90"/>
      <c r="X98" s="90"/>
      <c r="Y98" s="90"/>
      <c r="Z98" s="90"/>
    </row>
    <row r="99" spans="1:26" ht="9.75" customHeight="1">
      <c r="A99" s="90"/>
      <c r="B99" s="190">
        <v>70</v>
      </c>
      <c r="C99" s="282">
        <v>12.9</v>
      </c>
      <c r="D99" s="90"/>
      <c r="E99" s="90"/>
      <c r="F99" s="90"/>
      <c r="G99" s="90"/>
      <c r="H99" s="90"/>
      <c r="I99" s="90"/>
      <c r="J99" s="90"/>
      <c r="K99" s="90"/>
      <c r="L99" s="90"/>
      <c r="M99" s="90"/>
      <c r="N99" s="90"/>
      <c r="O99" s="90"/>
      <c r="P99" s="90"/>
      <c r="Q99" s="90"/>
      <c r="R99" s="90"/>
      <c r="S99" s="90"/>
      <c r="T99" s="90"/>
      <c r="U99" s="90"/>
      <c r="V99" s="90"/>
      <c r="W99" s="90"/>
      <c r="X99" s="90"/>
      <c r="Y99" s="90"/>
      <c r="Z99" s="90"/>
    </row>
    <row r="100" spans="1:26" ht="9.75" customHeight="1">
      <c r="A100" s="90"/>
      <c r="B100" s="190">
        <v>71</v>
      </c>
      <c r="C100" s="282">
        <f t="shared" ref="C100:C108" si="10">C99-($C$99-$C$109)/10</f>
        <v>12.88</v>
      </c>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9.75" customHeight="1">
      <c r="A101" s="90"/>
      <c r="B101" s="190">
        <v>72</v>
      </c>
      <c r="C101" s="282">
        <f t="shared" si="10"/>
        <v>12.860000000000001</v>
      </c>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9.75" customHeight="1">
      <c r="A102" s="90"/>
      <c r="B102" s="190">
        <v>73</v>
      </c>
      <c r="C102" s="282">
        <f t="shared" si="10"/>
        <v>12.840000000000002</v>
      </c>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9.75" customHeight="1">
      <c r="A103" s="90"/>
      <c r="B103" s="190">
        <v>74</v>
      </c>
      <c r="C103" s="282">
        <f t="shared" si="10"/>
        <v>12.820000000000002</v>
      </c>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9.75" customHeight="1">
      <c r="A104" s="90"/>
      <c r="B104" s="190">
        <v>75</v>
      </c>
      <c r="C104" s="282">
        <f t="shared" si="10"/>
        <v>12.800000000000002</v>
      </c>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9.75" customHeight="1">
      <c r="A105" s="90"/>
      <c r="B105" s="190">
        <v>76</v>
      </c>
      <c r="C105" s="282">
        <f t="shared" si="10"/>
        <v>12.780000000000003</v>
      </c>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9.75" customHeight="1">
      <c r="A106" s="90"/>
      <c r="B106" s="190">
        <v>77</v>
      </c>
      <c r="C106" s="282">
        <f t="shared" si="10"/>
        <v>12.760000000000003</v>
      </c>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9.75" customHeight="1">
      <c r="A107" s="90"/>
      <c r="B107" s="190">
        <v>78</v>
      </c>
      <c r="C107" s="282">
        <f t="shared" si="10"/>
        <v>12.740000000000004</v>
      </c>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9.75" customHeight="1">
      <c r="A108" s="90"/>
      <c r="B108" s="190">
        <v>79</v>
      </c>
      <c r="C108" s="282">
        <f t="shared" si="10"/>
        <v>12.720000000000004</v>
      </c>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9.75" customHeight="1">
      <c r="A109" s="90"/>
      <c r="B109" s="190">
        <v>80</v>
      </c>
      <c r="C109" s="282">
        <v>12.7</v>
      </c>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9.75" customHeight="1">
      <c r="A110" s="90"/>
      <c r="B110" s="190">
        <v>81</v>
      </c>
      <c r="C110" s="282">
        <f t="shared" ref="C110:C118" si="11">C109-($C$109-$C$119)/10</f>
        <v>12.68</v>
      </c>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9.75" customHeight="1">
      <c r="A111" s="90"/>
      <c r="B111" s="190">
        <v>82</v>
      </c>
      <c r="C111" s="282">
        <f t="shared" si="11"/>
        <v>12.66</v>
      </c>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9.75" customHeight="1">
      <c r="A112" s="90"/>
      <c r="B112" s="190">
        <v>83</v>
      </c>
      <c r="C112" s="282">
        <f t="shared" si="11"/>
        <v>12.64</v>
      </c>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9.75" customHeight="1">
      <c r="A113" s="90"/>
      <c r="B113" s="190">
        <v>84</v>
      </c>
      <c r="C113" s="282">
        <f t="shared" si="11"/>
        <v>12.620000000000001</v>
      </c>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9.75" customHeight="1">
      <c r="A114" s="90"/>
      <c r="B114" s="190">
        <v>85</v>
      </c>
      <c r="C114" s="282">
        <f t="shared" si="11"/>
        <v>12.600000000000001</v>
      </c>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9.75" customHeight="1">
      <c r="A115" s="90"/>
      <c r="B115" s="190">
        <v>86</v>
      </c>
      <c r="C115" s="282">
        <f t="shared" si="11"/>
        <v>12.580000000000002</v>
      </c>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9.75" customHeight="1">
      <c r="A116" s="90"/>
      <c r="B116" s="190">
        <v>87</v>
      </c>
      <c r="C116" s="282">
        <f t="shared" si="11"/>
        <v>12.560000000000002</v>
      </c>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9.75" customHeight="1">
      <c r="A117" s="90"/>
      <c r="B117" s="190">
        <v>88</v>
      </c>
      <c r="C117" s="282">
        <f t="shared" si="11"/>
        <v>12.540000000000003</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9.75" customHeight="1">
      <c r="A118" s="90"/>
      <c r="B118" s="190">
        <v>89</v>
      </c>
      <c r="C118" s="282">
        <f t="shared" si="11"/>
        <v>12.520000000000003</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9.75" customHeight="1">
      <c r="A119" s="90"/>
      <c r="B119" s="190">
        <v>90</v>
      </c>
      <c r="C119" s="282">
        <v>12.5</v>
      </c>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9.75" customHeight="1">
      <c r="A120" s="90"/>
      <c r="B120" s="190">
        <v>91</v>
      </c>
      <c r="C120" s="282">
        <f t="shared" ref="C120:C128" si="12">C119-($C$119-$C$129)/10</f>
        <v>12.48</v>
      </c>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9.75" customHeight="1">
      <c r="A121" s="90"/>
      <c r="B121" s="190">
        <v>92</v>
      </c>
      <c r="C121" s="282">
        <f t="shared" si="12"/>
        <v>12.46</v>
      </c>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9.75" customHeight="1">
      <c r="A122" s="90"/>
      <c r="B122" s="190">
        <v>93</v>
      </c>
      <c r="C122" s="282">
        <f t="shared" si="12"/>
        <v>12.440000000000001</v>
      </c>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9.75" customHeight="1">
      <c r="A123" s="90"/>
      <c r="B123" s="190">
        <v>94</v>
      </c>
      <c r="C123" s="282">
        <f t="shared" si="12"/>
        <v>12.420000000000002</v>
      </c>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9.75" customHeight="1">
      <c r="A124" s="90"/>
      <c r="B124" s="190">
        <v>95</v>
      </c>
      <c r="C124" s="282">
        <f t="shared" si="12"/>
        <v>12.400000000000002</v>
      </c>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9.75" customHeight="1">
      <c r="A125" s="90"/>
      <c r="B125" s="190">
        <v>96</v>
      </c>
      <c r="C125" s="282">
        <f t="shared" si="12"/>
        <v>12.380000000000003</v>
      </c>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9.75" customHeight="1">
      <c r="A126" s="90"/>
      <c r="B126" s="190">
        <v>97</v>
      </c>
      <c r="C126" s="282">
        <f t="shared" si="12"/>
        <v>12.360000000000003</v>
      </c>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9.75" customHeight="1">
      <c r="A127" s="90"/>
      <c r="B127" s="190">
        <v>98</v>
      </c>
      <c r="C127" s="282">
        <f t="shared" si="12"/>
        <v>12.340000000000003</v>
      </c>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9.75" customHeight="1">
      <c r="A128" s="90"/>
      <c r="B128" s="190">
        <v>99</v>
      </c>
      <c r="C128" s="282">
        <f t="shared" si="12"/>
        <v>12.320000000000004</v>
      </c>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9.75" customHeight="1">
      <c r="A129" s="90"/>
      <c r="B129" s="274">
        <v>100</v>
      </c>
      <c r="C129" s="288">
        <v>12.3</v>
      </c>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9.7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9.75" customHeight="1">
      <c r="A131" s="90"/>
      <c r="B131" s="468" t="s">
        <v>1041</v>
      </c>
      <c r="C131" s="165"/>
      <c r="D131" s="166"/>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9.75" customHeight="1">
      <c r="A132" s="90"/>
      <c r="B132" s="469" t="s">
        <v>862</v>
      </c>
      <c r="C132" s="470">
        <v>101325</v>
      </c>
      <c r="D132" s="454" t="s">
        <v>688</v>
      </c>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9.75" customHeight="1">
      <c r="A133" s="90"/>
      <c r="B133" s="190" t="s">
        <v>841</v>
      </c>
      <c r="C133" s="191">
        <v>1</v>
      </c>
      <c r="D133" s="282" t="s">
        <v>322</v>
      </c>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9.75" customHeight="1">
      <c r="A134" s="90"/>
      <c r="B134" s="190" t="s">
        <v>999</v>
      </c>
      <c r="C134" s="265">
        <f>(C132*C133)/(C135*C136)</f>
        <v>41.592292095494173</v>
      </c>
      <c r="D134" s="282" t="s">
        <v>1042</v>
      </c>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9.75" customHeight="1">
      <c r="A135" s="90"/>
      <c r="B135" s="190" t="s">
        <v>900</v>
      </c>
      <c r="C135" s="191">
        <v>8.3145000000000007</v>
      </c>
      <c r="D135" s="282" t="s">
        <v>1043</v>
      </c>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9.75" customHeight="1">
      <c r="A136" s="90"/>
      <c r="B136" s="274" t="s">
        <v>838</v>
      </c>
      <c r="C136" s="275">
        <v>293</v>
      </c>
      <c r="D136" s="288" t="s">
        <v>940</v>
      </c>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9.7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9.75" customHeight="1">
      <c r="A138" s="90"/>
      <c r="B138" s="452" t="s">
        <v>1044</v>
      </c>
      <c r="C138" s="453"/>
      <c r="D138" s="454"/>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9.75" customHeight="1">
      <c r="A139" s="90"/>
      <c r="B139" s="190" t="s">
        <v>1045</v>
      </c>
      <c r="C139" s="257">
        <f>0.21-((0.21/0.99)*(C141-0.01))</f>
        <v>0.20893939393939392</v>
      </c>
      <c r="D139" s="282"/>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9.75" customHeight="1">
      <c r="A140" s="90"/>
      <c r="B140" s="190" t="s">
        <v>1046</v>
      </c>
      <c r="C140" s="257">
        <f>0.78-((0.78/0.99)*(C141-0.01))</f>
        <v>0.77606060606060612</v>
      </c>
      <c r="D140" s="282"/>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9.75" customHeight="1">
      <c r="A141" s="90"/>
      <c r="B141" s="190" t="s">
        <v>1047</v>
      </c>
      <c r="C141" s="257">
        <v>1.4999999999999999E-2</v>
      </c>
      <c r="D141" s="282"/>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9.75" customHeight="1">
      <c r="A142" s="90"/>
      <c r="B142" s="190" t="s">
        <v>494</v>
      </c>
      <c r="C142" s="257">
        <f>SUM(C139:C141)</f>
        <v>1</v>
      </c>
      <c r="D142" s="282"/>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9.75" customHeight="1">
      <c r="A143" s="90"/>
      <c r="B143" s="190"/>
      <c r="C143" s="249"/>
      <c r="D143" s="282"/>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9.75" customHeight="1">
      <c r="A144" s="90"/>
      <c r="B144" s="190" t="s">
        <v>1048</v>
      </c>
      <c r="C144" s="265">
        <f>C139*C134*(2*15.99)/1000</f>
        <v>0.27791478032938988</v>
      </c>
      <c r="D144" s="282" t="s">
        <v>519</v>
      </c>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9.75" customHeight="1">
      <c r="A145" s="90"/>
      <c r="B145" s="190" t="s">
        <v>1049</v>
      </c>
      <c r="C145" s="265">
        <f>C140*C134*(2*14.06)/1000</f>
        <v>0.90766128023954062</v>
      </c>
      <c r="D145" s="282" t="s">
        <v>519</v>
      </c>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9.75" customHeight="1">
      <c r="A146" s="90"/>
      <c r="B146" s="190" t="s">
        <v>1050</v>
      </c>
      <c r="C146" s="265">
        <f>C141*C134*(2*1+15.99)/1000</f>
        <v>1.1223680021969102E-2</v>
      </c>
      <c r="D146" s="282" t="s">
        <v>519</v>
      </c>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9.75" customHeight="1">
      <c r="A147" s="90"/>
      <c r="B147" s="274" t="s">
        <v>494</v>
      </c>
      <c r="C147" s="471">
        <f>SUM(C144:C146)</f>
        <v>1.1967997405908997</v>
      </c>
      <c r="D147" s="288" t="s">
        <v>519</v>
      </c>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9.75" customHeight="1">
      <c r="A148" s="90"/>
      <c r="B148" s="90"/>
      <c r="C148" s="183"/>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9.75" customHeight="1">
      <c r="A149" s="90"/>
      <c r="B149" s="452" t="s">
        <v>1051</v>
      </c>
      <c r="C149" s="472"/>
      <c r="D149" s="453"/>
      <c r="E149" s="453"/>
      <c r="F149" s="453"/>
      <c r="G149" s="473" t="s">
        <v>1052</v>
      </c>
      <c r="H149" s="473"/>
      <c r="I149" s="474"/>
      <c r="J149" s="90"/>
      <c r="K149" s="90"/>
      <c r="L149" s="90"/>
      <c r="M149" s="90"/>
      <c r="N149" s="90"/>
      <c r="O149" s="90"/>
      <c r="P149" s="90"/>
      <c r="Q149" s="90"/>
      <c r="R149" s="90"/>
      <c r="S149" s="90"/>
      <c r="T149" s="90"/>
      <c r="U149" s="90"/>
      <c r="V149" s="90"/>
      <c r="W149" s="90"/>
      <c r="X149" s="90"/>
      <c r="Y149" s="90"/>
      <c r="Z149" s="90"/>
    </row>
    <row r="150" spans="1:26" ht="9.75" customHeight="1">
      <c r="A150" s="90"/>
      <c r="B150" s="475" t="s">
        <v>1053</v>
      </c>
      <c r="C150" s="255" t="s">
        <v>1054</v>
      </c>
      <c r="D150" s="255" t="s">
        <v>1055</v>
      </c>
      <c r="E150" s="255" t="s">
        <v>1056</v>
      </c>
      <c r="F150" s="255" t="s">
        <v>1057</v>
      </c>
      <c r="G150" s="211" t="s">
        <v>1058</v>
      </c>
      <c r="H150" s="211" t="s">
        <v>1059</v>
      </c>
      <c r="I150" s="476" t="s">
        <v>1060</v>
      </c>
      <c r="J150" s="90"/>
      <c r="K150" s="90"/>
      <c r="L150" s="90"/>
      <c r="M150" s="90"/>
      <c r="N150" s="90"/>
      <c r="O150" s="90"/>
      <c r="P150" s="90"/>
      <c r="Q150" s="90"/>
      <c r="R150" s="90"/>
      <c r="S150" s="90"/>
      <c r="T150" s="90"/>
      <c r="U150" s="90"/>
      <c r="V150" s="90"/>
      <c r="W150" s="90"/>
      <c r="X150" s="90"/>
      <c r="Y150" s="90"/>
      <c r="Z150" s="90"/>
    </row>
    <row r="151" spans="1:26" ht="9.75" customHeight="1">
      <c r="A151" s="90"/>
      <c r="B151" s="190" t="s">
        <v>805</v>
      </c>
      <c r="C151" s="265">
        <f>C134*12/1000</f>
        <v>0.49910750514593005</v>
      </c>
      <c r="D151" s="265">
        <f>(32/12)*C151</f>
        <v>1.3309533470558135</v>
      </c>
      <c r="E151" s="191"/>
      <c r="F151" s="191"/>
      <c r="G151" s="191" t="s">
        <v>1061</v>
      </c>
      <c r="H151" s="261">
        <f>C151*1000/12</f>
        <v>41.592292095494173</v>
      </c>
      <c r="I151" s="477">
        <f t="shared" ref="I151:I155" si="13">(H151)/$C$134</f>
        <v>1</v>
      </c>
      <c r="J151" s="90"/>
      <c r="K151" s="90"/>
      <c r="L151" s="90"/>
      <c r="M151" s="90"/>
      <c r="N151" s="90"/>
      <c r="O151" s="90"/>
      <c r="P151" s="90"/>
      <c r="Q151" s="90"/>
      <c r="R151" s="90"/>
      <c r="S151" s="90"/>
      <c r="T151" s="90"/>
      <c r="U151" s="90"/>
      <c r="V151" s="90"/>
      <c r="W151" s="90"/>
      <c r="X151" s="90"/>
      <c r="Y151" s="90"/>
      <c r="Z151" s="90"/>
    </row>
    <row r="152" spans="1:26" ht="9.75" customHeight="1">
      <c r="A152" s="90"/>
      <c r="B152" s="190" t="s">
        <v>814</v>
      </c>
      <c r="C152" s="265">
        <f>C134*1*4/1000</f>
        <v>0.16636916838197668</v>
      </c>
      <c r="D152" s="265">
        <f>C152*(16/2)</f>
        <v>1.3309533470558135</v>
      </c>
      <c r="E152" s="265"/>
      <c r="F152" s="191"/>
      <c r="G152" s="191" t="s">
        <v>1047</v>
      </c>
      <c r="H152" s="261">
        <f>C152*1000/1/2+D156/$C$144*$C$146*1000/18</f>
        <v>89.156916378502089</v>
      </c>
      <c r="I152" s="477">
        <f t="shared" si="13"/>
        <v>2.143592283248096</v>
      </c>
      <c r="J152" s="90"/>
      <c r="K152" s="90"/>
      <c r="L152" s="90"/>
      <c r="M152" s="90"/>
      <c r="N152" s="90"/>
      <c r="O152" s="90"/>
      <c r="P152" s="90"/>
      <c r="Q152" s="90"/>
      <c r="R152" s="90"/>
      <c r="S152" s="90"/>
      <c r="T152" s="90"/>
      <c r="U152" s="90"/>
      <c r="V152" s="90"/>
      <c r="W152" s="90"/>
      <c r="X152" s="90"/>
      <c r="Y152" s="90"/>
      <c r="Z152" s="90"/>
    </row>
    <row r="153" spans="1:26" ht="9.75" customHeight="1">
      <c r="A153" s="90"/>
      <c r="B153" s="190" t="s">
        <v>849</v>
      </c>
      <c r="C153" s="265">
        <v>0</v>
      </c>
      <c r="D153" s="265">
        <f>C153</f>
        <v>0</v>
      </c>
      <c r="E153" s="191"/>
      <c r="F153" s="191"/>
      <c r="G153" s="191" t="s">
        <v>1045</v>
      </c>
      <c r="H153" s="261">
        <v>0</v>
      </c>
      <c r="I153" s="477">
        <f t="shared" si="13"/>
        <v>0</v>
      </c>
      <c r="J153" s="90"/>
      <c r="K153" s="90"/>
      <c r="L153" s="90"/>
      <c r="M153" s="90"/>
      <c r="N153" s="90"/>
      <c r="O153" s="90"/>
      <c r="P153" s="90"/>
      <c r="Q153" s="90"/>
      <c r="R153" s="90"/>
      <c r="S153" s="90"/>
      <c r="T153" s="90"/>
      <c r="U153" s="90"/>
      <c r="V153" s="90"/>
      <c r="W153" s="90"/>
      <c r="X153" s="90"/>
      <c r="Y153" s="90"/>
      <c r="Z153" s="90"/>
    </row>
    <row r="154" spans="1:26" ht="9.75" customHeight="1">
      <c r="A154" s="90"/>
      <c r="B154" s="190" t="s">
        <v>673</v>
      </c>
      <c r="C154" s="265">
        <v>0</v>
      </c>
      <c r="D154" s="265">
        <v>0</v>
      </c>
      <c r="E154" s="191"/>
      <c r="F154" s="191"/>
      <c r="G154" s="191" t="s">
        <v>1046</v>
      </c>
      <c r="H154" s="261">
        <f>D156/$C$144*$C$145*1000/28+C154/7/2</f>
        <v>310.48953143528695</v>
      </c>
      <c r="I154" s="477">
        <f t="shared" si="13"/>
        <v>7.4650738344118155</v>
      </c>
      <c r="J154" s="90"/>
      <c r="K154" s="90"/>
      <c r="L154" s="90"/>
      <c r="M154" s="90"/>
      <c r="N154" s="90"/>
      <c r="O154" s="90"/>
      <c r="P154" s="90"/>
      <c r="Q154" s="90"/>
      <c r="R154" s="90"/>
      <c r="S154" s="90"/>
      <c r="T154" s="90"/>
      <c r="U154" s="90"/>
      <c r="V154" s="90"/>
      <c r="W154" s="90"/>
      <c r="X154" s="90"/>
      <c r="Y154" s="90"/>
      <c r="Z154" s="90"/>
    </row>
    <row r="155" spans="1:26" ht="9.75" customHeight="1">
      <c r="A155" s="90"/>
      <c r="B155" s="190" t="s">
        <v>832</v>
      </c>
      <c r="C155" s="265">
        <v>0</v>
      </c>
      <c r="D155" s="265">
        <f>C155*(32/32)</f>
        <v>0</v>
      </c>
      <c r="E155" s="191"/>
      <c r="F155" s="191"/>
      <c r="G155" s="191" t="s">
        <v>1062</v>
      </c>
      <c r="H155" s="261">
        <f>C155*1000/32</f>
        <v>0</v>
      </c>
      <c r="I155" s="477">
        <f t="shared" si="13"/>
        <v>0</v>
      </c>
      <c r="J155" s="478"/>
      <c r="K155" s="90"/>
      <c r="L155" s="90"/>
      <c r="M155" s="90"/>
      <c r="N155" s="90"/>
      <c r="O155" s="90"/>
      <c r="P155" s="90"/>
      <c r="Q155" s="90"/>
      <c r="R155" s="90"/>
      <c r="S155" s="90"/>
      <c r="T155" s="90"/>
      <c r="U155" s="90"/>
      <c r="V155" s="90"/>
      <c r="W155" s="90"/>
      <c r="X155" s="90"/>
      <c r="Y155" s="90"/>
      <c r="Z155" s="90"/>
    </row>
    <row r="156" spans="1:26" ht="9.75" customHeight="1">
      <c r="A156" s="90"/>
      <c r="B156" s="220" t="s">
        <v>494</v>
      </c>
      <c r="C156" s="479">
        <f>SUM(C151:C155)</f>
        <v>0.66547667352790674</v>
      </c>
      <c r="D156" s="479">
        <f>SUM(D151:D152,D155)-D153</f>
        <v>2.6619066941116269</v>
      </c>
      <c r="E156" s="479">
        <f>SUM(C152:D152)</f>
        <v>1.4973225154377903</v>
      </c>
      <c r="F156" s="479">
        <f>D156/C144</f>
        <v>9.5781400721353673</v>
      </c>
      <c r="G156" s="275"/>
      <c r="H156" s="480"/>
      <c r="I156" s="481">
        <f>SUM(I151:I155)</f>
        <v>10.608666117659912</v>
      </c>
      <c r="J156" s="90"/>
      <c r="K156" s="90"/>
      <c r="L156" s="90"/>
      <c r="M156" s="90"/>
      <c r="N156" s="90"/>
      <c r="O156" s="90"/>
      <c r="P156" s="90"/>
      <c r="Q156" s="90"/>
      <c r="R156" s="90"/>
      <c r="S156" s="90"/>
      <c r="T156" s="90"/>
      <c r="U156" s="90"/>
      <c r="V156" s="90"/>
      <c r="W156" s="90"/>
      <c r="X156" s="90"/>
      <c r="Y156" s="90"/>
      <c r="Z156" s="90"/>
    </row>
    <row r="157" spans="1:26" ht="9.75" customHeight="1">
      <c r="A157" s="90"/>
      <c r="B157" s="34"/>
      <c r="C157" s="482"/>
      <c r="D157" s="482"/>
      <c r="E157" s="482"/>
      <c r="F157" s="90"/>
      <c r="G157" s="90"/>
      <c r="H157" s="483"/>
      <c r="I157" s="483"/>
      <c r="J157" s="90"/>
      <c r="K157" s="90"/>
      <c r="L157" s="90"/>
      <c r="M157" s="90"/>
      <c r="N157" s="90"/>
      <c r="O157" s="90"/>
      <c r="P157" s="90"/>
      <c r="Q157" s="90"/>
      <c r="R157" s="90"/>
      <c r="S157" s="90"/>
      <c r="T157" s="90"/>
      <c r="U157" s="90"/>
      <c r="V157" s="90"/>
      <c r="W157" s="90"/>
      <c r="X157" s="90"/>
      <c r="Y157" s="90"/>
      <c r="Z157" s="90"/>
    </row>
    <row r="158" spans="1:26" ht="9.75" customHeight="1">
      <c r="A158" s="90"/>
      <c r="B158" s="452" t="s">
        <v>1063</v>
      </c>
      <c r="C158" s="472"/>
      <c r="D158" s="453"/>
      <c r="E158" s="453"/>
      <c r="F158" s="453"/>
      <c r="G158" s="473" t="s">
        <v>1052</v>
      </c>
      <c r="H158" s="473"/>
      <c r="I158" s="474"/>
      <c r="J158" s="90"/>
      <c r="K158" s="90"/>
      <c r="L158" s="90"/>
      <c r="M158" s="90"/>
      <c r="N158" s="90"/>
      <c r="O158" s="90"/>
      <c r="P158" s="90"/>
      <c r="Q158" s="90"/>
      <c r="R158" s="90"/>
      <c r="S158" s="90"/>
      <c r="T158" s="90"/>
      <c r="U158" s="90"/>
      <c r="V158" s="90"/>
      <c r="W158" s="90"/>
      <c r="X158" s="90"/>
      <c r="Y158" s="90"/>
      <c r="Z158" s="90"/>
    </row>
    <row r="159" spans="1:26" ht="9.75" customHeight="1">
      <c r="A159" s="90"/>
      <c r="B159" s="475" t="s">
        <v>1053</v>
      </c>
      <c r="C159" s="255" t="s">
        <v>1064</v>
      </c>
      <c r="D159" s="255" t="s">
        <v>1065</v>
      </c>
      <c r="E159" s="255" t="s">
        <v>1066</v>
      </c>
      <c r="F159" s="255" t="s">
        <v>1067</v>
      </c>
      <c r="G159" s="211" t="s">
        <v>1058</v>
      </c>
      <c r="H159" s="211" t="s">
        <v>1059</v>
      </c>
      <c r="I159" s="476" t="s">
        <v>1060</v>
      </c>
      <c r="J159" s="90"/>
      <c r="K159" s="90"/>
      <c r="L159" s="90"/>
      <c r="M159" s="90"/>
      <c r="N159" s="90"/>
      <c r="O159" s="90"/>
      <c r="P159" s="90"/>
      <c r="Q159" s="90"/>
      <c r="R159" s="90"/>
      <c r="S159" s="90"/>
      <c r="T159" s="90"/>
      <c r="U159" s="90"/>
      <c r="V159" s="90"/>
      <c r="W159" s="90"/>
      <c r="X159" s="90"/>
      <c r="Y159" s="90"/>
      <c r="Z159" s="90"/>
    </row>
    <row r="160" spans="1:26" ht="9.75" customHeight="1">
      <c r="A160" s="90"/>
      <c r="B160" s="190" t="s">
        <v>805</v>
      </c>
      <c r="C160" s="265">
        <v>0.84399999999999997</v>
      </c>
      <c r="D160" s="265">
        <f>(32/12)*C160</f>
        <v>2.2506666666666666</v>
      </c>
      <c r="E160" s="191"/>
      <c r="F160" s="191"/>
      <c r="G160" s="191" t="s">
        <v>1061</v>
      </c>
      <c r="H160" s="261">
        <f>C160*1000/12</f>
        <v>70.333333333333329</v>
      </c>
      <c r="I160" s="477">
        <f t="shared" ref="I160:I164" si="14">(H160)/$C$134</f>
        <v>1.6910184505304713</v>
      </c>
      <c r="J160" s="90"/>
      <c r="K160" s="90"/>
      <c r="L160" s="90"/>
      <c r="M160" s="90"/>
      <c r="N160" s="90"/>
      <c r="O160" s="90"/>
      <c r="P160" s="90"/>
      <c r="Q160" s="90"/>
      <c r="R160" s="90"/>
      <c r="S160" s="90"/>
      <c r="T160" s="90"/>
      <c r="U160" s="90"/>
      <c r="V160" s="90"/>
      <c r="W160" s="90"/>
      <c r="X160" s="90"/>
      <c r="Y160" s="90"/>
      <c r="Z160" s="90"/>
    </row>
    <row r="161" spans="1:26" ht="9.75" customHeight="1">
      <c r="A161" s="90"/>
      <c r="B161" s="190" t="s">
        <v>814</v>
      </c>
      <c r="C161" s="265">
        <v>5.3999999999999999E-2</v>
      </c>
      <c r="D161" s="265">
        <f>C161*(16/2)</f>
        <v>0.432</v>
      </c>
      <c r="E161" s="265"/>
      <c r="F161" s="191"/>
      <c r="G161" s="191" t="s">
        <v>1047</v>
      </c>
      <c r="H161" s="261">
        <f>C161*1000/1/2+D165/$C$144*$C$146*1000/18</f>
        <v>32.886311373754111</v>
      </c>
      <c r="I161" s="477">
        <f t="shared" si="14"/>
        <v>0.7906828336906393</v>
      </c>
      <c r="J161" s="90"/>
      <c r="K161" s="90"/>
      <c r="L161" s="90"/>
      <c r="M161" s="90"/>
      <c r="N161" s="90"/>
      <c r="O161" s="90"/>
      <c r="P161" s="90"/>
      <c r="Q161" s="90"/>
      <c r="R161" s="90"/>
      <c r="S161" s="90"/>
      <c r="T161" s="90"/>
      <c r="U161" s="90"/>
      <c r="V161" s="90"/>
      <c r="W161" s="90"/>
      <c r="X161" s="90"/>
      <c r="Y161" s="90"/>
      <c r="Z161" s="90"/>
    </row>
    <row r="162" spans="1:26" ht="9.75" customHeight="1">
      <c r="A162" s="90"/>
      <c r="B162" s="190" t="s">
        <v>849</v>
      </c>
      <c r="C162" s="265">
        <v>7.7100000000000002E-2</v>
      </c>
      <c r="D162" s="265">
        <f>C162</f>
        <v>7.7100000000000002E-2</v>
      </c>
      <c r="E162" s="191"/>
      <c r="F162" s="191"/>
      <c r="G162" s="191" t="s">
        <v>1045</v>
      </c>
      <c r="H162" s="261">
        <v>0</v>
      </c>
      <c r="I162" s="477">
        <f t="shared" si="14"/>
        <v>0</v>
      </c>
      <c r="J162" s="90"/>
      <c r="K162" s="90"/>
      <c r="L162" s="90"/>
      <c r="M162" s="90"/>
      <c r="N162" s="90"/>
      <c r="O162" s="90"/>
      <c r="P162" s="90"/>
      <c r="Q162" s="90"/>
      <c r="R162" s="90"/>
      <c r="S162" s="90"/>
      <c r="T162" s="90"/>
      <c r="U162" s="90"/>
      <c r="V162" s="90"/>
      <c r="W162" s="90"/>
      <c r="X162" s="90"/>
      <c r="Y162" s="90"/>
      <c r="Z162" s="90"/>
    </row>
    <row r="163" spans="1:26" ht="9.75" customHeight="1">
      <c r="A163" s="90"/>
      <c r="B163" s="190" t="s">
        <v>673</v>
      </c>
      <c r="C163" s="265">
        <v>6.8999999999999999E-3</v>
      </c>
      <c r="D163" s="265">
        <v>0</v>
      </c>
      <c r="E163" s="191"/>
      <c r="F163" s="191"/>
      <c r="G163" s="191" t="s">
        <v>1046</v>
      </c>
      <c r="H163" s="261">
        <f>D165/$C$144*$C$145*1000/28+C163/7/2</f>
        <v>306.01797529727338</v>
      </c>
      <c r="I163" s="477">
        <f t="shared" si="14"/>
        <v>7.3575645841943222</v>
      </c>
      <c r="J163" s="90"/>
      <c r="K163" s="90"/>
      <c r="L163" s="90"/>
      <c r="M163" s="90"/>
      <c r="N163" s="90"/>
      <c r="O163" s="90"/>
      <c r="P163" s="90"/>
      <c r="Q163" s="90"/>
      <c r="R163" s="90"/>
      <c r="S163" s="90"/>
      <c r="T163" s="90"/>
      <c r="U163" s="90"/>
      <c r="V163" s="90"/>
      <c r="W163" s="90"/>
      <c r="X163" s="90"/>
      <c r="Y163" s="90"/>
      <c r="Z163" s="90"/>
    </row>
    <row r="164" spans="1:26" ht="9.75" customHeight="1">
      <c r="A164" s="90"/>
      <c r="B164" s="190" t="s">
        <v>832</v>
      </c>
      <c r="C164" s="265">
        <v>1.7999999999999999E-2</v>
      </c>
      <c r="D164" s="265">
        <f>C164*(32/32)</f>
        <v>1.7999999999999999E-2</v>
      </c>
      <c r="E164" s="191"/>
      <c r="F164" s="191"/>
      <c r="G164" s="191" t="s">
        <v>1062</v>
      </c>
      <c r="H164" s="261">
        <f>C164*1000/32</f>
        <v>0.5625</v>
      </c>
      <c r="I164" s="477">
        <f t="shared" si="14"/>
        <v>1.3524140451517397E-2</v>
      </c>
      <c r="J164" s="90"/>
      <c r="K164" s="90"/>
      <c r="L164" s="90"/>
      <c r="M164" s="90"/>
      <c r="N164" s="90"/>
      <c r="O164" s="90"/>
      <c r="P164" s="90"/>
      <c r="Q164" s="90"/>
      <c r="R164" s="90"/>
      <c r="S164" s="90"/>
      <c r="T164" s="90"/>
      <c r="U164" s="90"/>
      <c r="V164" s="90"/>
      <c r="W164" s="90"/>
      <c r="X164" s="90"/>
      <c r="Y164" s="90"/>
      <c r="Z164" s="90"/>
    </row>
    <row r="165" spans="1:26" ht="9.75" customHeight="1">
      <c r="A165" s="90"/>
      <c r="B165" s="220" t="s">
        <v>494</v>
      </c>
      <c r="C165" s="479">
        <f>SUM(C160:C164)</f>
        <v>1</v>
      </c>
      <c r="D165" s="479">
        <f>SUM(D160:D161,D164)-D162</f>
        <v>2.6235666666666662</v>
      </c>
      <c r="E165" s="479">
        <f>SUM(C161:D161)</f>
        <v>0.48599999999999999</v>
      </c>
      <c r="F165" s="479">
        <f>D165/C144</f>
        <v>9.4401840145283575</v>
      </c>
      <c r="G165" s="275"/>
      <c r="H165" s="480"/>
      <c r="I165" s="481">
        <f>SUM(I160:I164)</f>
        <v>9.8527900088669504</v>
      </c>
      <c r="J165" s="90"/>
      <c r="K165" s="90"/>
      <c r="L165" s="90"/>
      <c r="M165" s="90"/>
      <c r="N165" s="90"/>
      <c r="O165" s="90"/>
      <c r="P165" s="90"/>
      <c r="Q165" s="90"/>
      <c r="R165" s="90"/>
      <c r="S165" s="90"/>
      <c r="T165" s="90"/>
      <c r="U165" s="90"/>
      <c r="V165" s="90"/>
      <c r="W165" s="90"/>
      <c r="X165" s="90"/>
      <c r="Y165" s="90"/>
      <c r="Z165" s="90"/>
    </row>
    <row r="166" spans="1:26" ht="9.75" customHeight="1">
      <c r="A166" s="90"/>
      <c r="B166" s="34"/>
      <c r="C166" s="482"/>
      <c r="D166" s="482"/>
      <c r="E166" s="482"/>
      <c r="F166" s="90"/>
      <c r="G166" s="90"/>
      <c r="H166" s="483"/>
      <c r="I166" s="483"/>
      <c r="J166" s="90"/>
      <c r="K166" s="90"/>
      <c r="L166" s="90"/>
      <c r="M166" s="90"/>
      <c r="N166" s="90"/>
      <c r="O166" s="90"/>
      <c r="P166" s="90"/>
      <c r="Q166" s="90"/>
      <c r="R166" s="90"/>
      <c r="S166" s="90"/>
      <c r="T166" s="90"/>
      <c r="U166" s="90"/>
      <c r="V166" s="90"/>
      <c r="W166" s="90"/>
      <c r="X166" s="90"/>
      <c r="Y166" s="90"/>
      <c r="Z166" s="90"/>
    </row>
    <row r="167" spans="1:26" ht="9.75" customHeight="1">
      <c r="A167" s="90"/>
      <c r="B167" s="452" t="s">
        <v>1068</v>
      </c>
      <c r="C167" s="472"/>
      <c r="D167" s="453"/>
      <c r="E167" s="453"/>
      <c r="F167" s="453"/>
      <c r="G167" s="473" t="s">
        <v>1052</v>
      </c>
      <c r="H167" s="473"/>
      <c r="I167" s="474"/>
      <c r="J167" s="90"/>
      <c r="K167" s="90"/>
      <c r="L167" s="90"/>
      <c r="M167" s="90"/>
      <c r="N167" s="90"/>
      <c r="O167" s="90"/>
      <c r="P167" s="90"/>
      <c r="Q167" s="90"/>
      <c r="R167" s="90"/>
      <c r="S167" s="90"/>
      <c r="T167" s="90"/>
      <c r="U167" s="90"/>
      <c r="V167" s="90"/>
      <c r="W167" s="90"/>
      <c r="X167" s="90"/>
      <c r="Y167" s="90"/>
      <c r="Z167" s="90"/>
    </row>
    <row r="168" spans="1:26" ht="9.75" customHeight="1">
      <c r="A168" s="90"/>
      <c r="B168" s="475" t="s">
        <v>1053</v>
      </c>
      <c r="C168" s="255" t="s">
        <v>1064</v>
      </c>
      <c r="D168" s="255" t="s">
        <v>1065</v>
      </c>
      <c r="E168" s="255" t="s">
        <v>1066</v>
      </c>
      <c r="F168" s="255" t="s">
        <v>1069</v>
      </c>
      <c r="G168" s="211" t="s">
        <v>1058</v>
      </c>
      <c r="H168" s="211" t="s">
        <v>1059</v>
      </c>
      <c r="I168" s="476" t="s">
        <v>1060</v>
      </c>
      <c r="J168" s="90"/>
      <c r="K168" s="90"/>
      <c r="L168" s="90"/>
      <c r="M168" s="90"/>
      <c r="N168" s="90"/>
      <c r="O168" s="90"/>
      <c r="P168" s="90"/>
      <c r="Q168" s="90"/>
      <c r="R168" s="90"/>
      <c r="S168" s="90"/>
      <c r="T168" s="90"/>
      <c r="U168" s="90"/>
      <c r="V168" s="90"/>
      <c r="W168" s="90"/>
      <c r="X168" s="90"/>
      <c r="Y168" s="90"/>
      <c r="Z168" s="90"/>
    </row>
    <row r="169" spans="1:26" ht="9.75" customHeight="1">
      <c r="A169" s="90"/>
      <c r="B169" s="190" t="s">
        <v>805</v>
      </c>
      <c r="C169" s="265">
        <v>0.85</v>
      </c>
      <c r="D169" s="265">
        <f>(32/12)*C169</f>
        <v>2.2666666666666666</v>
      </c>
      <c r="E169" s="191"/>
      <c r="F169" s="191"/>
      <c r="G169" s="191" t="s">
        <v>1061</v>
      </c>
      <c r="H169" s="261">
        <f>C169*1000/12</f>
        <v>70.833333333333329</v>
      </c>
      <c r="I169" s="477">
        <f t="shared" ref="I169:I173" si="15">(H169)/$C$134</f>
        <v>1.703039908709598</v>
      </c>
      <c r="J169" s="90"/>
      <c r="K169" s="90"/>
      <c r="L169" s="90"/>
      <c r="M169" s="90"/>
      <c r="N169" s="90"/>
      <c r="O169" s="90"/>
      <c r="P169" s="90"/>
      <c r="Q169" s="90"/>
      <c r="R169" s="90"/>
      <c r="S169" s="90"/>
      <c r="T169" s="90"/>
      <c r="U169" s="90"/>
      <c r="V169" s="90"/>
      <c r="W169" s="90"/>
      <c r="X169" s="90"/>
      <c r="Y169" s="90"/>
      <c r="Z169" s="90"/>
    </row>
    <row r="170" spans="1:26" ht="9.75" customHeight="1">
      <c r="A170" s="90"/>
      <c r="B170" s="190" t="s">
        <v>814</v>
      </c>
      <c r="C170" s="265">
        <v>0.14000000000000001</v>
      </c>
      <c r="D170" s="265">
        <f>C170*(16/2)</f>
        <v>1.1200000000000001</v>
      </c>
      <c r="E170" s="265"/>
      <c r="F170" s="191"/>
      <c r="G170" s="191" t="s">
        <v>1047</v>
      </c>
      <c r="H170" s="261">
        <f>C170*1000/1/2+D174/$C$144*$C$146*1000/18</f>
        <v>77.600668617970825</v>
      </c>
      <c r="I170" s="477">
        <f t="shared" si="15"/>
        <v>1.8657463849263924</v>
      </c>
      <c r="J170" s="90"/>
      <c r="K170" s="90"/>
      <c r="L170" s="90"/>
      <c r="M170" s="90"/>
      <c r="N170" s="90"/>
      <c r="O170" s="90"/>
      <c r="P170" s="90"/>
      <c r="Q170" s="90"/>
      <c r="R170" s="90"/>
      <c r="S170" s="90"/>
      <c r="T170" s="90"/>
      <c r="U170" s="90"/>
      <c r="V170" s="90"/>
      <c r="W170" s="90"/>
      <c r="X170" s="90"/>
      <c r="Y170" s="90"/>
      <c r="Z170" s="90"/>
    </row>
    <row r="171" spans="1:26" ht="9.75" customHeight="1">
      <c r="A171" s="90"/>
      <c r="B171" s="190" t="s">
        <v>849</v>
      </c>
      <c r="C171" s="265">
        <v>0</v>
      </c>
      <c r="D171" s="265">
        <f>C171</f>
        <v>0</v>
      </c>
      <c r="E171" s="191"/>
      <c r="F171" s="191"/>
      <c r="G171" s="191" t="s">
        <v>1045</v>
      </c>
      <c r="H171" s="261">
        <v>0</v>
      </c>
      <c r="I171" s="477">
        <f t="shared" si="15"/>
        <v>0</v>
      </c>
      <c r="J171" s="90"/>
      <c r="K171" s="90"/>
      <c r="L171" s="90"/>
      <c r="M171" s="90"/>
      <c r="N171" s="90"/>
      <c r="O171" s="90"/>
      <c r="P171" s="90"/>
      <c r="Q171" s="90"/>
      <c r="R171" s="90"/>
      <c r="S171" s="90"/>
      <c r="T171" s="90"/>
      <c r="U171" s="90"/>
      <c r="V171" s="90"/>
      <c r="W171" s="90"/>
      <c r="X171" s="90"/>
      <c r="Y171" s="90"/>
      <c r="Z171" s="90"/>
    </row>
    <row r="172" spans="1:26" ht="9.75" customHeight="1">
      <c r="A172" s="90"/>
      <c r="B172" s="190" t="s">
        <v>673</v>
      </c>
      <c r="C172" s="265">
        <v>0</v>
      </c>
      <c r="D172" s="265">
        <v>0</v>
      </c>
      <c r="E172" s="191"/>
      <c r="F172" s="191"/>
      <c r="G172" s="191" t="s">
        <v>1046</v>
      </c>
      <c r="H172" s="261">
        <f>D174/$C$144*$C$145*1000/28+C172/7/2</f>
        <v>395.1434655162879</v>
      </c>
      <c r="I172" s="477">
        <f t="shared" si="15"/>
        <v>9.500401290918397</v>
      </c>
      <c r="J172" s="90"/>
      <c r="K172" s="90"/>
      <c r="L172" s="90"/>
      <c r="M172" s="90"/>
      <c r="N172" s="90"/>
      <c r="O172" s="90"/>
      <c r="P172" s="90"/>
      <c r="Q172" s="90"/>
      <c r="R172" s="90"/>
      <c r="S172" s="90"/>
      <c r="T172" s="90"/>
      <c r="U172" s="90"/>
      <c r="V172" s="90"/>
      <c r="W172" s="90"/>
      <c r="X172" s="90"/>
      <c r="Y172" s="90"/>
      <c r="Z172" s="90"/>
    </row>
    <row r="173" spans="1:26" ht="9.75" customHeight="1">
      <c r="A173" s="90"/>
      <c r="B173" s="190" t="s">
        <v>832</v>
      </c>
      <c r="C173" s="265">
        <v>1E-3</v>
      </c>
      <c r="D173" s="265">
        <f>C173*(32/32)</f>
        <v>1E-3</v>
      </c>
      <c r="E173" s="191"/>
      <c r="F173" s="191"/>
      <c r="G173" s="191" t="s">
        <v>1062</v>
      </c>
      <c r="H173" s="261">
        <f>C173*1000/32</f>
        <v>3.125E-2</v>
      </c>
      <c r="I173" s="477">
        <f t="shared" si="15"/>
        <v>7.5134113619541095E-4</v>
      </c>
      <c r="J173" s="90"/>
      <c r="K173" s="90"/>
      <c r="L173" s="90"/>
      <c r="M173" s="90"/>
      <c r="N173" s="90"/>
      <c r="O173" s="90"/>
      <c r="P173" s="90"/>
      <c r="Q173" s="90"/>
      <c r="R173" s="90"/>
      <c r="S173" s="90"/>
      <c r="T173" s="90"/>
      <c r="U173" s="90"/>
      <c r="V173" s="90"/>
      <c r="W173" s="90"/>
      <c r="X173" s="90"/>
      <c r="Y173" s="90"/>
      <c r="Z173" s="90"/>
    </row>
    <row r="174" spans="1:26" ht="9.75" customHeight="1">
      <c r="A174" s="90"/>
      <c r="B174" s="220" t="s">
        <v>494</v>
      </c>
      <c r="C174" s="479">
        <f>SUM(C169:C173)</f>
        <v>0.99099999999999999</v>
      </c>
      <c r="D174" s="479">
        <f>SUM(D169:D170,D173)-D171</f>
        <v>3.3876666666666666</v>
      </c>
      <c r="E174" s="479">
        <f>SUM(C170:D170)</f>
        <v>1.2600000000000002</v>
      </c>
      <c r="F174" s="479">
        <f>D174/C144</f>
        <v>12.189587983235507</v>
      </c>
      <c r="G174" s="275"/>
      <c r="H174" s="480"/>
      <c r="I174" s="481">
        <f>SUM(I169:I173)</f>
        <v>13.069938925690584</v>
      </c>
      <c r="J174" s="90"/>
      <c r="K174" s="90"/>
      <c r="L174" s="90"/>
      <c r="M174" s="90"/>
      <c r="N174" s="90"/>
      <c r="O174" s="90"/>
      <c r="P174" s="90"/>
      <c r="Q174" s="90"/>
      <c r="R174" s="90"/>
      <c r="S174" s="90"/>
      <c r="T174" s="90"/>
      <c r="U174" s="90"/>
      <c r="V174" s="90"/>
      <c r="W174" s="90"/>
      <c r="X174" s="90"/>
      <c r="Y174" s="90"/>
      <c r="Z174" s="90"/>
    </row>
    <row r="175" spans="1:26" ht="9.7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9.75" customHeight="1">
      <c r="A176" s="90"/>
      <c r="B176" s="34" t="s">
        <v>1070</v>
      </c>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9.75" customHeight="1">
      <c r="A177" s="90"/>
      <c r="B177" s="484" t="s">
        <v>505</v>
      </c>
      <c r="C177" s="485" t="s">
        <v>200</v>
      </c>
      <c r="D177" s="485" t="s">
        <v>1071</v>
      </c>
      <c r="E177" s="485" t="s">
        <v>1072</v>
      </c>
      <c r="F177" s="486" t="s">
        <v>1073</v>
      </c>
      <c r="G177" s="90"/>
      <c r="H177" s="90"/>
      <c r="I177" s="90"/>
      <c r="J177" s="90"/>
      <c r="K177" s="90"/>
      <c r="L177" s="90"/>
      <c r="M177" s="90"/>
      <c r="N177" s="90"/>
      <c r="O177" s="90"/>
      <c r="P177" s="90"/>
      <c r="Q177" s="90"/>
      <c r="R177" s="90"/>
      <c r="S177" s="90"/>
      <c r="T177" s="90"/>
      <c r="U177" s="90"/>
      <c r="V177" s="90"/>
      <c r="W177" s="90"/>
      <c r="X177" s="90"/>
      <c r="Y177" s="90"/>
      <c r="Z177" s="90"/>
    </row>
    <row r="178" spans="1:26" ht="9.75" customHeight="1">
      <c r="A178" s="90"/>
      <c r="B178" s="190" t="s">
        <v>202</v>
      </c>
      <c r="C178" s="191" t="s">
        <v>322</v>
      </c>
      <c r="D178" s="265">
        <f>I156</f>
        <v>10.608666117659912</v>
      </c>
      <c r="E178" s="265">
        <f>Energiedragers!D3</f>
        <v>1</v>
      </c>
      <c r="F178" s="487">
        <f>E156</f>
        <v>1.4973225154377903</v>
      </c>
      <c r="G178" s="90"/>
      <c r="H178" s="90"/>
      <c r="I178" s="90"/>
      <c r="J178" s="90"/>
      <c r="K178" s="90"/>
      <c r="L178" s="90"/>
      <c r="M178" s="90"/>
      <c r="N178" s="90"/>
      <c r="O178" s="90"/>
      <c r="P178" s="90"/>
      <c r="Q178" s="90"/>
      <c r="R178" s="90"/>
      <c r="S178" s="90"/>
      <c r="T178" s="90"/>
      <c r="U178" s="90"/>
      <c r="V178" s="90"/>
      <c r="W178" s="90"/>
      <c r="X178" s="90"/>
      <c r="Y178" s="90"/>
      <c r="Z178" s="90"/>
    </row>
    <row r="179" spans="1:26" ht="9.75" customHeight="1">
      <c r="A179" s="90"/>
      <c r="B179" s="190" t="s">
        <v>527</v>
      </c>
      <c r="C179" s="191" t="s">
        <v>183</v>
      </c>
      <c r="D179" s="265">
        <f>I165</f>
        <v>9.8527900088669504</v>
      </c>
      <c r="E179" s="265">
        <f>Energiedragers!D11</f>
        <v>20</v>
      </c>
      <c r="F179" s="487">
        <f>E174</f>
        <v>1.2600000000000002</v>
      </c>
      <c r="G179" s="90"/>
      <c r="H179" s="90"/>
      <c r="I179" s="90"/>
      <c r="J179" s="90"/>
      <c r="K179" s="90"/>
      <c r="L179" s="90"/>
      <c r="M179" s="90"/>
      <c r="N179" s="90"/>
      <c r="O179" s="90"/>
      <c r="P179" s="90"/>
      <c r="Q179" s="90"/>
      <c r="R179" s="90"/>
      <c r="S179" s="90"/>
      <c r="T179" s="90"/>
      <c r="U179" s="90"/>
      <c r="V179" s="90"/>
      <c r="W179" s="90"/>
      <c r="X179" s="90"/>
      <c r="Y179" s="90"/>
      <c r="Z179" s="90"/>
    </row>
    <row r="180" spans="1:26" ht="9.75" customHeight="1">
      <c r="A180" s="90"/>
      <c r="B180" s="190" t="str">
        <f>Energiedragers!B20</f>
        <v>Gas-/dieselolie</v>
      </c>
      <c r="C180" s="191" t="s">
        <v>183</v>
      </c>
      <c r="D180" s="265">
        <f>I174</f>
        <v>13.069938925690584</v>
      </c>
      <c r="E180" s="198">
        <f>Energiedragers!F20</f>
        <v>42.7</v>
      </c>
      <c r="F180" s="487">
        <f>E165</f>
        <v>0.48599999999999999</v>
      </c>
      <c r="G180" s="90"/>
      <c r="H180" s="90"/>
      <c r="I180" s="90"/>
      <c r="J180" s="90"/>
      <c r="K180" s="90"/>
      <c r="L180" s="90"/>
      <c r="M180" s="90"/>
      <c r="N180" s="90"/>
      <c r="O180" s="90"/>
      <c r="P180" s="90"/>
      <c r="Q180" s="90"/>
      <c r="R180" s="90"/>
      <c r="S180" s="90"/>
      <c r="T180" s="90"/>
      <c r="U180" s="90"/>
      <c r="V180" s="90"/>
      <c r="W180" s="90"/>
      <c r="X180" s="90"/>
      <c r="Y180" s="90"/>
      <c r="Z180" s="90"/>
    </row>
    <row r="181" spans="1:26" ht="9.75" customHeight="1">
      <c r="A181" s="90"/>
      <c r="B181" s="274" t="s">
        <v>525</v>
      </c>
      <c r="C181" s="275" t="s">
        <v>183</v>
      </c>
      <c r="D181" s="471">
        <f>D180</f>
        <v>13.069938925690584</v>
      </c>
      <c r="E181" s="471">
        <f>Energiedragers!F8</f>
        <v>39.4</v>
      </c>
      <c r="F181" s="488">
        <f>F179</f>
        <v>1.2600000000000002</v>
      </c>
      <c r="G181" s="90"/>
      <c r="H181" s="90"/>
      <c r="I181" s="90"/>
      <c r="J181" s="90"/>
      <c r="K181" s="90"/>
      <c r="L181" s="90"/>
      <c r="M181" s="90"/>
      <c r="N181" s="90"/>
      <c r="O181" s="90"/>
      <c r="P181" s="90"/>
      <c r="Q181" s="90"/>
      <c r="R181" s="90"/>
      <c r="S181" s="90"/>
      <c r="T181" s="90"/>
      <c r="U181" s="90"/>
      <c r="V181" s="90"/>
      <c r="W181" s="90"/>
      <c r="X181" s="90"/>
      <c r="Y181" s="90"/>
      <c r="Z181" s="90"/>
    </row>
    <row r="182" spans="1:26" ht="9.7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9.75" customHeight="1">
      <c r="A183" s="90"/>
      <c r="B183" s="489" t="s">
        <v>1074</v>
      </c>
      <c r="C183" s="490" t="s">
        <v>1075</v>
      </c>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9.75" customHeight="1">
      <c r="A184" s="90"/>
      <c r="B184" s="190" t="s">
        <v>276</v>
      </c>
      <c r="C184" s="282">
        <f>IF(Projectinformatie!C110="buiten",0,IF(Projectinformatie!C110="combinatie of overkapping",1,IF(Projectinformatie!C110="binnen",2)))</f>
        <v>2</v>
      </c>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9.75" customHeight="1">
      <c r="A185" s="90"/>
      <c r="B185" s="190" t="s">
        <v>1076</v>
      </c>
      <c r="C185" s="282">
        <f>IF(Projectinformatie!C111="&gt;5",0,IF(Projectinformatie!C111="3-4",1,IF(Projectinformatie!C111="&lt;3",2,0)))</f>
        <v>0</v>
      </c>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9.75" customHeight="1">
      <c r="A186" s="90"/>
      <c r="B186" s="190" t="s">
        <v>1077</v>
      </c>
      <c r="C186" s="282">
        <f>IF(Projectinformatie!C112="&lt;165",0,IF(Projectinformatie!C112="165-175",1,IF(Projectinformatie!C112="&gt;175",2)))</f>
        <v>2</v>
      </c>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9.75" customHeight="1">
      <c r="A187" s="90"/>
      <c r="B187" s="190" t="s">
        <v>1078</v>
      </c>
      <c r="C187" s="282">
        <f>IF(Projectinformatie!C113="&gt;1,3",0,IF(Projectinformatie!C113="0,7-1,3",1,IF(Projectinformatie!C113="&lt;0,7",2)))</f>
        <v>1</v>
      </c>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9.75" customHeight="1">
      <c r="A188" s="90"/>
      <c r="B188" s="190" t="s">
        <v>1079</v>
      </c>
      <c r="C188" s="282">
        <f>IF(Projectinformatie!C114="matig",0,IF(Projectinformatie!C114="redelijk",1,IF(Projectinformatie!C114="goed",2)))</f>
        <v>2</v>
      </c>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9.75" customHeight="1">
      <c r="A189" s="90"/>
      <c r="B189" s="190" t="s">
        <v>1080</v>
      </c>
      <c r="C189" s="282">
        <f>SUM(C184:C188)</f>
        <v>7</v>
      </c>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9.75" customHeight="1">
      <c r="A190" s="90"/>
      <c r="B190" s="190" t="s">
        <v>1081</v>
      </c>
      <c r="C190" s="461">
        <f>IF(C189&lt;=3,115000,IF(C189=4,90000,IF(C189=5,65000,IF(C189&gt;=6,40000))))</f>
        <v>40000</v>
      </c>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9.75" customHeight="1">
      <c r="A191" s="90"/>
      <c r="B191" s="274" t="s">
        <v>1082</v>
      </c>
      <c r="C191" s="491">
        <f>C190*Energiedragers!D3</f>
        <v>40000</v>
      </c>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9.7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9.7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9.7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9.7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9.7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9.7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9.7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9.7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9.7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9.7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9.7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9.7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9.7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9.7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9.7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9.7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9.7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9.7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9.7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9.7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9.7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9.7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9.7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9.7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9.7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9.7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9.7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9.7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9.7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9.7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9.7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9.7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9.7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9.7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9.7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9.7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9.7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9.7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9.7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9.7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9.7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9.7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9.7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9.7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9.7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9.7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9.7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9.7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9.7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9.7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9.7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9.7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9.7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9.7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9.7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9.7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9.7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9.7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9.7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9.7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9.7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9.7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9.7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9.7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9.7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9.7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9.7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9.7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9.7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9.7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9.7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9.7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9.7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9.7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9.7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9.7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9.7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9.7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9.7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9.7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9.7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9.7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9.7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9.7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9.7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9.7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9.7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9.7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9.7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9.7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9.7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9.7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9.7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9.7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9.7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9.7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9.7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9.7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9.7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9.7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9.7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9.7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9.7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9.7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9.7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9.7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9.7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9.7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9.7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9.7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9.7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9.7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9.7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9.7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9.7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9.7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9.7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9.7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9.7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9.7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9.7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9.7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9.7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9.7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9.7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9.7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9.7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9.7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9.7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9.7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9.7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9.7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9.7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9.7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9.7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9.7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9.7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9.7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9.7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9.7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9.7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9.7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9.7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9.7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9.7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9.7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9.7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9.7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9.7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9.7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9.7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9.7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9.7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9.7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9.7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9.7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9.7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9.7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9.7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9.7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9.7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9.7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9.7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9.7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9.7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9.7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9.7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9.7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9.7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9.7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9.7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9.7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9.7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9.7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9.7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9.7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9.7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9.7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9.7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9.7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9.7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9.7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9.7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9.7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9.7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9.7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9.7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9.7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9.7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9.7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9.7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9.7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9.7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9.7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9.7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9.7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9.7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9.7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9.7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9.7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9.7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9.7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9.7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9.7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9.7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9.7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9.7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9.7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9.7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9.7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9.7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9.7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9.7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9.7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9.7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9.7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9.7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9.7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9.7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9.7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9.7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9.7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9.7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9.7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9.7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9.7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9.7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9.7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9.7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9.7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9.7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9.7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9.7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9.7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9.7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9.7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9.7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9.7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9.7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9.7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9.7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9.7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9.7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9.7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9.7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9.7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9.7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9.7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9.7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9.7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9.7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9.7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9.7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9.7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9.7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9.7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9.7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9.7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9.7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9.7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9.7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9.7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9.7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9.7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9.7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9.7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9.7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9.7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9.7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9.7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9.7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9.7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9.7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9.7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9.7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9.7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9.7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9.7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9.7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9.7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9.7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9.7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9.7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9.7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9.7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9.7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9.7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9.7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9.7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9.7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9.7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9.7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9.7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9.7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9.7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9.7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9.7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9.7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9.7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9.7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9.7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9.7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9.7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9.7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9.7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9.7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9.7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9.7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9.7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9.7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9.7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9.7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9.7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9.7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9.7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9.7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9.7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9.7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9.7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9.7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9.7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9.7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9.7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9.7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9.7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9.7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9.7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9.7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9.7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9.7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9.7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9.7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9.7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9.7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9.7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9.7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9.7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9.7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9.7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9.7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9.7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9.7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9.7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9.7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9.7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9.7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9.7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9.7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9.7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9.7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9.7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9.7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9.7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9.7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9.7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9.7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9.7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9.7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9.7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9.7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9.7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9.7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9.7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9.7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9.7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9.7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9.7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9.7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9.7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9.7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9.7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9.7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9.7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9.7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9.7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9.7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9.7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9.7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9.7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9.7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9.7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9.7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9.7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9.7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9.7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9.7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9.7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9.7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9.7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9.7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9.7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9.7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9.7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9.7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9.7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9.7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9.7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9.7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9.7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9.7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9.7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9.7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9.7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9.7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9.7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9.7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9.7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9.7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9.7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9.7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9.7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9.7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9.7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9.7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9.7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9.7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9.7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9.7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9.7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9.7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9.7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9.7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9.7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9.7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9.7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9.7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9.7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9.7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9.7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9.7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9.7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9.7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9.7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9.7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9.7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9.7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9.7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9.7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9.7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9.7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9.7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9.7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9.7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9.7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9.7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9.7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9.7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9.7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9.7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9.7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9.7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9.7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9.7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9.7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9.7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9.7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9.7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9.7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9.7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9.7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9.7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9.7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9.7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9.7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9.7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9.7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9.7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9.7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9.7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9.7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9.7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9.7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9.7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9.7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9.7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9.7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9.7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9.7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9.7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9.7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9.7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9.7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9.7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9.7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9.7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9.7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9.7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9.7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9.7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9.7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9.7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9.7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9.7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9.7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9.7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9.7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9.7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9.7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9.7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9.7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9.7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9.7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9.7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9.7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9.7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9.7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9.7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9.7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9.7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9.7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9.7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9.7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9.7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9.7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9.7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9.7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9.7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9.7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9.7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9.7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9.7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9.7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9.7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9.7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9.7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9.7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9.7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9.7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9.7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9.7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9.7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9.7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9.7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9.7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9.7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9.7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9.7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9.7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9.7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9.7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9.7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9.7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9.7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9.7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9.7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9.7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9.7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9.7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9.7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9.7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9.7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9.7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9.7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9.7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9.7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9.7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9.7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9.7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9.7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9.7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9.7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9.7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9.7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9.7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9.7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9.7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9.7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9.7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9.7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9.7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9.7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9.7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9.7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9.7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9.7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9.7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9.7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9.7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9.7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9.7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9.7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9.7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9.7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9.7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9.7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9.7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9.7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9.7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9.7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9.7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9.7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9.7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9.7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9.7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9.7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9.7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9.7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9.7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9.7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9.7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9.7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9.7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9.7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9.7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9.7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9.7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9.7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9.7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9.7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9.7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9.7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9.7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9.7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9.7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9.7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9.7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9.7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9.7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9.7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9.7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9.7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9.7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9.7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9.7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9.7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9.7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9.7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9.7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9.7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9.7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9.7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9.7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9.7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9.7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9.7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9.7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9.7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9.7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9.7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9.7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9.7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9.7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9.7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9.7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9.7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9.7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9.7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9.7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9.7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9.7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9.7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9.7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9.7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9.7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9.7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9.7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9.7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9.7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9.7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9.7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9.7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9.7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9.7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9.7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9.7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9.7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9.7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9.7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9.7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9.7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9.7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9.7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9.7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9.7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9.7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9.7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9.7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9.7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9.7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9.7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9.7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9.7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9.7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9.7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9.7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9.7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9.7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9.7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9.7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9.7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9.7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9.7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9.7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9.7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9.7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9.7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9.7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9.7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9.7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9.7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9.7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9.7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9.7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9.7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9.7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9.7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9.7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9.7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9.7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9.7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9.7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9.7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9.7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9.7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9.7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9.7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9.7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9.7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9.7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9.7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9.7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9.7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9.7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9.7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9.7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9.7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9.7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9.7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9.7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9.7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9.7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9.7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9.7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9.7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9.7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9.7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9.7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9.7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9.7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9.7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9.7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9.7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9.7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9.7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9.7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9.7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9.7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9.7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9.7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9.7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9.7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9.7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9.7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9.7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9.7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9.7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9.7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9.7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9.7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9.7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9.7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9.7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9.7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9.7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9.7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9.7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9.7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9.7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9.7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9.7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9.7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9.7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9.7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9.7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9.7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9.7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9.7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9.7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9.7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9.7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9.7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9.7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9.7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9.7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9.7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9.7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9.7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9.7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9.7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9.7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9.7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9.7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9.7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9.7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9.7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9.7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9.7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9.7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9.7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9.7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9.7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9.7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9.7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9.7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9.7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9.7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9.7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9.7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9.7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sheetProtection algorithmName="SHA-512" hashValue="SEK4gjvknTkIAazOz7P7kd4Kw5FSm2rjfvjzTgWKED4XztokG70/1z4abU1xhahvBufL81xH8IydMDpFNxWgSQ==" saltValue="eFLfT/YFHbGIzntCJVM2oA==" spinCount="100000" sheet="1" objects="1" scenarios="1"/>
  <pageMargins left="0.75" right="0.75" top="1" bottom="1" header="0" footer="0"/>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DADA"/>
  </sheetPr>
  <dimension ref="B1:J1000"/>
  <sheetViews>
    <sheetView topLeftCell="A61" workbookViewId="0">
      <selection activeCell="B82" sqref="B82"/>
    </sheetView>
  </sheetViews>
  <sheetFormatPr defaultColWidth="16.7109375" defaultRowHeight="15" customHeight="1"/>
  <cols>
    <col min="1" max="1" width="10.28515625" customWidth="1"/>
    <col min="2" max="2" width="32.7109375" customWidth="1"/>
    <col min="3" max="3" width="10.28515625" customWidth="1"/>
    <col min="4" max="4" width="29.7109375" customWidth="1"/>
    <col min="5" max="5" width="45.28515625" customWidth="1"/>
    <col min="6" max="6" width="10.28515625" customWidth="1"/>
    <col min="7" max="7" width="33.7109375" customWidth="1"/>
    <col min="8" max="9" width="28.28515625" customWidth="1"/>
    <col min="10" max="10" width="36.42578125" customWidth="1"/>
    <col min="11" max="26" width="10.28515625" customWidth="1"/>
  </cols>
  <sheetData>
    <row r="1" spans="2:10" ht="9.75" customHeight="1"/>
    <row r="2" spans="2:10" ht="9.75" customHeight="1">
      <c r="B2" s="492" t="s">
        <v>1083</v>
      </c>
      <c r="D2" s="492" t="s">
        <v>1084</v>
      </c>
      <c r="E2" s="492" t="s">
        <v>1085</v>
      </c>
      <c r="G2" s="492" t="s">
        <v>1086</v>
      </c>
      <c r="H2" s="492" t="s">
        <v>1087</v>
      </c>
      <c r="I2" s="492" t="s">
        <v>1088</v>
      </c>
      <c r="J2" s="492" t="s">
        <v>1089</v>
      </c>
    </row>
    <row r="3" spans="2:10" ht="9.75" customHeight="1">
      <c r="B3" s="191" t="s">
        <v>1090</v>
      </c>
      <c r="D3" s="191" t="s">
        <v>1091</v>
      </c>
      <c r="E3" s="191" t="s">
        <v>1092</v>
      </c>
      <c r="G3" s="191" t="s">
        <v>1093</v>
      </c>
      <c r="H3" s="191" t="s">
        <v>1094</v>
      </c>
      <c r="I3" s="191" t="s">
        <v>1095</v>
      </c>
      <c r="J3" s="191" t="s">
        <v>1096</v>
      </c>
    </row>
    <row r="4" spans="2:10" ht="9.75" customHeight="1">
      <c r="B4" s="191" t="s">
        <v>1097</v>
      </c>
      <c r="D4" s="191" t="s">
        <v>1098</v>
      </c>
      <c r="E4" s="191" t="s">
        <v>1099</v>
      </c>
      <c r="G4" s="191" t="s">
        <v>1100</v>
      </c>
      <c r="H4" s="191" t="s">
        <v>1101</v>
      </c>
      <c r="I4" s="191" t="s">
        <v>1102</v>
      </c>
      <c r="J4" s="191" t="s">
        <v>1103</v>
      </c>
    </row>
    <row r="5" spans="2:10" ht="9.75" customHeight="1">
      <c r="B5" s="191" t="s">
        <v>1104</v>
      </c>
      <c r="D5" s="191" t="s">
        <v>1105</v>
      </c>
      <c r="E5" s="191" t="s">
        <v>1106</v>
      </c>
      <c r="G5" s="191" t="s">
        <v>1107</v>
      </c>
      <c r="H5" s="191" t="s">
        <v>1108</v>
      </c>
      <c r="I5" s="191" t="s">
        <v>1109</v>
      </c>
      <c r="J5" s="191" t="s">
        <v>1110</v>
      </c>
    </row>
    <row r="6" spans="2:10" ht="9.75" customHeight="1">
      <c r="D6" s="191" t="s">
        <v>1111</v>
      </c>
      <c r="E6" s="191" t="s">
        <v>1112</v>
      </c>
      <c r="G6" s="191" t="s">
        <v>1113</v>
      </c>
      <c r="H6" s="191" t="s">
        <v>1114</v>
      </c>
      <c r="I6" s="191" t="s">
        <v>1115</v>
      </c>
      <c r="J6" s="191" t="s">
        <v>1116</v>
      </c>
    </row>
    <row r="7" spans="2:10" ht="9.75" customHeight="1">
      <c r="B7" s="492" t="s">
        <v>1117</v>
      </c>
      <c r="D7" s="191" t="s">
        <v>1118</v>
      </c>
      <c r="E7" s="191" t="s">
        <v>1119</v>
      </c>
      <c r="G7" s="191" t="s">
        <v>1120</v>
      </c>
      <c r="H7" s="191" t="s">
        <v>1121</v>
      </c>
      <c r="I7" s="191" t="s">
        <v>1122</v>
      </c>
      <c r="J7" s="191" t="s">
        <v>1123</v>
      </c>
    </row>
    <row r="8" spans="2:10" ht="9.75" customHeight="1">
      <c r="B8" s="191" t="s">
        <v>1124</v>
      </c>
      <c r="D8" s="191" t="s">
        <v>1125</v>
      </c>
      <c r="E8" s="191" t="s">
        <v>1126</v>
      </c>
      <c r="G8" s="191" t="s">
        <v>1127</v>
      </c>
      <c r="H8" s="191" t="s">
        <v>1128</v>
      </c>
      <c r="I8" s="191" t="s">
        <v>1129</v>
      </c>
      <c r="J8" s="191" t="s">
        <v>1130</v>
      </c>
    </row>
    <row r="9" spans="2:10" ht="9.75" customHeight="1">
      <c r="B9" s="191" t="s">
        <v>1131</v>
      </c>
      <c r="D9" s="191" t="s">
        <v>1132</v>
      </c>
      <c r="E9" s="191" t="s">
        <v>1133</v>
      </c>
      <c r="G9" s="191" t="s">
        <v>1134</v>
      </c>
      <c r="H9" s="191" t="s">
        <v>1135</v>
      </c>
      <c r="I9" s="191" t="s">
        <v>1136</v>
      </c>
      <c r="J9" s="191" t="s">
        <v>1137</v>
      </c>
    </row>
    <row r="10" spans="2:10" ht="9.75" customHeight="1">
      <c r="B10" s="191" t="s">
        <v>1138</v>
      </c>
      <c r="D10" s="191" t="s">
        <v>1139</v>
      </c>
      <c r="E10" s="191" t="s">
        <v>1140</v>
      </c>
      <c r="G10" s="191" t="s">
        <v>1141</v>
      </c>
      <c r="H10" s="191" t="s">
        <v>1142</v>
      </c>
      <c r="I10" s="191" t="s">
        <v>1143</v>
      </c>
      <c r="J10" s="191" t="s">
        <v>1144</v>
      </c>
    </row>
    <row r="11" spans="2:10" ht="9.75" customHeight="1">
      <c r="D11" s="191" t="s">
        <v>1145</v>
      </c>
      <c r="E11" s="191"/>
      <c r="G11" s="191" t="s">
        <v>1146</v>
      </c>
      <c r="H11" s="191" t="s">
        <v>1147</v>
      </c>
      <c r="I11" s="191" t="s">
        <v>1148</v>
      </c>
      <c r="J11" s="191" t="s">
        <v>1149</v>
      </c>
    </row>
    <row r="12" spans="2:10" ht="9.75" customHeight="1">
      <c r="B12" s="492" t="s">
        <v>1150</v>
      </c>
      <c r="D12" s="191" t="s">
        <v>1151</v>
      </c>
      <c r="E12" s="191" t="s">
        <v>1152</v>
      </c>
      <c r="G12" s="191" t="s">
        <v>1153</v>
      </c>
      <c r="H12" s="191" t="s">
        <v>1154</v>
      </c>
      <c r="I12" s="191" t="s">
        <v>1155</v>
      </c>
      <c r="J12" s="191" t="s">
        <v>1156</v>
      </c>
    </row>
    <row r="13" spans="2:10" ht="9.75" customHeight="1">
      <c r="B13" s="191" t="s">
        <v>202</v>
      </c>
      <c r="D13" s="191" t="s">
        <v>1157</v>
      </c>
      <c r="E13" s="191" t="s">
        <v>1158</v>
      </c>
      <c r="G13" s="191" t="s">
        <v>1159</v>
      </c>
      <c r="H13" s="191" t="s">
        <v>1160</v>
      </c>
      <c r="I13" s="191" t="s">
        <v>1161</v>
      </c>
      <c r="J13" s="191" t="s">
        <v>1162</v>
      </c>
    </row>
    <row r="14" spans="2:10" ht="9.75" customHeight="1">
      <c r="B14" s="191"/>
      <c r="D14" s="191" t="s">
        <v>1163</v>
      </c>
      <c r="E14" s="191" t="s">
        <v>1164</v>
      </c>
      <c r="G14" s="191" t="s">
        <v>1165</v>
      </c>
      <c r="H14" s="191" t="s">
        <v>1166</v>
      </c>
      <c r="I14" s="191" t="s">
        <v>1167</v>
      </c>
      <c r="J14" s="191" t="s">
        <v>1168</v>
      </c>
    </row>
    <row r="15" spans="2:10" ht="9.75" customHeight="1">
      <c r="D15" s="191" t="s">
        <v>1169</v>
      </c>
      <c r="E15" s="191" t="s">
        <v>1170</v>
      </c>
      <c r="G15" s="191" t="s">
        <v>1171</v>
      </c>
      <c r="H15" s="191" t="s">
        <v>1172</v>
      </c>
      <c r="I15" s="191" t="s">
        <v>1173</v>
      </c>
      <c r="J15" s="191" t="s">
        <v>1174</v>
      </c>
    </row>
    <row r="16" spans="2:10" ht="9.75" customHeight="1">
      <c r="B16" s="403"/>
      <c r="D16" s="191" t="s">
        <v>1175</v>
      </c>
      <c r="E16" s="191" t="s">
        <v>1176</v>
      </c>
      <c r="G16" s="191" t="s">
        <v>1177</v>
      </c>
      <c r="H16" s="191" t="s">
        <v>1178</v>
      </c>
      <c r="I16" s="191" t="s">
        <v>1179</v>
      </c>
      <c r="J16" s="191" t="s">
        <v>1180</v>
      </c>
    </row>
    <row r="17" spans="2:10" ht="9.75" customHeight="1">
      <c r="B17" s="492" t="s">
        <v>234</v>
      </c>
      <c r="D17" s="191" t="s">
        <v>1181</v>
      </c>
      <c r="E17" s="191" t="s">
        <v>1182</v>
      </c>
      <c r="G17" s="191" t="s">
        <v>1183</v>
      </c>
      <c r="H17" s="191" t="s">
        <v>1184</v>
      </c>
      <c r="I17" s="191" t="s">
        <v>1185</v>
      </c>
      <c r="J17" s="191" t="s">
        <v>1186</v>
      </c>
    </row>
    <row r="18" spans="2:10" ht="9.75" customHeight="1">
      <c r="B18" s="191" t="s">
        <v>1187</v>
      </c>
      <c r="D18" s="191" t="s">
        <v>1188</v>
      </c>
      <c r="E18" s="191" t="s">
        <v>1189</v>
      </c>
      <c r="G18" s="191" t="s">
        <v>1190</v>
      </c>
      <c r="H18" s="191" t="s">
        <v>1191</v>
      </c>
      <c r="I18" s="191" t="s">
        <v>1192</v>
      </c>
      <c r="J18" s="191" t="s">
        <v>1193</v>
      </c>
    </row>
    <row r="19" spans="2:10" ht="9.75" customHeight="1">
      <c r="B19" s="191" t="s">
        <v>1194</v>
      </c>
      <c r="D19" s="191" t="s">
        <v>1195</v>
      </c>
      <c r="E19" s="191" t="s">
        <v>494</v>
      </c>
      <c r="G19" s="191" t="s">
        <v>1196</v>
      </c>
      <c r="H19" s="191" t="s">
        <v>1197</v>
      </c>
      <c r="I19" s="191" t="s">
        <v>1198</v>
      </c>
      <c r="J19" s="191" t="s">
        <v>1199</v>
      </c>
    </row>
    <row r="20" spans="2:10" ht="9.75" customHeight="1">
      <c r="B20" s="191" t="s">
        <v>1200</v>
      </c>
      <c r="D20" s="191" t="s">
        <v>1201</v>
      </c>
      <c r="E20" s="191" t="s">
        <v>1202</v>
      </c>
      <c r="G20" s="191" t="s">
        <v>1203</v>
      </c>
      <c r="H20" s="191" t="s">
        <v>1204</v>
      </c>
      <c r="I20" s="191" t="s">
        <v>1205</v>
      </c>
      <c r="J20" s="191" t="s">
        <v>1206</v>
      </c>
    </row>
    <row r="21" spans="2:10" ht="9.75" customHeight="1">
      <c r="D21" s="191" t="s">
        <v>1207</v>
      </c>
      <c r="E21" s="191" t="s">
        <v>1208</v>
      </c>
      <c r="G21" s="191" t="s">
        <v>1209</v>
      </c>
      <c r="H21" s="191" t="s">
        <v>1210</v>
      </c>
      <c r="I21" s="191" t="s">
        <v>1211</v>
      </c>
      <c r="J21" s="191" t="s">
        <v>1212</v>
      </c>
    </row>
    <row r="22" spans="2:10" ht="9.75" customHeight="1">
      <c r="B22" s="492" t="s">
        <v>1213</v>
      </c>
      <c r="D22" s="191" t="s">
        <v>1214</v>
      </c>
      <c r="E22" s="191" t="str">
        <f>I19</f>
        <v>Verwijder deze maatregel</v>
      </c>
      <c r="G22" s="191" t="s">
        <v>1215</v>
      </c>
      <c r="H22" s="191" t="s">
        <v>1216</v>
      </c>
      <c r="I22" s="191" t="s">
        <v>1217</v>
      </c>
      <c r="J22" s="191" t="s">
        <v>1218</v>
      </c>
    </row>
    <row r="23" spans="2:10" ht="9.75" customHeight="1">
      <c r="B23" s="191" t="s">
        <v>1219</v>
      </c>
      <c r="D23" s="191" t="s">
        <v>1220</v>
      </c>
      <c r="E23" s="191" t="str">
        <f>I22</f>
        <v>Maak maatregel standaard</v>
      </c>
      <c r="G23" s="191" t="s">
        <v>1221</v>
      </c>
      <c r="H23" s="191" t="s">
        <v>1222</v>
      </c>
      <c r="I23" s="191" t="s">
        <v>1223</v>
      </c>
      <c r="J23" s="191" t="s">
        <v>1218</v>
      </c>
    </row>
    <row r="24" spans="2:10" ht="9.75" customHeight="1">
      <c r="B24" s="191" t="s">
        <v>1224</v>
      </c>
      <c r="D24" s="191" t="s">
        <v>1225</v>
      </c>
      <c r="E24" s="191" t="str">
        <f>I24</f>
        <v>Voeg rij(en) toe</v>
      </c>
      <c r="G24" s="191" t="s">
        <v>1226</v>
      </c>
      <c r="H24" s="191" t="s">
        <v>1227</v>
      </c>
      <c r="I24" s="191" t="s">
        <v>1228</v>
      </c>
      <c r="J24" s="191" t="s">
        <v>1218</v>
      </c>
    </row>
    <row r="25" spans="2:10" ht="9.75" customHeight="1">
      <c r="D25" s="191" t="s">
        <v>1229</v>
      </c>
      <c r="E25" s="191" t="str">
        <f>I23</f>
        <v>Verwijder rij(en)</v>
      </c>
      <c r="G25" s="191" t="s">
        <v>1230</v>
      </c>
      <c r="H25" s="191" t="s">
        <v>1231</v>
      </c>
      <c r="I25" s="191" t="s">
        <v>1185</v>
      </c>
      <c r="J25" s="191" t="s">
        <v>1186</v>
      </c>
    </row>
    <row r="26" spans="2:10" ht="9.75" customHeight="1">
      <c r="B26" s="492" t="s">
        <v>1232</v>
      </c>
      <c r="D26" s="191" t="s">
        <v>1233</v>
      </c>
      <c r="E26" s="191" t="s">
        <v>1234</v>
      </c>
      <c r="G26" s="191" t="s">
        <v>1235</v>
      </c>
      <c r="H26" s="191" t="s">
        <v>1236</v>
      </c>
      <c r="I26" s="191" t="s">
        <v>1237</v>
      </c>
      <c r="J26" s="191" t="s">
        <v>1238</v>
      </c>
    </row>
    <row r="27" spans="2:10" ht="9.75" customHeight="1">
      <c r="B27" s="191" t="s">
        <v>1219</v>
      </c>
      <c r="D27" s="191" t="s">
        <v>1239</v>
      </c>
      <c r="E27" s="191" t="s">
        <v>204</v>
      </c>
      <c r="G27" s="191" t="s">
        <v>1240</v>
      </c>
      <c r="H27" s="191" t="s">
        <v>1241</v>
      </c>
      <c r="I27" s="191" t="s">
        <v>1242</v>
      </c>
      <c r="J27" s="191" t="s">
        <v>1206</v>
      </c>
    </row>
    <row r="28" spans="2:10" ht="9.75" customHeight="1">
      <c r="B28" s="191" t="s">
        <v>1224</v>
      </c>
      <c r="D28" s="191" t="s">
        <v>1243</v>
      </c>
      <c r="E28" s="191" t="s">
        <v>198</v>
      </c>
      <c r="G28" s="191" t="s">
        <v>1244</v>
      </c>
      <c r="H28" s="191" t="s">
        <v>1245</v>
      </c>
      <c r="I28" s="191" t="s">
        <v>1246</v>
      </c>
      <c r="J28" s="191" t="s">
        <v>1247</v>
      </c>
    </row>
    <row r="29" spans="2:10" ht="9.75" customHeight="1">
      <c r="B29" s="191" t="s">
        <v>1248</v>
      </c>
      <c r="D29" s="191" t="s">
        <v>1249</v>
      </c>
      <c r="E29" s="191" t="s">
        <v>206</v>
      </c>
    </row>
    <row r="30" spans="2:10" ht="9.75" customHeight="1">
      <c r="D30" s="191" t="s">
        <v>1250</v>
      </c>
      <c r="E30" s="191" t="s">
        <v>1251</v>
      </c>
    </row>
    <row r="31" spans="2:10" ht="9.75" customHeight="1">
      <c r="B31" s="492" t="s">
        <v>330</v>
      </c>
      <c r="D31" s="191" t="s">
        <v>1252</v>
      </c>
      <c r="E31" s="191" t="s">
        <v>208</v>
      </c>
    </row>
    <row r="32" spans="2:10" ht="9.75" customHeight="1">
      <c r="B32" s="191" t="s">
        <v>203</v>
      </c>
      <c r="D32" s="191" t="s">
        <v>1253</v>
      </c>
      <c r="E32" s="191" t="s">
        <v>207</v>
      </c>
    </row>
    <row r="33" spans="2:5" ht="9.75" customHeight="1">
      <c r="B33" s="191" t="s">
        <v>202</v>
      </c>
      <c r="D33" s="191" t="s">
        <v>1254</v>
      </c>
      <c r="E33" s="191" t="s">
        <v>210</v>
      </c>
    </row>
    <row r="34" spans="2:5" ht="9.75" customHeight="1">
      <c r="B34" s="191" t="s">
        <v>1248</v>
      </c>
      <c r="D34" s="191" t="s">
        <v>1255</v>
      </c>
      <c r="E34" s="191" t="s">
        <v>211</v>
      </c>
    </row>
    <row r="35" spans="2:5" ht="9.75" customHeight="1">
      <c r="D35" s="191" t="s">
        <v>1256</v>
      </c>
      <c r="E35" s="191" t="s">
        <v>494</v>
      </c>
    </row>
    <row r="36" spans="2:5" ht="9.75" customHeight="1">
      <c r="D36" s="191" t="s">
        <v>1257</v>
      </c>
      <c r="E36" s="191" t="s">
        <v>499</v>
      </c>
    </row>
    <row r="37" spans="2:5" ht="9.75" customHeight="1">
      <c r="B37" s="492" t="s">
        <v>1258</v>
      </c>
      <c r="D37" s="191" t="s">
        <v>1259</v>
      </c>
      <c r="E37" s="191" t="s">
        <v>1260</v>
      </c>
    </row>
    <row r="38" spans="2:5" ht="9.75" customHeight="1">
      <c r="B38" s="191" t="s">
        <v>300</v>
      </c>
      <c r="D38" s="191" t="s">
        <v>1261</v>
      </c>
      <c r="E38" s="191" t="s">
        <v>578</v>
      </c>
    </row>
    <row r="39" spans="2:5" ht="9.75" customHeight="1">
      <c r="B39" s="191" t="s">
        <v>301</v>
      </c>
      <c r="D39" s="191" t="s">
        <v>1262</v>
      </c>
      <c r="E39" s="191" t="s">
        <v>1263</v>
      </c>
    </row>
    <row r="40" spans="2:5" ht="9.75" customHeight="1">
      <c r="B40" s="191" t="s">
        <v>1264</v>
      </c>
      <c r="D40" s="191" t="s">
        <v>1265</v>
      </c>
      <c r="E40" s="191" t="s">
        <v>707</v>
      </c>
    </row>
    <row r="41" spans="2:5" ht="9.75" customHeight="1">
      <c r="B41" s="191" t="s">
        <v>303</v>
      </c>
      <c r="D41" s="191" t="s">
        <v>1266</v>
      </c>
      <c r="E41" s="191" t="s">
        <v>799</v>
      </c>
    </row>
    <row r="42" spans="2:5" ht="9.75" customHeight="1">
      <c r="B42" s="191" t="s">
        <v>302</v>
      </c>
      <c r="D42" s="191" t="s">
        <v>1267</v>
      </c>
      <c r="E42" s="191" t="s">
        <v>851</v>
      </c>
    </row>
    <row r="43" spans="2:5" ht="9.75" customHeight="1">
      <c r="B43" s="191" t="s">
        <v>305</v>
      </c>
      <c r="D43" s="191" t="s">
        <v>1268</v>
      </c>
      <c r="E43" s="191" t="s">
        <v>911</v>
      </c>
    </row>
    <row r="44" spans="2:5" ht="9.75" customHeight="1">
      <c r="D44" s="191" t="s">
        <v>1269</v>
      </c>
      <c r="E44" s="191" t="s">
        <v>967</v>
      </c>
    </row>
    <row r="45" spans="2:5" ht="9.75" customHeight="1">
      <c r="B45" s="492" t="s">
        <v>1270</v>
      </c>
      <c r="D45" s="191" t="s">
        <v>1271</v>
      </c>
      <c r="E45" s="191" t="s">
        <v>1272</v>
      </c>
    </row>
    <row r="46" spans="2:5" ht="9.75" customHeight="1">
      <c r="B46" s="197">
        <v>119.43100905</v>
      </c>
      <c r="D46" s="191" t="s">
        <v>1273</v>
      </c>
      <c r="E46" s="191" t="s">
        <v>1176</v>
      </c>
    </row>
    <row r="47" spans="2:5" ht="9.75" customHeight="1">
      <c r="D47" s="191" t="s">
        <v>1274</v>
      </c>
      <c r="E47" s="191" t="s">
        <v>1182</v>
      </c>
    </row>
    <row r="48" spans="2:5" ht="9.75" customHeight="1">
      <c r="B48" s="492" t="s">
        <v>1275</v>
      </c>
      <c r="D48" s="191" t="s">
        <v>1276</v>
      </c>
      <c r="E48" s="191" t="s">
        <v>635</v>
      </c>
    </row>
    <row r="49" spans="2:6" ht="9.75" customHeight="1">
      <c r="B49" s="197">
        <v>1096780</v>
      </c>
      <c r="D49" s="493" t="s">
        <v>1277</v>
      </c>
      <c r="E49" s="191" t="s">
        <v>1278</v>
      </c>
    </row>
    <row r="50" spans="2:6" ht="9.75" customHeight="1">
      <c r="D50" s="191" t="s">
        <v>1279</v>
      </c>
      <c r="E50" s="191" t="s">
        <v>832</v>
      </c>
    </row>
    <row r="51" spans="2:6" ht="9.75" customHeight="1">
      <c r="B51" s="492" t="s">
        <v>1280</v>
      </c>
      <c r="D51" s="191" t="s">
        <v>1281</v>
      </c>
      <c r="E51" s="191" t="s">
        <v>673</v>
      </c>
    </row>
    <row r="52" spans="2:6" ht="9.75" customHeight="1">
      <c r="B52" s="191" t="s">
        <v>1282</v>
      </c>
      <c r="D52" s="191" t="s">
        <v>1283</v>
      </c>
      <c r="E52" s="191" t="s">
        <v>221</v>
      </c>
    </row>
    <row r="53" spans="2:6" ht="9.75" customHeight="1">
      <c r="B53" s="191" t="s">
        <v>113</v>
      </c>
      <c r="D53" s="191" t="s">
        <v>1284</v>
      </c>
      <c r="E53" s="191" t="s">
        <v>1285</v>
      </c>
    </row>
    <row r="54" spans="2:6" ht="9.75" customHeight="1">
      <c r="B54" s="191" t="s">
        <v>1286</v>
      </c>
      <c r="D54" s="191" t="s">
        <v>1287</v>
      </c>
      <c r="E54" s="191" t="s">
        <v>1288</v>
      </c>
    </row>
    <row r="55" spans="2:6" ht="9.75" customHeight="1">
      <c r="D55" s="191" t="s">
        <v>1289</v>
      </c>
      <c r="E55" s="191" t="s">
        <v>1290</v>
      </c>
    </row>
    <row r="56" spans="2:6" ht="9.75" customHeight="1">
      <c r="B56" s="492" t="s">
        <v>1291</v>
      </c>
      <c r="D56" s="191" t="s">
        <v>1292</v>
      </c>
      <c r="E56" s="191" t="s">
        <v>1293</v>
      </c>
    </row>
    <row r="57" spans="2:6" ht="9.75" customHeight="1">
      <c r="B57" s="191" t="s">
        <v>22</v>
      </c>
      <c r="D57" s="191" t="s">
        <v>1294</v>
      </c>
      <c r="E57" s="191" t="s">
        <v>1295</v>
      </c>
    </row>
    <row r="58" spans="2:6" ht="9.75" customHeight="1">
      <c r="B58" s="494" t="s">
        <v>115</v>
      </c>
      <c r="D58" s="191" t="s">
        <v>1296</v>
      </c>
      <c r="E58" s="191" t="s">
        <v>1297</v>
      </c>
      <c r="F58" s="191"/>
    </row>
    <row r="59" spans="2:6" ht="9.75" customHeight="1">
      <c r="B59" s="191" t="s">
        <v>116</v>
      </c>
      <c r="D59" s="191" t="s">
        <v>1298</v>
      </c>
      <c r="E59" s="495" t="s">
        <v>1299</v>
      </c>
      <c r="F59" s="495"/>
    </row>
    <row r="60" spans="2:6" ht="9.75" customHeight="1">
      <c r="D60" s="191" t="s">
        <v>1300</v>
      </c>
      <c r="E60" s="495" t="s">
        <v>1301</v>
      </c>
      <c r="F60" s="495"/>
    </row>
    <row r="61" spans="2:6" ht="12.75" customHeight="1">
      <c r="B61" s="492" t="s">
        <v>1302</v>
      </c>
      <c r="D61" s="191" t="s">
        <v>1303</v>
      </c>
      <c r="E61" s="495" t="s">
        <v>1304</v>
      </c>
      <c r="F61" s="495"/>
    </row>
    <row r="62" spans="2:6" ht="9.75" customHeight="1">
      <c r="B62" s="191" t="s">
        <v>118</v>
      </c>
    </row>
    <row r="63" spans="2:6" ht="9.75" customHeight="1">
      <c r="B63" s="191" t="s">
        <v>119</v>
      </c>
    </row>
    <row r="64" spans="2:6" ht="9.75" customHeight="1">
      <c r="B64" s="191" t="s">
        <v>24</v>
      </c>
    </row>
    <row r="65" spans="2:2" ht="9.75" customHeight="1"/>
    <row r="66" spans="2:2" ht="9.75" customHeight="1">
      <c r="B66" s="492" t="s">
        <v>1305</v>
      </c>
    </row>
    <row r="67" spans="2:2" ht="9.75" customHeight="1">
      <c r="B67" s="191" t="s">
        <v>121</v>
      </c>
    </row>
    <row r="68" spans="2:2" ht="9.75" customHeight="1">
      <c r="B68" s="191" t="s">
        <v>26</v>
      </c>
    </row>
    <row r="69" spans="2:2" ht="9.75" customHeight="1">
      <c r="B69" s="191" t="s">
        <v>122</v>
      </c>
    </row>
    <row r="70" spans="2:2" ht="9.75" customHeight="1"/>
    <row r="71" spans="2:2" ht="9.75" customHeight="1">
      <c r="B71" s="492" t="s">
        <v>1306</v>
      </c>
    </row>
    <row r="72" spans="2:2" ht="9.75" customHeight="1">
      <c r="B72" s="191" t="s">
        <v>1307</v>
      </c>
    </row>
    <row r="73" spans="2:2" ht="9.75" customHeight="1">
      <c r="B73" s="191" t="s">
        <v>1308</v>
      </c>
    </row>
    <row r="74" spans="2:2" ht="9.75" customHeight="1">
      <c r="B74" s="191" t="s">
        <v>1309</v>
      </c>
    </row>
    <row r="75" spans="2:2" ht="9.75" customHeight="1"/>
    <row r="76" spans="2:2" ht="9.75" customHeight="1">
      <c r="B76" s="492" t="s">
        <v>1310</v>
      </c>
    </row>
    <row r="77" spans="2:2" ht="9.75" customHeight="1">
      <c r="B77" s="191" t="s">
        <v>1311</v>
      </c>
    </row>
    <row r="78" spans="2:2" ht="9.75" customHeight="1">
      <c r="B78" s="191" t="s">
        <v>1312</v>
      </c>
    </row>
    <row r="79" spans="2:2" ht="9.75" customHeight="1">
      <c r="B79" s="191" t="s">
        <v>1313</v>
      </c>
    </row>
    <row r="80" spans="2:2" ht="9.75" customHeight="1"/>
    <row r="81" spans="2:2" ht="9.75" customHeight="1">
      <c r="B81" s="496" t="s">
        <v>1314</v>
      </c>
    </row>
    <row r="82" spans="2:2" ht="9.75" customHeight="1">
      <c r="B82" s="197">
        <f>VLOOKUP(Energiedragers!B17,Projectinformatie!B16:D20,2,FALSE)</f>
        <v>1048064.5</v>
      </c>
    </row>
    <row r="83" spans="2:2" ht="9.75" customHeight="1">
      <c r="B83" s="197">
        <f>Projectinformatie!C19</f>
        <v>3.7730322000000003</v>
      </c>
    </row>
    <row r="84" spans="2:2" ht="9.75" customHeight="1"/>
    <row r="85" spans="2:2" ht="9.75" customHeight="1"/>
    <row r="86" spans="2:2" ht="9.75" customHeight="1"/>
    <row r="87" spans="2:2" ht="9.75" customHeight="1"/>
    <row r="88" spans="2:2" ht="9.75" customHeight="1"/>
    <row r="89" spans="2:2" ht="9.75" customHeight="1"/>
    <row r="90" spans="2:2" ht="9.75" customHeight="1"/>
    <row r="91" spans="2:2" ht="9.75" customHeight="1"/>
    <row r="92" spans="2:2" ht="9.75" customHeight="1"/>
    <row r="93" spans="2:2" ht="9.75" customHeight="1"/>
    <row r="94" spans="2:2" ht="9.75" customHeight="1"/>
    <row r="95" spans="2:2" ht="9.75" customHeight="1"/>
    <row r="96" spans="2:2"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9.75" customHeight="1"/>
    <row r="12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9.75" customHeight="1"/>
    <row r="196" ht="9.75" customHeight="1"/>
    <row r="197" ht="9.75" customHeight="1"/>
    <row r="198" ht="9.75" customHeight="1"/>
    <row r="199" ht="9.75" customHeight="1"/>
    <row r="200" ht="9.75" customHeight="1"/>
    <row r="201" ht="9.75" customHeight="1"/>
    <row r="202" ht="9.75" customHeight="1"/>
    <row r="203" ht="9.75" customHeight="1"/>
    <row r="204" ht="9.75" customHeight="1"/>
    <row r="205" ht="9.75" customHeight="1"/>
    <row r="206" ht="9.75" customHeight="1"/>
    <row r="207" ht="9.75" customHeight="1"/>
    <row r="208"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row r="234" ht="9.75" customHeight="1"/>
    <row r="235" ht="9.75" customHeight="1"/>
    <row r="236" ht="9.75" customHeight="1"/>
    <row r="237" ht="9.75" customHeight="1"/>
    <row r="238" ht="9.75" customHeight="1"/>
    <row r="239" ht="9.75" customHeight="1"/>
    <row r="240"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sheetData>
  <sheetProtection algorithmName="SHA-512" hashValue="wNoLgYKG/x/nTS5DtGqg7eeYa9DPKkLA8FfQQGxBv0zL1tlaD8Nh/luVEaSvEYAIqH7BEM38q/rG0d4N1OkAXQ==" saltValue="1V9xW5LZwsbxjiqjzatBqQ==" spinCount="100000" sheet="1" objects="1" scenarios="1"/>
  <pageMargins left="0.7" right="0.7" top="0.75" bottom="0.75" header="0" footer="0"/>
  <pageSetup paperSize="9" orientation="portrait"/>
  <headerFooter>
    <oddHeader>&amp;C&amp;A</oddHeader>
    <oddFooter>&amp;C&amp;P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000"/>
  </sheetPr>
  <dimension ref="B1:I1000"/>
  <sheetViews>
    <sheetView topLeftCell="A76" workbookViewId="0">
      <selection activeCell="G20" sqref="G20"/>
    </sheetView>
  </sheetViews>
  <sheetFormatPr defaultColWidth="16.7109375" defaultRowHeight="15" customHeight="1"/>
  <cols>
    <col min="1" max="4" width="10.28515625" customWidth="1"/>
    <col min="5" max="5" width="38.42578125" customWidth="1"/>
    <col min="6" max="6" width="19.42578125" customWidth="1"/>
    <col min="7" max="7" width="11" customWidth="1"/>
    <col min="8" max="26" width="10.28515625" customWidth="1"/>
  </cols>
  <sheetData>
    <row r="1" spans="2:9" ht="9.75" customHeight="1"/>
    <row r="2" spans="2:9" ht="9.75" customHeight="1">
      <c r="B2" s="492" t="s">
        <v>1315</v>
      </c>
    </row>
    <row r="3" spans="2:9" ht="9.75" customHeight="1">
      <c r="B3" s="191" t="s">
        <v>1219</v>
      </c>
      <c r="E3" s="469" t="s">
        <v>1316</v>
      </c>
      <c r="F3" s="472">
        <v>40613.347777777781</v>
      </c>
      <c r="G3" s="497">
        <f t="shared" ref="G3:G4" si="0">F3</f>
        <v>40613.347777777781</v>
      </c>
    </row>
    <row r="4" spans="2:9" ht="9.75" customHeight="1">
      <c r="B4" s="191" t="s">
        <v>1224</v>
      </c>
      <c r="E4" s="498" t="s">
        <v>1317</v>
      </c>
      <c r="F4" s="499">
        <v>41275</v>
      </c>
      <c r="G4" s="500">
        <f t="shared" si="0"/>
        <v>41275</v>
      </c>
      <c r="I4" s="478"/>
    </row>
    <row r="5" spans="2:9" ht="9.75" customHeight="1">
      <c r="E5" s="501" t="s">
        <v>1318</v>
      </c>
      <c r="F5" s="464" t="s">
        <v>1319</v>
      </c>
      <c r="G5" s="465"/>
      <c r="I5" s="478"/>
    </row>
    <row r="6" spans="2:9" ht="9.75" customHeight="1"/>
    <row r="7" spans="2:9" ht="9.75" customHeight="1"/>
    <row r="8" spans="2:9" ht="9.75" customHeight="1"/>
    <row r="9" spans="2:9" ht="9.75" customHeight="1">
      <c r="E9" s="469" t="s">
        <v>1320</v>
      </c>
      <c r="F9" s="453">
        <v>1</v>
      </c>
      <c r="G9" s="454"/>
    </row>
    <row r="10" spans="2:9" ht="9.75" customHeight="1">
      <c r="E10" s="274" t="s">
        <v>1321</v>
      </c>
      <c r="F10" s="275">
        <v>365</v>
      </c>
      <c r="G10" s="288"/>
    </row>
    <row r="11" spans="2:9" ht="9.75" customHeight="1"/>
    <row r="12" spans="2:9" ht="9.75" customHeight="1">
      <c r="E12" s="469" t="s">
        <v>1322</v>
      </c>
      <c r="F12" s="453"/>
      <c r="G12" s="502"/>
      <c r="I12" s="478"/>
    </row>
    <row r="13" spans="2:9" ht="9.75" customHeight="1">
      <c r="E13" s="190" t="s">
        <v>1323</v>
      </c>
      <c r="F13" s="191" t="s">
        <v>1319</v>
      </c>
      <c r="G13" s="477"/>
    </row>
    <row r="14" spans="2:9" ht="9.75" customHeight="1">
      <c r="E14" s="190" t="s">
        <v>1324</v>
      </c>
      <c r="F14" s="191" t="s">
        <v>1325</v>
      </c>
      <c r="G14" s="477"/>
    </row>
    <row r="15" spans="2:9" ht="9.75" customHeight="1">
      <c r="E15" s="190" t="s">
        <v>1326</v>
      </c>
      <c r="F15" s="191" t="s">
        <v>1327</v>
      </c>
      <c r="G15" s="477"/>
    </row>
    <row r="16" spans="2:9" ht="9.75" customHeight="1">
      <c r="E16" s="190" t="s">
        <v>1328</v>
      </c>
      <c r="F16" s="191" t="s">
        <v>1329</v>
      </c>
      <c r="G16" s="477"/>
    </row>
    <row r="17" spans="5:7" ht="9.75" customHeight="1">
      <c r="E17" s="190" t="s">
        <v>1330</v>
      </c>
      <c r="F17" s="191" t="s">
        <v>1331</v>
      </c>
      <c r="G17" s="477"/>
    </row>
    <row r="18" spans="5:7" ht="9.75" customHeight="1">
      <c r="E18" s="190" t="s">
        <v>1332</v>
      </c>
      <c r="F18" s="191" t="s">
        <v>1333</v>
      </c>
      <c r="G18" s="477"/>
    </row>
    <row r="19" spans="5:7" ht="9.75" customHeight="1">
      <c r="E19" s="190" t="s">
        <v>1334</v>
      </c>
      <c r="F19" s="191" t="s">
        <v>1335</v>
      </c>
      <c r="G19" s="477"/>
    </row>
    <row r="20" spans="5:7" ht="9.75" customHeight="1">
      <c r="E20" s="190" t="s">
        <v>1336</v>
      </c>
      <c r="F20" s="191" t="s">
        <v>1337</v>
      </c>
      <c r="G20" s="477"/>
    </row>
    <row r="21" spans="5:7" ht="9.75" customHeight="1">
      <c r="E21" s="190" t="s">
        <v>1338</v>
      </c>
      <c r="F21" s="191" t="s">
        <v>1339</v>
      </c>
      <c r="G21" s="477"/>
    </row>
    <row r="22" spans="5:7" ht="9.75" customHeight="1">
      <c r="E22" s="190" t="s">
        <v>1340</v>
      </c>
      <c r="F22" s="191" t="s">
        <v>1341</v>
      </c>
      <c r="G22" s="477"/>
    </row>
    <row r="23" spans="5:7" ht="9.75" customHeight="1">
      <c r="E23" s="190" t="s">
        <v>1342</v>
      </c>
      <c r="F23" s="191" t="s">
        <v>1343</v>
      </c>
      <c r="G23" s="477"/>
    </row>
    <row r="24" spans="5:7" ht="9.75" customHeight="1">
      <c r="E24" s="190" t="s">
        <v>1344</v>
      </c>
      <c r="F24" s="191" t="s">
        <v>1345</v>
      </c>
      <c r="G24" s="477"/>
    </row>
    <row r="25" spans="5:7" ht="9.75" customHeight="1">
      <c r="E25" s="190" t="s">
        <v>1346</v>
      </c>
      <c r="F25" s="191" t="s">
        <v>1347</v>
      </c>
      <c r="G25" s="477"/>
    </row>
    <row r="26" spans="5:7" ht="9.75" customHeight="1">
      <c r="E26" s="190" t="s">
        <v>1348</v>
      </c>
      <c r="F26" s="191" t="s">
        <v>1349</v>
      </c>
      <c r="G26" s="477"/>
    </row>
    <row r="27" spans="5:7" ht="9.75" customHeight="1">
      <c r="E27" s="190" t="s">
        <v>1350</v>
      </c>
      <c r="F27" s="191" t="s">
        <v>1351</v>
      </c>
      <c r="G27" s="477"/>
    </row>
    <row r="28" spans="5:7" ht="9.75" customHeight="1">
      <c r="E28" s="190" t="s">
        <v>1352</v>
      </c>
      <c r="F28" s="191" t="s">
        <v>1353</v>
      </c>
      <c r="G28" s="477"/>
    </row>
    <row r="29" spans="5:7" ht="9.75" customHeight="1">
      <c r="E29" s="190" t="s">
        <v>1354</v>
      </c>
      <c r="F29" s="191" t="s">
        <v>1355</v>
      </c>
      <c r="G29" s="477"/>
    </row>
    <row r="30" spans="5:7" ht="9.75" customHeight="1">
      <c r="E30" s="190" t="s">
        <v>1356</v>
      </c>
      <c r="F30" s="191" t="s">
        <v>1357</v>
      </c>
      <c r="G30" s="477"/>
    </row>
    <row r="31" spans="5:7" ht="9.75" customHeight="1">
      <c r="E31" s="274" t="s">
        <v>1358</v>
      </c>
      <c r="F31" s="275" t="s">
        <v>1359</v>
      </c>
      <c r="G31" s="503"/>
    </row>
    <row r="32" spans="5:7" ht="9.75" customHeight="1"/>
    <row r="33" spans="5:7" ht="9.75" customHeight="1">
      <c r="E33" s="501" t="s">
        <v>1360</v>
      </c>
      <c r="F33" s="464" t="s">
        <v>1361</v>
      </c>
      <c r="G33" s="465"/>
    </row>
    <row r="34" spans="5:7" ht="9.75" customHeight="1"/>
    <row r="35" spans="5:7" ht="9.75" customHeight="1"/>
    <row r="36" spans="5:7" ht="9.75" customHeight="1"/>
    <row r="37" spans="5:7" ht="9.75" customHeight="1"/>
    <row r="38" spans="5:7" ht="9.75" customHeight="1"/>
    <row r="39" spans="5:7" ht="9.75" customHeight="1"/>
    <row r="40" spans="5:7" ht="9.75" customHeight="1"/>
    <row r="41" spans="5:7" ht="9.75" customHeight="1"/>
    <row r="42" spans="5:7" ht="9.75" customHeight="1"/>
    <row r="43" spans="5:7" ht="9.75" customHeight="1"/>
    <row r="44" spans="5:7" ht="9.75" customHeight="1"/>
    <row r="45" spans="5:7" ht="9.75" customHeight="1"/>
    <row r="46" spans="5:7" ht="9.75" customHeight="1"/>
    <row r="47" spans="5:7" ht="9.75" customHeight="1"/>
    <row r="48" spans="5:7"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row r="61" ht="9.75" customHeight="1"/>
    <row r="62" ht="9.75" customHeight="1"/>
    <row r="63" ht="9.75" customHeight="1"/>
    <row r="64"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row r="76" ht="9.75" customHeight="1"/>
    <row r="77" ht="9.75" customHeight="1"/>
    <row r="78" ht="9.75" customHeight="1"/>
    <row r="79" ht="9.75" customHeight="1"/>
    <row r="80" ht="9.75" customHeight="1"/>
    <row r="81" ht="9.75" customHeight="1"/>
    <row r="82" ht="9.75" customHeight="1"/>
    <row r="83" ht="9.75" customHeight="1"/>
    <row r="84" ht="9.75" customHeight="1"/>
    <row r="85" ht="9.75" customHeight="1"/>
    <row r="86" ht="9.75" customHeight="1"/>
    <row r="87" ht="9.75" customHeight="1"/>
    <row r="88" ht="9.75" customHeight="1"/>
    <row r="89" ht="9.75" customHeight="1"/>
    <row r="90" ht="9.75" customHeight="1"/>
    <row r="91" ht="9.75" customHeight="1"/>
    <row r="92" ht="9.75" customHeight="1"/>
    <row r="93" ht="9.75" customHeight="1"/>
    <row r="94" ht="9.75" customHeight="1"/>
    <row r="95" ht="9.75" customHeight="1"/>
    <row r="96"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9.75" customHeight="1"/>
    <row r="12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9.75" customHeight="1"/>
    <row r="196" ht="9.75" customHeight="1"/>
    <row r="197" ht="9.75" customHeight="1"/>
    <row r="198" ht="9.75" customHeight="1"/>
    <row r="199" ht="9.75" customHeight="1"/>
    <row r="200" ht="9.75" customHeight="1"/>
    <row r="201" ht="9.75" customHeight="1"/>
    <row r="202" ht="9.75" customHeight="1"/>
    <row r="203" ht="9.75" customHeight="1"/>
    <row r="204" ht="9.75" customHeight="1"/>
    <row r="205" ht="9.75" customHeight="1"/>
    <row r="206" ht="9.75" customHeight="1"/>
    <row r="207" ht="9.75" customHeight="1"/>
    <row r="208"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row r="234" ht="9.75" customHeight="1"/>
    <row r="235" ht="9.75" customHeight="1"/>
    <row r="236" ht="9.75" customHeight="1"/>
    <row r="237" ht="9.75" customHeight="1"/>
    <row r="238" ht="9.75" customHeight="1"/>
    <row r="239" ht="9.75" customHeight="1"/>
    <row r="240"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row r="303" ht="9.75" customHeight="1"/>
    <row r="304" ht="9.75" customHeight="1"/>
    <row r="305" ht="9.75" customHeight="1"/>
    <row r="306" ht="9.75" customHeight="1"/>
    <row r="307" ht="9.75" customHeight="1"/>
    <row r="308" ht="9.75" customHeight="1"/>
    <row r="309" ht="9.75" customHeight="1"/>
    <row r="310" ht="9.75" customHeight="1"/>
    <row r="311" ht="9.75" customHeight="1"/>
    <row r="312" ht="9.75" customHeight="1"/>
    <row r="313" ht="9.75" customHeight="1"/>
    <row r="314" ht="9.75" customHeight="1"/>
    <row r="315" ht="9.75" customHeight="1"/>
    <row r="316" ht="9.75" customHeight="1"/>
    <row r="317" ht="9.75" customHeight="1"/>
    <row r="318" ht="9.75" customHeight="1"/>
    <row r="319" ht="9.75" customHeight="1"/>
    <row r="320"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row r="331" ht="9.75" customHeight="1"/>
    <row r="332" ht="9.75" customHeight="1"/>
    <row r="333" ht="9.75" customHeight="1"/>
    <row r="334" ht="9.75" customHeight="1"/>
    <row r="335" ht="9.75" customHeight="1"/>
    <row r="336" ht="9.75" customHeight="1"/>
    <row r="337" ht="9.75" customHeight="1"/>
    <row r="338" ht="9.75" customHeight="1"/>
    <row r="339" ht="9.75" customHeight="1"/>
    <row r="340" ht="9.75" customHeight="1"/>
    <row r="341" ht="9.75" customHeight="1"/>
    <row r="342" ht="9.75" customHeight="1"/>
    <row r="343" ht="9.75" customHeight="1"/>
    <row r="344" ht="9.75" customHeight="1"/>
    <row r="345" ht="9.75" customHeight="1"/>
    <row r="346" ht="9.75" customHeight="1"/>
    <row r="347" ht="9.75" customHeight="1"/>
    <row r="348" ht="9.75" customHeight="1"/>
    <row r="349" ht="9.75" customHeight="1"/>
    <row r="350" ht="9.75" customHeight="1"/>
    <row r="351" ht="9.75" customHeight="1"/>
    <row r="352" ht="9.75" customHeight="1"/>
    <row r="353" ht="9.75" customHeight="1"/>
    <row r="354" ht="9.75" customHeight="1"/>
    <row r="355" ht="9.75" customHeight="1"/>
    <row r="356" ht="9.75" customHeight="1"/>
    <row r="357" ht="9.75" customHeight="1"/>
    <row r="358" ht="9.75" customHeight="1"/>
    <row r="359" ht="9.75" customHeight="1"/>
    <row r="360" ht="9.75" customHeight="1"/>
    <row r="361" ht="9.75" customHeight="1"/>
    <row r="362" ht="9.75" customHeight="1"/>
    <row r="363" ht="9.75" customHeight="1"/>
    <row r="364" ht="9.75" customHeight="1"/>
    <row r="365" ht="9.75" customHeight="1"/>
    <row r="366" ht="9.75" customHeight="1"/>
    <row r="367" ht="9.75" customHeight="1"/>
    <row r="368" ht="9.75" customHeight="1"/>
    <row r="369" ht="9.75" customHeight="1"/>
    <row r="370" ht="9.75" customHeight="1"/>
    <row r="371" ht="9.75" customHeight="1"/>
    <row r="372" ht="9.75" customHeight="1"/>
    <row r="373" ht="9.75" customHeight="1"/>
    <row r="374" ht="9.75" customHeight="1"/>
    <row r="375" ht="9.75" customHeight="1"/>
    <row r="376" ht="9.75" customHeight="1"/>
    <row r="377" ht="9.75" customHeight="1"/>
    <row r="378" ht="9.75" customHeight="1"/>
    <row r="379" ht="9.75" customHeight="1"/>
    <row r="380" ht="9.75" customHeight="1"/>
    <row r="381" ht="9.75" customHeight="1"/>
    <row r="382" ht="9.75" customHeight="1"/>
    <row r="383" ht="9.75" customHeight="1"/>
    <row r="384" ht="9.75" customHeight="1"/>
    <row r="385" ht="9.75" customHeight="1"/>
    <row r="386" ht="9.75" customHeight="1"/>
    <row r="387" ht="9.75" customHeight="1"/>
    <row r="388" ht="9.75" customHeight="1"/>
    <row r="389" ht="9.75" customHeight="1"/>
    <row r="390" ht="9.75" customHeight="1"/>
    <row r="391" ht="9.75" customHeight="1"/>
    <row r="392" ht="9.75" customHeight="1"/>
    <row r="393" ht="9.75" customHeight="1"/>
    <row r="394" ht="9.75" customHeight="1"/>
    <row r="395" ht="9.75" customHeight="1"/>
    <row r="396" ht="9.75" customHeight="1"/>
    <row r="397" ht="9.75" customHeight="1"/>
    <row r="398" ht="9.75" customHeight="1"/>
    <row r="399" ht="9.75" customHeight="1"/>
    <row r="400" ht="9.75" customHeight="1"/>
    <row r="401" ht="9.75" customHeight="1"/>
    <row r="402" ht="9.75" customHeight="1"/>
    <row r="403" ht="9.75" customHeight="1"/>
    <row r="404" ht="9.75" customHeight="1"/>
    <row r="405" ht="9.75" customHeight="1"/>
    <row r="406" ht="9.75" customHeight="1"/>
    <row r="407" ht="9.75" customHeight="1"/>
    <row r="408" ht="9.75" customHeight="1"/>
    <row r="409" ht="9.75" customHeight="1"/>
    <row r="410" ht="9.75" customHeight="1"/>
    <row r="411" ht="9.75" customHeight="1"/>
    <row r="412" ht="9.75" customHeight="1"/>
    <row r="413" ht="9.75" customHeight="1"/>
    <row r="414" ht="9.75" customHeight="1"/>
    <row r="415" ht="9.75" customHeight="1"/>
    <row r="416" ht="9.75" customHeight="1"/>
    <row r="417" ht="9.75" customHeight="1"/>
    <row r="418" ht="9.75" customHeight="1"/>
    <row r="419" ht="9.75" customHeight="1"/>
    <row r="420" ht="9.75" customHeight="1"/>
    <row r="421" ht="9.75" customHeight="1"/>
    <row r="422" ht="9.75" customHeight="1"/>
    <row r="423" ht="9.75" customHeight="1"/>
    <row r="424" ht="9.75" customHeight="1"/>
    <row r="425" ht="9.75" customHeight="1"/>
    <row r="426" ht="9.75" customHeight="1"/>
    <row r="427" ht="9.75" customHeight="1"/>
    <row r="428" ht="9.75" customHeight="1"/>
    <row r="429" ht="9.75" customHeight="1"/>
    <row r="430" ht="9.75" customHeight="1"/>
    <row r="431" ht="9.75" customHeight="1"/>
    <row r="432" ht="9.75" customHeight="1"/>
    <row r="433" ht="9.75" customHeight="1"/>
    <row r="434" ht="9.75" customHeight="1"/>
    <row r="435" ht="9.75" customHeight="1"/>
    <row r="436" ht="9.75" customHeight="1"/>
    <row r="437" ht="9.75" customHeight="1"/>
    <row r="438" ht="9.75" customHeight="1"/>
    <row r="439" ht="9.75" customHeight="1"/>
    <row r="440" ht="9.75" customHeight="1"/>
    <row r="441" ht="9.75" customHeight="1"/>
    <row r="442" ht="9.75" customHeight="1"/>
    <row r="443" ht="9.75" customHeight="1"/>
    <row r="444" ht="9.75" customHeight="1"/>
    <row r="445" ht="9.75" customHeight="1"/>
    <row r="446" ht="9.75" customHeight="1"/>
    <row r="447" ht="9.75" customHeight="1"/>
    <row r="448" ht="9.75" customHeight="1"/>
    <row r="449" ht="9.75" customHeight="1"/>
    <row r="450" ht="9.75" customHeight="1"/>
    <row r="451" ht="9.75" customHeight="1"/>
    <row r="452" ht="9.75" customHeight="1"/>
    <row r="453" ht="9.75" customHeight="1"/>
    <row r="454" ht="9.75" customHeight="1"/>
    <row r="455" ht="9.75" customHeight="1"/>
    <row r="456" ht="9.75" customHeight="1"/>
    <row r="457" ht="9.7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row r="885" ht="9.75" customHeight="1"/>
    <row r="886" ht="9.75" customHeight="1"/>
    <row r="887" ht="9.75" customHeight="1"/>
    <row r="888" ht="9.75" customHeight="1"/>
    <row r="889" ht="9.75" customHeight="1"/>
    <row r="890" ht="9.75" customHeight="1"/>
    <row r="891" ht="9.75" customHeight="1"/>
    <row r="892" ht="9.75" customHeight="1"/>
    <row r="893" ht="9.75" customHeight="1"/>
    <row r="894" ht="9.75" customHeight="1"/>
    <row r="895" ht="9.75" customHeight="1"/>
    <row r="896" ht="9.75" customHeight="1"/>
    <row r="897" ht="9.75" customHeight="1"/>
    <row r="898" ht="9.75" customHeight="1"/>
    <row r="899" ht="9.75" customHeight="1"/>
    <row r="900" ht="9.75" customHeight="1"/>
    <row r="901" ht="9.75" customHeight="1"/>
    <row r="902" ht="9.75" customHeight="1"/>
    <row r="903" ht="9.75" customHeight="1"/>
    <row r="904" ht="9.75" customHeight="1"/>
    <row r="905" ht="9.75" customHeight="1"/>
    <row r="906" ht="9.75" customHeight="1"/>
    <row r="907" ht="9.75" customHeight="1"/>
    <row r="908" ht="9.75" customHeight="1"/>
    <row r="909" ht="9.75" customHeight="1"/>
    <row r="910" ht="9.75" customHeight="1"/>
    <row r="911" ht="9.75" customHeight="1"/>
    <row r="912" ht="9.75" customHeight="1"/>
    <row r="913" ht="9.75" customHeight="1"/>
    <row r="914" ht="9.75" customHeight="1"/>
    <row r="915" ht="9.75" customHeight="1"/>
    <row r="916" ht="9.75" customHeight="1"/>
    <row r="917" ht="9.75" customHeight="1"/>
    <row r="918" ht="9.75" customHeight="1"/>
    <row r="919" ht="9.75" customHeight="1"/>
    <row r="920" ht="9.75" customHeight="1"/>
    <row r="921" ht="9.75" customHeight="1"/>
    <row r="922" ht="9.75" customHeight="1"/>
    <row r="923" ht="9.75" customHeight="1"/>
    <row r="924" ht="9.75" customHeight="1"/>
    <row r="925" ht="9.75" customHeight="1"/>
    <row r="926" ht="9.75" customHeight="1"/>
    <row r="927" ht="9.75" customHeight="1"/>
    <row r="928" ht="9.75" customHeight="1"/>
    <row r="929" ht="9.75" customHeight="1"/>
    <row r="930" ht="9.75" customHeight="1"/>
    <row r="931" ht="9.75" customHeight="1"/>
    <row r="932" ht="9.75" customHeight="1"/>
    <row r="933" ht="9.75" customHeight="1"/>
    <row r="934" ht="9.75" customHeight="1"/>
    <row r="935" ht="9.75" customHeight="1"/>
    <row r="936" ht="9.75" customHeight="1"/>
    <row r="937" ht="9.75" customHeight="1"/>
    <row r="938" ht="9.75" customHeight="1"/>
    <row r="939" ht="9.75" customHeight="1"/>
    <row r="940" ht="9.75" customHeight="1"/>
    <row r="941" ht="9.75" customHeight="1"/>
    <row r="942" ht="9.75" customHeight="1"/>
    <row r="943" ht="9.75" customHeight="1"/>
    <row r="944" ht="9.75" customHeight="1"/>
    <row r="945" ht="9.75" customHeight="1"/>
    <row r="946" ht="9.75" customHeight="1"/>
    <row r="947" ht="9.75" customHeight="1"/>
    <row r="948" ht="9.75" customHeight="1"/>
    <row r="949" ht="9.75" customHeight="1"/>
    <row r="950" ht="9.75" customHeight="1"/>
    <row r="951" ht="9.75" customHeight="1"/>
    <row r="952" ht="9.75" customHeight="1"/>
    <row r="953" ht="9.75" customHeight="1"/>
    <row r="954" ht="9.75" customHeight="1"/>
    <row r="955" ht="9.75" customHeight="1"/>
    <row r="956" ht="9.75" customHeight="1"/>
    <row r="957" ht="9.75" customHeight="1"/>
    <row r="958" ht="9.75" customHeight="1"/>
    <row r="959" ht="9.75" customHeight="1"/>
    <row r="960" ht="9.75" customHeight="1"/>
    <row r="961" ht="9.75" customHeight="1"/>
    <row r="962" ht="9.75" customHeight="1"/>
    <row r="963" ht="9.75" customHeight="1"/>
    <row r="964" ht="9.75" customHeight="1"/>
    <row r="965" ht="9.75" customHeight="1"/>
    <row r="966" ht="9.75" customHeight="1"/>
    <row r="967" ht="9.75" customHeight="1"/>
    <row r="968" ht="9.75" customHeight="1"/>
    <row r="969" ht="9.75" customHeight="1"/>
    <row r="970" ht="9.75" customHeight="1"/>
    <row r="971" ht="9.75" customHeight="1"/>
    <row r="972" ht="9.75" customHeight="1"/>
    <row r="973" ht="9.75" customHeight="1"/>
    <row r="974" ht="9.75" customHeight="1"/>
    <row r="975" ht="9.75" customHeight="1"/>
    <row r="976" ht="9.75" customHeight="1"/>
    <row r="977" ht="9.75" customHeight="1"/>
    <row r="978" ht="9.75" customHeight="1"/>
    <row r="979" ht="9.75" customHeight="1"/>
    <row r="980" ht="9.75" customHeight="1"/>
    <row r="981" ht="9.75" customHeight="1"/>
    <row r="982" ht="9.75" customHeight="1"/>
    <row r="983" ht="9.75" customHeight="1"/>
    <row r="984" ht="9.75" customHeight="1"/>
    <row r="985" ht="9.75" customHeight="1"/>
    <row r="986" ht="9.75" customHeight="1"/>
    <row r="987" ht="9.75" customHeight="1"/>
    <row r="988" ht="9.75" customHeight="1"/>
    <row r="989" ht="9.75" customHeight="1"/>
    <row r="990" ht="9.75" customHeight="1"/>
    <row r="991" ht="9.75" customHeight="1"/>
    <row r="992" ht="9.75" customHeight="1"/>
    <row r="993" ht="9.75" customHeight="1"/>
    <row r="994" ht="9.75" customHeight="1"/>
    <row r="995" ht="9.75" customHeight="1"/>
    <row r="996" ht="9.75" customHeight="1"/>
    <row r="997" ht="9.75" customHeight="1"/>
    <row r="998" ht="9.75" customHeight="1"/>
    <row r="999" ht="9.75" customHeight="1"/>
    <row r="1000" ht="9.75" customHeight="1"/>
  </sheetData>
  <sheetProtection algorithmName="SHA-512" hashValue="65LVAE6crzINjJFO3Bn+Gji5FgcsI16Ihj1GylV2HgmrWTO8EvY/JBNazn+nRyZ6uHtjkWTM1JAzYt4cFjizRw==" saltValue="l75w2IvzojuqugVY6nzmIg==" spinCount="100000" sheet="1" objects="1" scenarios="1"/>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3BCB8AB359054A8FE9F07CFA13C804" ma:contentTypeVersion="4" ma:contentTypeDescription="Create a new document." ma:contentTypeScope="" ma:versionID="e429c67ea92e7a34daad6e61f054f41d">
  <xsd:schema xmlns:xsd="http://www.w3.org/2001/XMLSchema" xmlns:xs="http://www.w3.org/2001/XMLSchema" xmlns:p="http://schemas.microsoft.com/office/2006/metadata/properties" xmlns:ns2="79378371-3744-490d-8ef4-b782013b188b" targetNamespace="http://schemas.microsoft.com/office/2006/metadata/properties" ma:root="true" ma:fieldsID="bb59de9c8168a5bff8f21cf2a5e36622" ns2:_="">
    <xsd:import namespace="79378371-3744-490d-8ef4-b782013b18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378371-3744-490d-8ef4-b782013b1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F0030C-74F6-442D-9B8A-DC2CF32AAD82}">
  <ds:schemaRefs>
    <ds:schemaRef ds:uri="http://purl.org/dc/dcmitype/"/>
    <ds:schemaRef ds:uri="79378371-3744-490d-8ef4-b782013b188b"/>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03A6835-29BD-465B-8E4D-B228B8B75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378371-3744-490d-8ef4-b782013b1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DFDB8-6E81-4843-B130-D053F4EB61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25</vt:i4>
      </vt:variant>
    </vt:vector>
  </HeadingPairs>
  <TitlesOfParts>
    <vt:vector size="42" baseType="lpstr">
      <vt:lpstr>Input</vt:lpstr>
      <vt:lpstr>Results</vt:lpstr>
      <vt:lpstr>Help Amounts</vt:lpstr>
      <vt:lpstr>Help Moisture percentages</vt:lpstr>
      <vt:lpstr>Help Moisture content mixture</vt:lpstr>
      <vt:lpstr>Lijsten</vt:lpstr>
      <vt:lpstr>Projectinformatie</vt:lpstr>
      <vt:lpstr>Model</vt:lpstr>
      <vt:lpstr>Model_mengselspecifiek</vt:lpstr>
      <vt:lpstr>Model_specificmixture</vt:lpstr>
      <vt:lpstr>Invloedsfactoren</vt:lpstr>
      <vt:lpstr>Energiebalans</vt:lpstr>
      <vt:lpstr>Energiedragers</vt:lpstr>
      <vt:lpstr>Conversie</vt:lpstr>
      <vt:lpstr>DB_Overig</vt:lpstr>
      <vt:lpstr>Lists</vt:lpstr>
      <vt:lpstr>Lists2</vt:lpstr>
      <vt:lpstr>AANVOERTEMPERATUUR</vt:lpstr>
      <vt:lpstr>Bitumenverwarming</vt:lpstr>
      <vt:lpstr>Brandstoftabel</vt:lpstr>
      <vt:lpstr>Button_table</vt:lpstr>
      <vt:lpstr>DOORLOOPTIJD</vt:lpstr>
      <vt:lpstr>Energiedragers</vt:lpstr>
      <vt:lpstr>Energiedragers_tabel</vt:lpstr>
      <vt:lpstr>ENERGY_CARRIERS_SELECT</vt:lpstr>
      <vt:lpstr>ISOLATIE</vt:lpstr>
      <vt:lpstr>ISOLATIE2</vt:lpstr>
      <vt:lpstr>ITEMS</vt:lpstr>
      <vt:lpstr>Lists!Keuze_Ja_Nee</vt:lpstr>
      <vt:lpstr>Keuze_Ja_Nee_Nvt</vt:lpstr>
      <vt:lpstr>LOCATIE</vt:lpstr>
      <vt:lpstr>PRODUCT_SELECT</vt:lpstr>
      <vt:lpstr>SPECIFIC_DELIVERY_COSTS</vt:lpstr>
      <vt:lpstr>TOTAL_ENERGY_CONSUMPTION</vt:lpstr>
      <vt:lpstr>TOTAL_ENERGY_COSTS</vt:lpstr>
      <vt:lpstr>Type_installatie</vt:lpstr>
      <vt:lpstr>TypeMaatregel1</vt:lpstr>
      <vt:lpstr>TypeMaatregel2</vt:lpstr>
      <vt:lpstr>Energiedragers!Z_56FC0FE9_9B3F_407A_AF7C_55F78A904BD4_.wvu.Cols</vt:lpstr>
      <vt:lpstr>Projectinformatie!Z_56FC0FE9_9B3F_407A_AF7C_55F78A904BD4_.wvu.Cols</vt:lpstr>
      <vt:lpstr>Energiedragers!Z_56FC0FE9_9B3F_407A_AF7C_55F78A904BD4_.wvu.Rows</vt:lpstr>
      <vt:lpstr>Projectinformatie!Z_56FC0FE9_9B3F_407A_AF7C_55F78A904BD4_.wvu.Rows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Roel Willemse</dc:creator>
  <cp:keywords/>
  <dc:description/>
  <cp:lastModifiedBy>lover</cp:lastModifiedBy>
  <cp:revision/>
  <cp:lastPrinted>2022-11-29T19:46:30Z</cp:lastPrinted>
  <dcterms:created xsi:type="dcterms:W3CDTF">2011-02-25T11:28:17Z</dcterms:created>
  <dcterms:modified xsi:type="dcterms:W3CDTF">2022-11-30T07:52:32Z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NOC_DocumentClassification">
    <vt:lpwstr>5;#TNO Internal|1a23c89f-ef54-4907-86fd-8242403ff722</vt:lpwstr>
  </property>
  <property fmtid="{D5CDD505-2E9C-101B-9397-08002B2CF9AE}" pid="3" name="ContentTypeId">
    <vt:lpwstr>0x010100AA3BCB8AB359054A8FE9F07CFA13C804</vt:lpwstr>
  </property>
  <property fmtid="{D5CDD505-2E9C-101B-9397-08002B2CF9AE}" pid="4" name="TNOC_DocumentType">
    <vt:lpwstr/>
  </property>
  <property fmtid="{D5CDD505-2E9C-101B-9397-08002B2CF9AE}" pid="5" name="TNOC_ClusterType">
    <vt:lpwstr>3;#Team|c614ed86-6527-4042-aa9d-da80e2b69463</vt:lpwstr>
  </property>
  <property fmtid="{D5CDD505-2E9C-101B-9397-08002B2CF9AE}" pid="6" name="_dlc_DocIdItemGuid">
    <vt:lpwstr>2bf83700-3d27-4550-929c-7cd20e2b9029</vt:lpwstr>
  </property>
  <property fmtid="{D5CDD505-2E9C-101B-9397-08002B2CF9AE}" pid="7" name="TNOC_DocumentCategory">
    <vt:lpwstr/>
  </property>
  <property fmtid="{D5CDD505-2E9C-101B-9397-08002B2CF9AE}" pid="8" name="TNOC_DocumentSetType">
    <vt:lpwstr/>
  </property>
</Properties>
</file>